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8885" windowHeight="12150" activeTab="0"/>
  </bookViews>
  <sheets>
    <sheet name="Non-Affil Coal Receipts" sheetId="1" r:id="rId1"/>
    <sheet name="5010001 &amp; 5010019 Query" sheetId="2" r:id="rId2"/>
  </sheets>
  <definedNames>
    <definedName name="_xlnm._FilterDatabase" localSheetId="1" hidden="1">'5010001 &amp; 5010019 Query'!$A$1:$Y$55</definedName>
    <definedName name="_xlnm.Print_Area" localSheetId="0">'Non-Affil Coal Receipts'!$A$1:$D$190</definedName>
  </definedNames>
  <calcPr fullCalcOnLoad="1"/>
</workbook>
</file>

<file path=xl/sharedStrings.xml><?xml version="1.0" encoding="utf-8"?>
<sst xmlns="http://schemas.openxmlformats.org/spreadsheetml/2006/main" count="1339" uniqueCount="121">
  <si>
    <t>Station and Supplier</t>
  </si>
  <si>
    <t>FPO/CONTRACT</t>
  </si>
  <si>
    <t>Tons Purchased</t>
  </si>
  <si>
    <t>Total</t>
  </si>
  <si>
    <t>NON-AFFILIATED COAL</t>
  </si>
  <si>
    <t>Date</t>
  </si>
  <si>
    <t>Unit</t>
  </si>
  <si>
    <t>Descr</t>
  </si>
  <si>
    <t>Account</t>
  </si>
  <si>
    <t>Journal ID</t>
  </si>
  <si>
    <t>Dept</t>
  </si>
  <si>
    <t>Project</t>
  </si>
  <si>
    <t>W/O</t>
  </si>
  <si>
    <t>ABM Act</t>
  </si>
  <si>
    <t>Cost Comp</t>
  </si>
  <si>
    <t>Year</t>
  </si>
  <si>
    <t>Period</t>
  </si>
  <si>
    <t>Line Descr</t>
  </si>
  <si>
    <t>PC Bus Unit</t>
  </si>
  <si>
    <t>Seq</t>
  </si>
  <si>
    <t>117</t>
  </si>
  <si>
    <t>5010001</t>
  </si>
  <si>
    <t>10218</t>
  </si>
  <si>
    <t>000001074</t>
  </si>
  <si>
    <t>G0001096</t>
  </si>
  <si>
    <t>974</t>
  </si>
  <si>
    <t>341</t>
  </si>
  <si>
    <t>FUEL CONSUMED UNIT 1</t>
  </si>
  <si>
    <t>WSREG</t>
  </si>
  <si>
    <t>5010019</t>
  </si>
  <si>
    <t>343</t>
  </si>
  <si>
    <t>G0001068</t>
  </si>
  <si>
    <t>FUEL CONSUMED UNIT 2</t>
  </si>
  <si>
    <t>March 2016</t>
  </si>
  <si>
    <t>April 2016</t>
  </si>
  <si>
    <t>MITCHELL PLANT</t>
  </si>
  <si>
    <t>Noble</t>
  </si>
  <si>
    <t>03-00-15-003</t>
  </si>
  <si>
    <t>Alpha Coal Sales Co., LLC</t>
  </si>
  <si>
    <t>03-00-15-001</t>
  </si>
  <si>
    <t>03-00-14-032</t>
  </si>
  <si>
    <t>Consolidation Coal Co. - OVRI</t>
  </si>
  <si>
    <t>07-77-05-900</t>
  </si>
  <si>
    <t>03-00-16-001</t>
  </si>
  <si>
    <t>May 2016</t>
  </si>
  <si>
    <t>07-00-13-002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</si>
  <si>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</si>
  <si>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</si>
  <si>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</si>
  <si>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</si>
  <si>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</si>
  <si>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</si>
  <si>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</si>
  <si>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</si>
  <si>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</si>
  <si>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Status</t>
  </si>
  <si>
    <t>Currency</t>
  </si>
  <si>
    <t>Amount</t>
  </si>
  <si>
    <t>An Type</t>
  </si>
  <si>
    <t>User</t>
  </si>
  <si>
    <t>Ledger Grp</t>
  </si>
  <si>
    <t>Reversal</t>
  </si>
  <si>
    <t>Debits</t>
  </si>
  <si>
    <t>Source</t>
  </si>
  <si>
    <t>Ref No</t>
  </si>
  <si>
    <t>FA0161M</t>
  </si>
  <si>
    <t>P</t>
  </si>
  <si>
    <t>10642</t>
  </si>
  <si>
    <t>000001075</t>
  </si>
  <si>
    <t>USD</t>
  </si>
  <si>
    <t>Fuel Consumed Unit 1 KPCO SHAR</t>
  </si>
  <si>
    <t>WSNRG</t>
  </si>
  <si>
    <t>G0001257</t>
  </si>
  <si>
    <t>ACT</t>
  </si>
  <si>
    <t>S209377</t>
  </si>
  <si>
    <t>ACTUALS</t>
  </si>
  <si>
    <t>N</t>
  </si>
  <si>
    <t>UPL</t>
  </si>
  <si>
    <t>REC</t>
  </si>
  <si>
    <t>Fuel Consumed - Coal - Mitchel</t>
  </si>
  <si>
    <t>Fuel Consumed Unit 2 KPCO SHAR</t>
  </si>
  <si>
    <t>G0001311</t>
  </si>
  <si>
    <t>FA0162M</t>
  </si>
  <si>
    <t>Mitchell Unit 1 - KPCO Share</t>
  </si>
  <si>
    <t>Fuel Consumed - Oil - Mitchell</t>
  </si>
  <si>
    <t>Mitchell Unit 2 - KPCO Share</t>
  </si>
  <si>
    <t>2016-03-31</t>
  </si>
  <si>
    <t>S206136</t>
  </si>
  <si>
    <t>2016-05-31</t>
  </si>
  <si>
    <t>2016-04-30</t>
  </si>
  <si>
    <t>2016-06-30</t>
  </si>
  <si>
    <t>2016-10-31</t>
  </si>
  <si>
    <t>2016-08-31</t>
  </si>
  <si>
    <t>2016-12-31</t>
  </si>
  <si>
    <t>FA0161_D</t>
  </si>
  <si>
    <t>ONL</t>
  </si>
  <si>
    <t>NONREC</t>
  </si>
  <si>
    <t>Fuel Consumed - Coal -Disposit</t>
  </si>
  <si>
    <t>2016-07-31</t>
  </si>
  <si>
    <t>2016-09-30</t>
  </si>
  <si>
    <t>2016-11-30</t>
  </si>
  <si>
    <t>2017-01-31</t>
  </si>
  <si>
    <t>2017-02-27</t>
  </si>
  <si>
    <t>2017-02-28</t>
  </si>
  <si>
    <t>U</t>
  </si>
  <si>
    <t>03-00-15-004</t>
  </si>
  <si>
    <t>River Trading Company</t>
  </si>
  <si>
    <t>03-00-16-008</t>
  </si>
  <si>
    <t>Seminole Coal Resources, LLC</t>
  </si>
  <si>
    <t>03-00-16-007</t>
  </si>
  <si>
    <t>03-00-16-002</t>
  </si>
  <si>
    <t>Coeclerici Coal Network, Inc.</t>
  </si>
  <si>
    <t>03-00-16-009</t>
  </si>
  <si>
    <t>Ember Energy, LLC</t>
  </si>
  <si>
    <t>03-00-16-003</t>
  </si>
  <si>
    <t>Golden Eagle Incorporated</t>
  </si>
  <si>
    <t>03-00-16-005</t>
  </si>
  <si>
    <t>Southeastern Land, LLC</t>
  </si>
  <si>
    <t>03-00-16-006</t>
  </si>
  <si>
    <t>03-00-16-004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</si>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</sst>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_(* #,##0.0_);_(* \(#,##0.0\);_(* &quot;-&quot;??_);_(@_)"/>
    <numFmt numFmtId="168" formatCode="[$-409]h:mm:ss\ AM/PM"/>
    <numFmt numFmtId="169" formatCode="&quot;$&quot;#,##0.00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_);_(* \(#,##0.0000\);_(* &quot;-&quot;????_);_(@_)"/>
    <numFmt numFmtId="174" formatCode="#,##0.000000000_);[Red]\(#,##0.000000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9" fontId="39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43" fontId="39" fillId="0" borderId="11" xfId="42" applyFont="1" applyBorder="1" applyAlignment="1">
      <alignment horizontal="center"/>
    </xf>
    <xf numFmtId="44" fontId="0" fillId="0" borderId="0" xfId="0" applyNumberFormat="1" applyAlignment="1">
      <alignment/>
    </xf>
    <xf numFmtId="44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42" applyFont="1" applyBorder="1" applyAlignment="1">
      <alignment/>
    </xf>
    <xf numFmtId="44" fontId="0" fillId="0" borderId="11" xfId="0" applyNumberFormat="1" applyBorder="1" applyAlignment="1">
      <alignment/>
    </xf>
    <xf numFmtId="43" fontId="39" fillId="0" borderId="0" xfId="42" applyFont="1" applyAlignment="1">
      <alignment/>
    </xf>
    <xf numFmtId="44" fontId="3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44" fontId="0" fillId="0" borderId="0" xfId="0" applyNumberFormat="1" applyBorder="1" applyAlignment="1">
      <alignment/>
    </xf>
    <xf numFmtId="43" fontId="39" fillId="0" borderId="0" xfId="0" applyNumberFormat="1" applyFont="1" applyAlignment="1">
      <alignment/>
    </xf>
    <xf numFmtId="43" fontId="0" fillId="0" borderId="0" xfId="42" applyFont="1" applyAlignment="1">
      <alignment/>
    </xf>
    <xf numFmtId="0" fontId="3" fillId="0" borderId="9" xfId="70" applyAlignment="1">
      <alignment horizontal="center" wrapText="1"/>
      <protection/>
    </xf>
    <xf numFmtId="0" fontId="2" fillId="0" borderId="0" xfId="64" applyFont="1" applyAlignment="1">
      <alignment horizontal="center"/>
    </xf>
    <xf numFmtId="15" fontId="2" fillId="0" borderId="0" xfId="66" applyFont="1" applyAlignment="1" quotePrefix="1">
      <alignment horizontal="center"/>
    </xf>
    <xf numFmtId="4" fontId="2" fillId="0" borderId="0" xfId="68" applyFont="1" applyAlignment="1">
      <alignment horizontal="center"/>
    </xf>
    <xf numFmtId="3" fontId="2" fillId="0" borderId="0" xfId="72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ill="1" applyBorder="1" applyAlignment="1">
      <alignment/>
    </xf>
    <xf numFmtId="44" fontId="0" fillId="0" borderId="0" xfId="45" applyFont="1" applyAlignment="1">
      <alignment/>
    </xf>
    <xf numFmtId="44" fontId="39" fillId="0" borderId="0" xfId="45" applyFont="1" applyAlignment="1">
      <alignment horizontal="center"/>
    </xf>
    <xf numFmtId="44" fontId="39" fillId="0" borderId="0" xfId="45" applyFont="1" applyAlignment="1">
      <alignment/>
    </xf>
    <xf numFmtId="0" fontId="39" fillId="0" borderId="0" xfId="0" applyFont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SChar" xfId="63"/>
    <cellStyle name="PSChar 2" xfId="64"/>
    <cellStyle name="PSDate" xfId="65"/>
    <cellStyle name="PSDate 2" xfId="66"/>
    <cellStyle name="PSDec" xfId="67"/>
    <cellStyle name="PSDec 2" xfId="68"/>
    <cellStyle name="PSHeading" xfId="69"/>
    <cellStyle name="PSHeading 2" xfId="70"/>
    <cellStyle name="PSInt" xfId="71"/>
    <cellStyle name="PSInt 2" xfId="72"/>
    <cellStyle name="PSSpacer" xfId="73"/>
    <cellStyle name="PSSpacer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90" zoomScaleSheetLayoutView="90" zoomScalePageLayoutView="0" workbookViewId="0" topLeftCell="A1">
      <selection activeCell="F157" sqref="F1:J16384"/>
    </sheetView>
  </sheetViews>
  <sheetFormatPr defaultColWidth="9.140625" defaultRowHeight="15"/>
  <cols>
    <col min="1" max="1" width="33.57421875" style="0" bestFit="1" customWidth="1"/>
    <col min="2" max="2" width="21.421875" style="4" bestFit="1" customWidth="1"/>
    <col min="3" max="3" width="14.00390625" style="6" customWidth="1"/>
    <col min="4" max="4" width="16.8515625" style="8" customWidth="1"/>
    <col min="6" max="6" width="14.28125" style="0" bestFit="1" customWidth="1"/>
    <col min="8" max="8" width="15.28125" style="0" bestFit="1" customWidth="1"/>
    <col min="9" max="9" width="9.140625" style="30" customWidth="1"/>
  </cols>
  <sheetData>
    <row r="1" ht="15">
      <c r="B1" s="5" t="s">
        <v>33</v>
      </c>
    </row>
    <row r="3" ht="15">
      <c r="B3" s="3" t="s">
        <v>4</v>
      </c>
    </row>
    <row r="5" spans="1:9" s="2" customFormat="1" ht="15">
      <c r="A5" s="3" t="s">
        <v>0</v>
      </c>
      <c r="B5" s="3" t="s">
        <v>1</v>
      </c>
      <c r="C5" s="7" t="s">
        <v>2</v>
      </c>
      <c r="D5" s="9" t="s">
        <v>3</v>
      </c>
      <c r="I5" s="31"/>
    </row>
    <row r="7" ht="15">
      <c r="A7" s="10" t="s">
        <v>35</v>
      </c>
    </row>
    <row r="8" spans="1:4" ht="15">
      <c r="A8" t="s">
        <v>38</v>
      </c>
      <c r="B8" s="4" t="s">
        <v>39</v>
      </c>
      <c r="C8" s="6">
        <f>33973.3/2</f>
        <v>16986.65</v>
      </c>
      <c r="D8" s="8">
        <f>1674975.22/2</f>
        <v>837487.61</v>
      </c>
    </row>
    <row r="9" spans="1:4" ht="15">
      <c r="A9" t="s">
        <v>38</v>
      </c>
      <c r="B9" s="4" t="s">
        <v>40</v>
      </c>
      <c r="C9" s="22">
        <f>66077/2</f>
        <v>33038.5</v>
      </c>
      <c r="D9" s="8">
        <f>3808619.9/2</f>
        <v>1904309.95</v>
      </c>
    </row>
    <row r="10" spans="1:4" ht="15">
      <c r="A10" t="s">
        <v>38</v>
      </c>
      <c r="B10" s="4" t="s">
        <v>43</v>
      </c>
      <c r="C10" s="22">
        <f>31988.7/2</f>
        <v>15994.35</v>
      </c>
      <c r="D10" s="8">
        <f>1214600.13/2</f>
        <v>607300.065</v>
      </c>
    </row>
    <row r="11" spans="1:4" ht="15">
      <c r="A11" t="s">
        <v>41</v>
      </c>
      <c r="B11" s="4" t="s">
        <v>42</v>
      </c>
      <c r="C11" s="6">
        <f>223860/2</f>
        <v>111930</v>
      </c>
      <c r="D11" s="8">
        <f>(12218946.47+8021600+115433.48)/2</f>
        <v>10177989.975</v>
      </c>
    </row>
    <row r="12" spans="1:4" ht="15">
      <c r="A12" s="11" t="s">
        <v>36</v>
      </c>
      <c r="B12" s="12" t="s">
        <v>37</v>
      </c>
      <c r="C12" s="13">
        <f>7587.8/2</f>
        <v>3793.9</v>
      </c>
      <c r="D12" s="14">
        <f>364913.6/2</f>
        <v>182456.8</v>
      </c>
    </row>
    <row r="14" spans="1:9" s="1" customFormat="1" ht="15">
      <c r="A14" s="33" t="s">
        <v>120</v>
      </c>
      <c r="B14" s="2"/>
      <c r="C14" s="15">
        <f>SUM(C8:C13)</f>
        <v>181743.4</v>
      </c>
      <c r="D14" s="16">
        <f>SUM(D8:D13)</f>
        <v>13709544.4</v>
      </c>
      <c r="F14" s="21"/>
      <c r="H14" s="16"/>
      <c r="I14" s="32"/>
    </row>
    <row r="15" ht="15">
      <c r="I15" s="32"/>
    </row>
    <row r="16" spans="2:9" ht="15">
      <c r="B16" s="5" t="s">
        <v>34</v>
      </c>
      <c r="I16" s="32"/>
    </row>
    <row r="17" ht="15">
      <c r="I17" s="32"/>
    </row>
    <row r="18" spans="2:9" ht="15">
      <c r="B18" s="3" t="s">
        <v>4</v>
      </c>
      <c r="I18" s="32"/>
    </row>
    <row r="19" ht="15">
      <c r="I19" s="32"/>
    </row>
    <row r="20" spans="1:9" s="2" customFormat="1" ht="15">
      <c r="A20" s="3" t="s">
        <v>0</v>
      </c>
      <c r="B20" s="3" t="s">
        <v>1</v>
      </c>
      <c r="C20" s="7" t="s">
        <v>2</v>
      </c>
      <c r="D20" s="9" t="s">
        <v>3</v>
      </c>
      <c r="I20" s="32"/>
    </row>
    <row r="21" ht="15">
      <c r="I21" s="32"/>
    </row>
    <row r="22" spans="1:9" ht="15">
      <c r="A22" s="10" t="s">
        <v>35</v>
      </c>
      <c r="I22" s="32"/>
    </row>
    <row r="23" spans="1:9" ht="15">
      <c r="A23" t="s">
        <v>38</v>
      </c>
      <c r="B23" s="4" t="s">
        <v>40</v>
      </c>
      <c r="C23" s="6">
        <f>58097.6/2</f>
        <v>29048.8</v>
      </c>
      <c r="D23" s="8">
        <f>3586828.69/2</f>
        <v>1793414.345</v>
      </c>
      <c r="I23" s="32"/>
    </row>
    <row r="24" spans="1:9" ht="15">
      <c r="A24" t="s">
        <v>38</v>
      </c>
      <c r="B24" s="4" t="s">
        <v>39</v>
      </c>
      <c r="C24" s="6">
        <f>6417.9/2</f>
        <v>3208.95</v>
      </c>
      <c r="D24" s="8">
        <f>320170.29/2</f>
        <v>160085.145</v>
      </c>
      <c r="I24" s="32"/>
    </row>
    <row r="25" spans="1:9" ht="15">
      <c r="A25" t="s">
        <v>38</v>
      </c>
      <c r="B25" s="4" t="s">
        <v>43</v>
      </c>
      <c r="C25" s="6">
        <f>42772.6/2</f>
        <v>21386.3</v>
      </c>
      <c r="D25" s="8">
        <f>1639741.08/2</f>
        <v>819870.54</v>
      </c>
      <c r="I25" s="32"/>
    </row>
    <row r="26" spans="1:9" ht="15">
      <c r="A26" t="s">
        <v>41</v>
      </c>
      <c r="B26" s="4" t="s">
        <v>42</v>
      </c>
      <c r="C26" s="6">
        <f>100290/2</f>
        <v>50145</v>
      </c>
      <c r="D26" s="8">
        <f>(5316381.04-32357.78)/2</f>
        <v>2642011.63</v>
      </c>
      <c r="I26" s="32"/>
    </row>
    <row r="27" spans="1:9" ht="15">
      <c r="A27" s="11" t="s">
        <v>36</v>
      </c>
      <c r="B27" s="12" t="s">
        <v>37</v>
      </c>
      <c r="C27" s="13">
        <f>24574.1/2</f>
        <v>12287.05</v>
      </c>
      <c r="D27" s="14">
        <f>1185174.35/2</f>
        <v>592587.175</v>
      </c>
      <c r="I27" s="32"/>
    </row>
    <row r="28" ht="15">
      <c r="I28" s="32"/>
    </row>
    <row r="29" spans="1:9" s="1" customFormat="1" ht="15">
      <c r="A29" s="33" t="s">
        <v>120</v>
      </c>
      <c r="B29" s="2"/>
      <c r="C29" s="15">
        <f>SUM(C23:C28)</f>
        <v>116076.1</v>
      </c>
      <c r="D29" s="16">
        <f>SUM(D23:D28)</f>
        <v>6007968.835</v>
      </c>
      <c r="F29" s="21"/>
      <c r="H29" s="16"/>
      <c r="I29" s="32"/>
    </row>
    <row r="30" ht="15">
      <c r="I30" s="32"/>
    </row>
    <row r="31" spans="2:9" ht="15">
      <c r="B31" s="5" t="s">
        <v>44</v>
      </c>
      <c r="I31" s="32"/>
    </row>
    <row r="32" ht="15">
      <c r="I32" s="32"/>
    </row>
    <row r="33" spans="2:9" ht="15">
      <c r="B33" s="3" t="s">
        <v>4</v>
      </c>
      <c r="I33" s="32"/>
    </row>
    <row r="34" ht="15">
      <c r="I34" s="32"/>
    </row>
    <row r="35" spans="1:9" s="2" customFormat="1" ht="15">
      <c r="A35" s="3" t="s">
        <v>0</v>
      </c>
      <c r="B35" s="3" t="s">
        <v>1</v>
      </c>
      <c r="C35" s="7" t="s">
        <v>2</v>
      </c>
      <c r="D35" s="9" t="s">
        <v>3</v>
      </c>
      <c r="I35" s="32"/>
    </row>
    <row r="36" ht="15">
      <c r="I36" s="32"/>
    </row>
    <row r="37" spans="1:9" ht="15">
      <c r="A37" s="10" t="s">
        <v>35</v>
      </c>
      <c r="I37" s="32"/>
    </row>
    <row r="38" spans="1:9" ht="15">
      <c r="A38" t="s">
        <v>38</v>
      </c>
      <c r="B38" s="4" t="s">
        <v>40</v>
      </c>
      <c r="C38" s="22">
        <f>44269.9/2</f>
        <v>22134.95</v>
      </c>
      <c r="D38" s="8">
        <f>2701915.19/2</f>
        <v>1350957.595</v>
      </c>
      <c r="I38" s="32"/>
    </row>
    <row r="39" spans="1:9" ht="15">
      <c r="A39" t="s">
        <v>38</v>
      </c>
      <c r="B39" s="4" t="s">
        <v>39</v>
      </c>
      <c r="C39" s="22">
        <f>52236/2</f>
        <v>26118</v>
      </c>
      <c r="D39" s="8">
        <f>2558473.06/2</f>
        <v>1279236.53</v>
      </c>
      <c r="I39" s="32"/>
    </row>
    <row r="40" spans="1:9" ht="15">
      <c r="A40" t="s">
        <v>38</v>
      </c>
      <c r="B40" s="4" t="s">
        <v>43</v>
      </c>
      <c r="C40" s="22">
        <f>21586.7/2</f>
        <v>10793.35</v>
      </c>
      <c r="D40" s="8">
        <f>832459.8/2</f>
        <v>416229.9</v>
      </c>
      <c r="I40" s="32"/>
    </row>
    <row r="41" spans="1:9" ht="15">
      <c r="A41" t="s">
        <v>38</v>
      </c>
      <c r="B41" s="4" t="s">
        <v>45</v>
      </c>
      <c r="C41" s="22">
        <f>4657.35/2</f>
        <v>2328.675</v>
      </c>
      <c r="D41" s="8">
        <f>302414.11/2</f>
        <v>151207.055</v>
      </c>
      <c r="I41" s="32"/>
    </row>
    <row r="42" spans="1:9" ht="15">
      <c r="A42" t="s">
        <v>41</v>
      </c>
      <c r="B42" s="4" t="s">
        <v>42</v>
      </c>
      <c r="C42" s="22">
        <f>103330/2</f>
        <v>51665</v>
      </c>
      <c r="D42" s="8">
        <f>(5704112.6-150157.02)/2</f>
        <v>2776977.79</v>
      </c>
      <c r="I42" s="32"/>
    </row>
    <row r="43" spans="1:9" ht="15">
      <c r="A43" s="11" t="s">
        <v>36</v>
      </c>
      <c r="B43" s="12" t="s">
        <v>37</v>
      </c>
      <c r="C43" s="13">
        <f>21534.3/2</f>
        <v>10767.15</v>
      </c>
      <c r="D43" s="14">
        <f>1026892.43/2</f>
        <v>513446.215</v>
      </c>
      <c r="I43" s="32"/>
    </row>
    <row r="44" ht="15">
      <c r="I44" s="32"/>
    </row>
    <row r="45" spans="1:9" s="1" customFormat="1" ht="15">
      <c r="A45" s="33" t="s">
        <v>120</v>
      </c>
      <c r="B45" s="2"/>
      <c r="C45" s="15">
        <f>SUM(C38:C44)</f>
        <v>123807.125</v>
      </c>
      <c r="D45" s="16">
        <f>SUM(D38:D44)</f>
        <v>6488055.085</v>
      </c>
      <c r="F45" s="16"/>
      <c r="H45" s="16"/>
      <c r="I45" s="32"/>
    </row>
    <row r="46" ht="15">
      <c r="I46" s="32"/>
    </row>
    <row r="47" spans="2:9" ht="15">
      <c r="B47" s="5" t="s">
        <v>46</v>
      </c>
      <c r="I47" s="32"/>
    </row>
    <row r="48" ht="15">
      <c r="I48" s="32"/>
    </row>
    <row r="49" spans="2:9" ht="15">
      <c r="B49" s="3" t="s">
        <v>4</v>
      </c>
      <c r="I49" s="32"/>
    </row>
    <row r="50" ht="15">
      <c r="I50" s="32"/>
    </row>
    <row r="51" spans="1:9" s="2" customFormat="1" ht="15">
      <c r="A51" s="3" t="s">
        <v>0</v>
      </c>
      <c r="B51" s="3" t="s">
        <v>1</v>
      </c>
      <c r="C51" s="7" t="s">
        <v>2</v>
      </c>
      <c r="D51" s="9" t="s">
        <v>3</v>
      </c>
      <c r="I51" s="32"/>
    </row>
    <row r="52" ht="15">
      <c r="I52" s="32"/>
    </row>
    <row r="53" spans="1:9" ht="15">
      <c r="A53" s="10" t="s">
        <v>35</v>
      </c>
      <c r="I53" s="32"/>
    </row>
    <row r="54" spans="1:9" ht="15">
      <c r="A54" t="s">
        <v>38</v>
      </c>
      <c r="B54" s="4" t="s">
        <v>40</v>
      </c>
      <c r="C54" s="6">
        <f>21750.5/2</f>
        <v>10875.25</v>
      </c>
      <c r="D54" s="8">
        <f>1335766.22/2</f>
        <v>667883.11</v>
      </c>
      <c r="I54" s="32"/>
    </row>
    <row r="55" spans="1:9" ht="15">
      <c r="A55" t="s">
        <v>38</v>
      </c>
      <c r="B55" s="4" t="s">
        <v>39</v>
      </c>
      <c r="C55" s="6">
        <f>21978.8/2</f>
        <v>10989.4</v>
      </c>
      <c r="D55" s="8">
        <f>1099755.12/2</f>
        <v>549877.56</v>
      </c>
      <c r="I55" s="32"/>
    </row>
    <row r="56" spans="1:9" ht="15">
      <c r="A56" t="s">
        <v>41</v>
      </c>
      <c r="B56" s="4" t="s">
        <v>42</v>
      </c>
      <c r="C56" s="19">
        <f>113480/2</f>
        <v>56740</v>
      </c>
      <c r="D56" s="20">
        <f>(5964028.63+307390.72+839.85)/2</f>
        <v>3136129.5999999996</v>
      </c>
      <c r="I56" s="32"/>
    </row>
    <row r="57" spans="1:9" ht="15">
      <c r="A57" s="11" t="s">
        <v>36</v>
      </c>
      <c r="B57" s="12" t="s">
        <v>37</v>
      </c>
      <c r="C57" s="13">
        <f>4604.3/2</f>
        <v>2302.15</v>
      </c>
      <c r="D57" s="14">
        <f>214215.94/2</f>
        <v>107107.97</v>
      </c>
      <c r="I57" s="32"/>
    </row>
    <row r="58" ht="15">
      <c r="I58" s="32"/>
    </row>
    <row r="59" spans="1:9" s="1" customFormat="1" ht="15">
      <c r="A59" s="33" t="s">
        <v>120</v>
      </c>
      <c r="B59" s="2"/>
      <c r="C59" s="15">
        <f>SUM(C54:C58)</f>
        <v>80906.79999999999</v>
      </c>
      <c r="D59" s="16">
        <f>SUM(D54:D58)</f>
        <v>4460998.239999999</v>
      </c>
      <c r="F59" s="16"/>
      <c r="H59" s="16"/>
      <c r="I59" s="32"/>
    </row>
    <row r="60" ht="15">
      <c r="I60" s="32"/>
    </row>
    <row r="61" spans="2:9" ht="15">
      <c r="B61" s="5" t="s">
        <v>47</v>
      </c>
      <c r="I61" s="32"/>
    </row>
    <row r="62" ht="15">
      <c r="I62" s="32"/>
    </row>
    <row r="63" spans="2:9" ht="15">
      <c r="B63" s="3" t="s">
        <v>4</v>
      </c>
      <c r="I63" s="32"/>
    </row>
    <row r="64" ht="15">
      <c r="I64" s="32"/>
    </row>
    <row r="65" spans="1:9" s="2" customFormat="1" ht="15">
      <c r="A65" s="3" t="s">
        <v>0</v>
      </c>
      <c r="B65" s="3" t="s">
        <v>1</v>
      </c>
      <c r="C65" s="7" t="s">
        <v>2</v>
      </c>
      <c r="D65" s="9" t="s">
        <v>3</v>
      </c>
      <c r="I65" s="32"/>
    </row>
    <row r="66" ht="15">
      <c r="I66" s="32"/>
    </row>
    <row r="67" spans="1:9" ht="15">
      <c r="A67" s="10" t="s">
        <v>35</v>
      </c>
      <c r="I67" s="32"/>
    </row>
    <row r="68" spans="1:9" ht="15">
      <c r="A68" t="s">
        <v>38</v>
      </c>
      <c r="B68" s="4" t="s">
        <v>40</v>
      </c>
      <c r="C68" s="6">
        <f>44276.2/2</f>
        <v>22138.1</v>
      </c>
      <c r="D68" s="8">
        <f>2732831.68/2</f>
        <v>1366415.84</v>
      </c>
      <c r="I68" s="32"/>
    </row>
    <row r="69" spans="1:9" ht="15">
      <c r="A69" t="s">
        <v>38</v>
      </c>
      <c r="B69" s="4" t="s">
        <v>39</v>
      </c>
      <c r="C69" s="22">
        <f>40112.6/2</f>
        <v>20056.3</v>
      </c>
      <c r="D69" s="8">
        <f>2035801.76/2</f>
        <v>1017900.88</v>
      </c>
      <c r="I69" s="32"/>
    </row>
    <row r="70" spans="1:9" ht="15">
      <c r="A70" t="s">
        <v>38</v>
      </c>
      <c r="B70" s="4" t="s">
        <v>105</v>
      </c>
      <c r="C70" s="6">
        <f>38523.5/2</f>
        <v>19261.75</v>
      </c>
      <c r="D70" s="8">
        <f>2182709.03/2</f>
        <v>1091354.515</v>
      </c>
      <c r="I70" s="32"/>
    </row>
    <row r="71" spans="1:9" ht="15">
      <c r="A71" t="s">
        <v>41</v>
      </c>
      <c r="B71" s="4" t="s">
        <v>42</v>
      </c>
      <c r="C71" s="6">
        <f>154090/2</f>
        <v>77045</v>
      </c>
      <c r="D71" s="8">
        <f>(7825799.19+249879.56)/2</f>
        <v>4037839.375</v>
      </c>
      <c r="I71" s="32"/>
    </row>
    <row r="72" spans="1:9" ht="15">
      <c r="A72" s="11" t="s">
        <v>36</v>
      </c>
      <c r="B72" s="12" t="s">
        <v>37</v>
      </c>
      <c r="C72" s="13">
        <f>24664/2</f>
        <v>12332</v>
      </c>
      <c r="D72" s="14">
        <f>1149072.16/2</f>
        <v>574536.08</v>
      </c>
      <c r="I72" s="32"/>
    </row>
    <row r="73" ht="15">
      <c r="I73" s="32"/>
    </row>
    <row r="74" spans="1:9" s="1" customFormat="1" ht="15">
      <c r="A74" s="33" t="s">
        <v>120</v>
      </c>
      <c r="B74" s="2"/>
      <c r="C74" s="15">
        <f>SUM(C68:C73)</f>
        <v>150833.15</v>
      </c>
      <c r="D74" s="16">
        <f>SUM(D68:D73)</f>
        <v>8088046.69</v>
      </c>
      <c r="F74" s="16"/>
      <c r="H74" s="16"/>
      <c r="I74" s="32"/>
    </row>
    <row r="75" ht="15">
      <c r="I75" s="32"/>
    </row>
    <row r="76" spans="2:9" ht="15">
      <c r="B76" s="5" t="s">
        <v>48</v>
      </c>
      <c r="I76" s="32"/>
    </row>
    <row r="77" ht="15">
      <c r="I77" s="32"/>
    </row>
    <row r="78" spans="2:9" ht="15">
      <c r="B78" s="3" t="s">
        <v>4</v>
      </c>
      <c r="I78" s="32"/>
    </row>
    <row r="79" ht="15">
      <c r="I79" s="32"/>
    </row>
    <row r="80" spans="1:9" s="2" customFormat="1" ht="15">
      <c r="A80" s="3" t="s">
        <v>0</v>
      </c>
      <c r="B80" s="3" t="s">
        <v>1</v>
      </c>
      <c r="C80" s="7" t="s">
        <v>2</v>
      </c>
      <c r="D80" s="9" t="s">
        <v>3</v>
      </c>
      <c r="I80" s="32"/>
    </row>
    <row r="81" ht="15">
      <c r="I81" s="32"/>
    </row>
    <row r="82" spans="1:9" ht="15">
      <c r="A82" s="10" t="s">
        <v>35</v>
      </c>
      <c r="I82" s="32"/>
    </row>
    <row r="83" spans="1:9" ht="15">
      <c r="A83" t="s">
        <v>38</v>
      </c>
      <c r="B83" s="4" t="s">
        <v>40</v>
      </c>
      <c r="C83" s="6">
        <f>74150.4/2</f>
        <v>37075.2</v>
      </c>
      <c r="D83" s="8">
        <f>4538976.3/2</f>
        <v>2269488.15</v>
      </c>
      <c r="I83" s="32"/>
    </row>
    <row r="84" spans="1:9" ht="15">
      <c r="A84" t="s">
        <v>38</v>
      </c>
      <c r="B84" s="4" t="s">
        <v>39</v>
      </c>
      <c r="C84" s="28">
        <f>68168.2/2</f>
        <v>34084.1</v>
      </c>
      <c r="D84" s="8">
        <f>3872884.58/2</f>
        <v>1936442.29</v>
      </c>
      <c r="I84" s="32"/>
    </row>
    <row r="85" spans="1:9" ht="15">
      <c r="A85" t="s">
        <v>41</v>
      </c>
      <c r="B85" s="4" t="s">
        <v>42</v>
      </c>
      <c r="C85" s="6">
        <f>139320/2</f>
        <v>69660</v>
      </c>
      <c r="D85" s="8">
        <f>(6973246.71+210370-9666.13)/2</f>
        <v>3586975.29</v>
      </c>
      <c r="I85" s="32"/>
    </row>
    <row r="86" spans="1:9" ht="15">
      <c r="A86" s="11" t="s">
        <v>36</v>
      </c>
      <c r="B86" s="12" t="s">
        <v>37</v>
      </c>
      <c r="C86" s="13">
        <f>36373.4/2</f>
        <v>18186.7</v>
      </c>
      <c r="D86" s="14">
        <f>1742370.64/2</f>
        <v>871185.32</v>
      </c>
      <c r="I86" s="32"/>
    </row>
    <row r="87" ht="15">
      <c r="I87" s="32"/>
    </row>
    <row r="88" spans="1:9" s="1" customFormat="1" ht="15">
      <c r="A88" s="33" t="s">
        <v>120</v>
      </c>
      <c r="B88" s="2"/>
      <c r="C88" s="15">
        <f>SUM(C83:C87)</f>
        <v>159006</v>
      </c>
      <c r="D88" s="16">
        <f>SUM(D83:D87)</f>
        <v>8664091.049999999</v>
      </c>
      <c r="F88" s="16"/>
      <c r="H88" s="16"/>
      <c r="I88" s="32"/>
    </row>
    <row r="89" ht="15">
      <c r="I89" s="32"/>
    </row>
    <row r="90" spans="2:9" ht="15">
      <c r="B90" s="5" t="s">
        <v>49</v>
      </c>
      <c r="I90" s="32"/>
    </row>
    <row r="91" ht="15">
      <c r="I91" s="32"/>
    </row>
    <row r="92" spans="2:9" ht="15">
      <c r="B92" s="3" t="s">
        <v>4</v>
      </c>
      <c r="I92" s="32"/>
    </row>
    <row r="93" ht="15">
      <c r="I93" s="32"/>
    </row>
    <row r="94" spans="1:9" s="2" customFormat="1" ht="15">
      <c r="A94" s="3" t="s">
        <v>0</v>
      </c>
      <c r="B94" s="3" t="s">
        <v>1</v>
      </c>
      <c r="C94" s="7" t="s">
        <v>2</v>
      </c>
      <c r="D94" s="9" t="s">
        <v>3</v>
      </c>
      <c r="I94" s="32"/>
    </row>
    <row r="95" ht="15">
      <c r="I95" s="32"/>
    </row>
    <row r="96" spans="1:9" ht="15">
      <c r="A96" s="10" t="s">
        <v>35</v>
      </c>
      <c r="I96" s="32"/>
    </row>
    <row r="97" spans="1:9" ht="15">
      <c r="A97" t="s">
        <v>38</v>
      </c>
      <c r="B97" s="4" t="s">
        <v>40</v>
      </c>
      <c r="C97" s="6">
        <f>27889.6/2</f>
        <v>13944.8</v>
      </c>
      <c r="D97" s="8">
        <f>1726666.75/2</f>
        <v>863333.375</v>
      </c>
      <c r="I97" s="32"/>
    </row>
    <row r="98" spans="1:9" ht="15">
      <c r="A98" t="s">
        <v>38</v>
      </c>
      <c r="B98" s="4" t="s">
        <v>105</v>
      </c>
      <c r="C98" s="6">
        <f>96619.9/2</f>
        <v>48309.95</v>
      </c>
      <c r="D98" s="8">
        <f>5461148/2</f>
        <v>2730574</v>
      </c>
      <c r="I98" s="32"/>
    </row>
    <row r="99" spans="1:9" ht="15">
      <c r="A99" t="s">
        <v>41</v>
      </c>
      <c r="B99" s="4" t="s">
        <v>42</v>
      </c>
      <c r="C99" s="6">
        <f>92463.5/2</f>
        <v>46231.75</v>
      </c>
      <c r="D99" s="8">
        <f>(4624035.87+113789.01)/2</f>
        <v>2368912.44</v>
      </c>
      <c r="I99" s="32"/>
    </row>
    <row r="100" spans="1:9" ht="15">
      <c r="A100" s="11" t="s">
        <v>36</v>
      </c>
      <c r="B100" s="12" t="s">
        <v>37</v>
      </c>
      <c r="C100" s="6">
        <f>10821/2</f>
        <v>5410.5</v>
      </c>
      <c r="D100" s="8">
        <f>511916.57/2</f>
        <v>255958.285</v>
      </c>
      <c r="I100" s="32"/>
    </row>
    <row r="101" spans="1:9" ht="15">
      <c r="A101" s="11"/>
      <c r="B101" s="12"/>
      <c r="C101" s="13"/>
      <c r="D101" s="14"/>
      <c r="I101" s="32"/>
    </row>
    <row r="102" ht="15">
      <c r="I102" s="32"/>
    </row>
    <row r="103" spans="1:9" s="1" customFormat="1" ht="15">
      <c r="A103" s="33" t="s">
        <v>120</v>
      </c>
      <c r="B103" s="2"/>
      <c r="C103" s="15">
        <f>SUM(C97:C102)</f>
        <v>113897</v>
      </c>
      <c r="D103" s="16">
        <f>SUM(D97:D102)</f>
        <v>6218778.1</v>
      </c>
      <c r="F103" s="16"/>
      <c r="H103" s="16"/>
      <c r="I103" s="32"/>
    </row>
    <row r="104" ht="15">
      <c r="I104" s="32"/>
    </row>
    <row r="105" spans="2:9" ht="15">
      <c r="B105" s="5" t="s">
        <v>50</v>
      </c>
      <c r="I105" s="32"/>
    </row>
    <row r="106" ht="15">
      <c r="I106" s="32"/>
    </row>
    <row r="107" spans="2:9" ht="15">
      <c r="B107" s="3" t="s">
        <v>4</v>
      </c>
      <c r="I107" s="32"/>
    </row>
    <row r="108" ht="15">
      <c r="I108" s="32"/>
    </row>
    <row r="109" spans="1:9" s="2" customFormat="1" ht="15">
      <c r="A109" s="3" t="s">
        <v>0</v>
      </c>
      <c r="B109" s="3" t="s">
        <v>1</v>
      </c>
      <c r="C109" s="7" t="s">
        <v>2</v>
      </c>
      <c r="D109" s="9" t="s">
        <v>3</v>
      </c>
      <c r="I109" s="32"/>
    </row>
    <row r="110" ht="15">
      <c r="I110" s="32"/>
    </row>
    <row r="111" spans="1:9" ht="15">
      <c r="A111" s="10" t="s">
        <v>35</v>
      </c>
      <c r="I111" s="32"/>
    </row>
    <row r="112" spans="1:9" ht="15">
      <c r="A112" t="s">
        <v>38</v>
      </c>
      <c r="B112" s="4" t="s">
        <v>105</v>
      </c>
      <c r="C112" s="6">
        <f>42073.7/2</f>
        <v>21036.85</v>
      </c>
      <c r="D112" s="8">
        <f>2358023.06/2</f>
        <v>1179011.53</v>
      </c>
      <c r="I112" s="32"/>
    </row>
    <row r="113" spans="1:9" ht="15">
      <c r="A113" t="s">
        <v>41</v>
      </c>
      <c r="B113" s="4" t="s">
        <v>42</v>
      </c>
      <c r="C113" s="6">
        <f>65770/2</f>
        <v>32885</v>
      </c>
      <c r="D113" s="8">
        <f>(3297256.49+43088.68)/2</f>
        <v>1670172.5850000002</v>
      </c>
      <c r="I113" s="32"/>
    </row>
    <row r="114" spans="1:9" ht="15">
      <c r="A114" s="11" t="s">
        <v>36</v>
      </c>
      <c r="B114" s="12" t="s">
        <v>37</v>
      </c>
      <c r="C114" s="6">
        <f>3030.4/2</f>
        <v>1515.2</v>
      </c>
      <c r="D114" s="8">
        <f>144070.3/2</f>
        <v>72035.15</v>
      </c>
      <c r="I114" s="32"/>
    </row>
    <row r="115" spans="1:9" ht="15">
      <c r="A115" s="11"/>
      <c r="B115" s="12"/>
      <c r="C115" s="13"/>
      <c r="D115" s="14"/>
      <c r="I115" s="32"/>
    </row>
    <row r="116" ht="15">
      <c r="I116" s="32"/>
    </row>
    <row r="117" spans="1:9" s="1" customFormat="1" ht="15">
      <c r="A117" s="33" t="s">
        <v>120</v>
      </c>
      <c r="B117" s="2"/>
      <c r="C117" s="15">
        <f>SUM(C112:C116)</f>
        <v>55437.049999999996</v>
      </c>
      <c r="D117" s="16">
        <f>SUM(D112:D116)</f>
        <v>2921219.265</v>
      </c>
      <c r="F117" s="16"/>
      <c r="H117" s="16"/>
      <c r="I117" s="32"/>
    </row>
    <row r="118" ht="15">
      <c r="I118" s="32"/>
    </row>
    <row r="119" spans="2:9" ht="15">
      <c r="B119" s="5" t="s">
        <v>51</v>
      </c>
      <c r="I119" s="32"/>
    </row>
    <row r="120" ht="15">
      <c r="I120" s="32"/>
    </row>
    <row r="121" spans="2:9" ht="15">
      <c r="B121" s="3" t="s">
        <v>4</v>
      </c>
      <c r="I121" s="32"/>
    </row>
    <row r="122" ht="15">
      <c r="I122" s="32"/>
    </row>
    <row r="123" spans="1:9" s="2" customFormat="1" ht="15">
      <c r="A123" s="3" t="s">
        <v>0</v>
      </c>
      <c r="B123" s="3" t="s">
        <v>1</v>
      </c>
      <c r="C123" s="7" t="s">
        <v>2</v>
      </c>
      <c r="D123" s="9" t="s">
        <v>3</v>
      </c>
      <c r="I123" s="32"/>
    </row>
    <row r="124" ht="15">
      <c r="I124" s="32"/>
    </row>
    <row r="125" spans="1:9" ht="15">
      <c r="A125" s="10" t="s">
        <v>35</v>
      </c>
      <c r="I125" s="32"/>
    </row>
    <row r="126" spans="1:9" ht="15">
      <c r="A126" t="s">
        <v>38</v>
      </c>
      <c r="B126" s="4" t="s">
        <v>40</v>
      </c>
      <c r="C126" s="6">
        <f>9708.2/2</f>
        <v>4854.1</v>
      </c>
      <c r="D126" s="8">
        <f>590752.48/2</f>
        <v>295376.24</v>
      </c>
      <c r="I126" s="32"/>
    </row>
    <row r="127" spans="1:9" ht="15">
      <c r="A127" t="s">
        <v>38</v>
      </c>
      <c r="B127" s="4" t="s">
        <v>105</v>
      </c>
      <c r="C127" s="6">
        <f>92736.7/2</f>
        <v>46368.35</v>
      </c>
      <c r="D127" s="8">
        <f>(5209768.3)/2</f>
        <v>2604884.15</v>
      </c>
      <c r="I127" s="32"/>
    </row>
    <row r="128" spans="1:9" ht="15">
      <c r="A128" t="s">
        <v>41</v>
      </c>
      <c r="B128" s="4" t="s">
        <v>42</v>
      </c>
      <c r="C128" s="6">
        <f>140270/2</f>
        <v>70135</v>
      </c>
      <c r="D128" s="8">
        <f>(7057564.67-245209.27)/2</f>
        <v>3406177.7</v>
      </c>
      <c r="I128" s="32"/>
    </row>
    <row r="129" spans="1:9" ht="15">
      <c r="A129" s="11" t="s">
        <v>36</v>
      </c>
      <c r="B129" s="12" t="s">
        <v>37</v>
      </c>
      <c r="C129" s="13">
        <f>18761.9/2</f>
        <v>9380.95</v>
      </c>
      <c r="D129" s="14">
        <f>895317.84/2</f>
        <v>447658.92</v>
      </c>
      <c r="I129" s="32"/>
    </row>
    <row r="130" ht="15">
      <c r="I130" s="32"/>
    </row>
    <row r="131" spans="1:9" s="1" customFormat="1" ht="15">
      <c r="A131" s="33" t="s">
        <v>120</v>
      </c>
      <c r="B131" s="2"/>
      <c r="C131" s="15">
        <f>SUM(C126:C130)</f>
        <v>130738.4</v>
      </c>
      <c r="D131" s="16">
        <f>SUM(D126:D130)</f>
        <v>6754097.01</v>
      </c>
      <c r="F131" s="16"/>
      <c r="H131" s="16"/>
      <c r="I131" s="32"/>
    </row>
    <row r="132" ht="15">
      <c r="I132" s="32"/>
    </row>
    <row r="133" spans="2:9" ht="15">
      <c r="B133" s="5" t="s">
        <v>52</v>
      </c>
      <c r="I133" s="32"/>
    </row>
    <row r="134" ht="15">
      <c r="I134" s="32"/>
    </row>
    <row r="135" spans="2:9" ht="15">
      <c r="B135" s="3" t="s">
        <v>4</v>
      </c>
      <c r="I135" s="32"/>
    </row>
    <row r="136" ht="15">
      <c r="I136" s="32"/>
    </row>
    <row r="137" spans="1:9" s="2" customFormat="1" ht="15">
      <c r="A137" s="3" t="s">
        <v>0</v>
      </c>
      <c r="B137" s="3" t="s">
        <v>1</v>
      </c>
      <c r="C137" s="7" t="s">
        <v>2</v>
      </c>
      <c r="D137" s="9" t="s">
        <v>3</v>
      </c>
      <c r="I137" s="32"/>
    </row>
    <row r="138" spans="6:9" ht="15">
      <c r="F138" s="16"/>
      <c r="I138" s="32"/>
    </row>
    <row r="139" spans="1:9" ht="15">
      <c r="A139" s="10" t="s">
        <v>35</v>
      </c>
      <c r="F139" s="16"/>
      <c r="I139" s="32"/>
    </row>
    <row r="140" spans="1:9" ht="15">
      <c r="A140" t="s">
        <v>38</v>
      </c>
      <c r="B140" s="4" t="s">
        <v>40</v>
      </c>
      <c r="C140" s="6">
        <f>11513.66/2</f>
        <v>5756.83</v>
      </c>
      <c r="D140" s="8">
        <f>669672.71/2</f>
        <v>334836.355</v>
      </c>
      <c r="F140" s="16"/>
      <c r="I140" s="32"/>
    </row>
    <row r="141" spans="1:9" ht="15">
      <c r="A141" t="s">
        <v>38</v>
      </c>
      <c r="B141" s="4" t="s">
        <v>39</v>
      </c>
      <c r="C141" s="6">
        <f>93.28/2</f>
        <v>46.64</v>
      </c>
      <c r="D141" s="8">
        <f>0</f>
        <v>0</v>
      </c>
      <c r="F141" s="16"/>
      <c r="I141" s="32"/>
    </row>
    <row r="142" spans="1:9" ht="15">
      <c r="A142" t="s">
        <v>38</v>
      </c>
      <c r="B142" s="4" t="s">
        <v>105</v>
      </c>
      <c r="C142" s="6">
        <f>106366.63/2</f>
        <v>53183.315</v>
      </c>
      <c r="D142" s="8">
        <f>6131247.06/2</f>
        <v>3065623.53</v>
      </c>
      <c r="F142" s="16"/>
      <c r="I142" s="32"/>
    </row>
    <row r="143" spans="1:9" ht="15">
      <c r="A143" t="s">
        <v>41</v>
      </c>
      <c r="B143" s="4" t="s">
        <v>42</v>
      </c>
      <c r="C143" s="6">
        <f>159769.73/2</f>
        <v>79884.865</v>
      </c>
      <c r="D143" s="8">
        <f>(8384847.5+197708.01)/2</f>
        <v>4291277.755</v>
      </c>
      <c r="F143" s="16"/>
      <c r="I143" s="32"/>
    </row>
    <row r="144" spans="1:9" ht="15">
      <c r="A144" s="17" t="s">
        <v>36</v>
      </c>
      <c r="B144" s="18" t="s">
        <v>37</v>
      </c>
      <c r="C144" s="22">
        <f>17329.91/2</f>
        <v>8664.955</v>
      </c>
      <c r="D144" s="8">
        <f>857478.91/2</f>
        <v>428739.455</v>
      </c>
      <c r="F144" s="16"/>
      <c r="I144" s="32"/>
    </row>
    <row r="145" spans="1:9" ht="15">
      <c r="A145" t="s">
        <v>106</v>
      </c>
      <c r="B145" s="4" t="s">
        <v>107</v>
      </c>
      <c r="C145" s="6">
        <f>3083.4/2</f>
        <v>1541.7</v>
      </c>
      <c r="D145" s="8">
        <f>283712.95/2</f>
        <v>141856.475</v>
      </c>
      <c r="F145" s="16"/>
      <c r="I145" s="32"/>
    </row>
    <row r="146" spans="1:9" ht="15">
      <c r="A146" s="11" t="s">
        <v>108</v>
      </c>
      <c r="B146" s="12" t="s">
        <v>109</v>
      </c>
      <c r="C146" s="13">
        <f>8155.3/2</f>
        <v>4077.65</v>
      </c>
      <c r="D146" s="14">
        <f>454304.87/2</f>
        <v>227152.435</v>
      </c>
      <c r="F146" s="16"/>
      <c r="I146" s="32"/>
    </row>
    <row r="147" spans="6:9" ht="15">
      <c r="F147" s="16"/>
      <c r="I147" s="32"/>
    </row>
    <row r="148" spans="1:9" s="1" customFormat="1" ht="15">
      <c r="A148" s="33" t="s">
        <v>120</v>
      </c>
      <c r="B148" s="2"/>
      <c r="C148" s="15">
        <f>SUM(C140:C147)</f>
        <v>153155.95500000002</v>
      </c>
      <c r="D148" s="16">
        <f>SUM(D140:D147)</f>
        <v>8489486.004999999</v>
      </c>
      <c r="F148" s="16"/>
      <c r="H148" s="16"/>
      <c r="I148" s="32"/>
    </row>
    <row r="149" spans="6:9" ht="15">
      <c r="F149" s="16"/>
      <c r="I149" s="32"/>
    </row>
    <row r="150" spans="2:9" ht="15">
      <c r="B150" s="5" t="s">
        <v>53</v>
      </c>
      <c r="F150" s="16"/>
      <c r="I150" s="32"/>
    </row>
    <row r="151" spans="6:9" ht="15">
      <c r="F151" s="16"/>
      <c r="I151" s="32"/>
    </row>
    <row r="152" spans="2:9" ht="15">
      <c r="B152" s="3" t="s">
        <v>4</v>
      </c>
      <c r="F152" s="16"/>
      <c r="I152" s="32"/>
    </row>
    <row r="153" spans="6:9" ht="15">
      <c r="F153" s="16"/>
      <c r="I153" s="32"/>
    </row>
    <row r="154" spans="1:9" s="2" customFormat="1" ht="15">
      <c r="A154" s="3" t="s">
        <v>0</v>
      </c>
      <c r="B154" s="3" t="s">
        <v>1</v>
      </c>
      <c r="C154" s="7" t="s">
        <v>2</v>
      </c>
      <c r="D154" s="9" t="s">
        <v>3</v>
      </c>
      <c r="F154" s="16"/>
      <c r="I154" s="32"/>
    </row>
    <row r="155" spans="6:9" ht="15">
      <c r="F155" s="16"/>
      <c r="I155" s="32"/>
    </row>
    <row r="156" spans="1:9" ht="15">
      <c r="A156" s="10" t="s">
        <v>35</v>
      </c>
      <c r="F156" s="16"/>
      <c r="I156" s="32"/>
    </row>
    <row r="157" spans="1:9" ht="15">
      <c r="A157" t="s">
        <v>38</v>
      </c>
      <c r="B157" s="4" t="s">
        <v>40</v>
      </c>
      <c r="C157" s="6">
        <v>0</v>
      </c>
      <c r="D157" s="8">
        <f>3379.67/2</f>
        <v>1689.835</v>
      </c>
      <c r="F157" s="16"/>
      <c r="I157" s="32"/>
    </row>
    <row r="158" spans="1:9" ht="15">
      <c r="A158" t="s">
        <v>38</v>
      </c>
      <c r="B158" s="4" t="s">
        <v>105</v>
      </c>
      <c r="C158" s="6">
        <f>37771.4/2</f>
        <v>18885.7</v>
      </c>
      <c r="D158" s="8">
        <f>2181564.28/2</f>
        <v>1090782.14</v>
      </c>
      <c r="F158" s="16"/>
      <c r="I158" s="32"/>
    </row>
    <row r="159" spans="1:9" ht="15">
      <c r="A159" t="s">
        <v>38</v>
      </c>
      <c r="B159" s="4" t="s">
        <v>110</v>
      </c>
      <c r="C159" s="6">
        <f>26055.4/2</f>
        <v>13027.7</v>
      </c>
      <c r="D159" s="8">
        <f>1263451.82/2</f>
        <v>631725.91</v>
      </c>
      <c r="F159" s="16"/>
      <c r="I159" s="32"/>
    </row>
    <row r="160" spans="1:9" ht="15">
      <c r="A160" t="s">
        <v>111</v>
      </c>
      <c r="B160" s="4" t="s">
        <v>112</v>
      </c>
      <c r="C160" s="6">
        <f>7393.8/2</f>
        <v>3696.9</v>
      </c>
      <c r="D160" s="8">
        <f>442084.94/2</f>
        <v>221042.47</v>
      </c>
      <c r="F160" s="16"/>
      <c r="I160" s="32"/>
    </row>
    <row r="161" spans="1:9" ht="15">
      <c r="A161" t="s">
        <v>41</v>
      </c>
      <c r="B161" s="4" t="s">
        <v>42</v>
      </c>
      <c r="C161" s="22">
        <f>60830/2</f>
        <v>30415</v>
      </c>
      <c r="D161" s="8">
        <f>(3032868.38+44494.38+287987.95)/2</f>
        <v>1682675.355</v>
      </c>
      <c r="F161" s="16"/>
      <c r="I161" s="32"/>
    </row>
    <row r="162" spans="1:9" ht="15">
      <c r="A162" t="s">
        <v>113</v>
      </c>
      <c r="B162" s="4" t="s">
        <v>114</v>
      </c>
      <c r="C162" s="22">
        <f>3401.9/2</f>
        <v>1700.95</v>
      </c>
      <c r="D162" s="8">
        <f>163604.47/2</f>
        <v>81802.235</v>
      </c>
      <c r="F162" s="16"/>
      <c r="I162" s="32"/>
    </row>
    <row r="163" spans="1:9" ht="15">
      <c r="A163" t="s">
        <v>115</v>
      </c>
      <c r="B163" s="4" t="s">
        <v>116</v>
      </c>
      <c r="C163" s="6">
        <f>6313.2/2</f>
        <v>3156.6</v>
      </c>
      <c r="D163" s="8">
        <f>351760.48/2</f>
        <v>175880.24</v>
      </c>
      <c r="F163" s="16"/>
      <c r="I163" s="32"/>
    </row>
    <row r="164" spans="1:9" ht="15">
      <c r="A164" s="17" t="s">
        <v>36</v>
      </c>
      <c r="B164" s="18" t="s">
        <v>37</v>
      </c>
      <c r="C164" s="22">
        <f>6738.8/2</f>
        <v>3369.4</v>
      </c>
      <c r="D164" s="8">
        <f>(343710.33+65806.53)/2</f>
        <v>204758.43</v>
      </c>
      <c r="F164" s="16"/>
      <c r="I164" s="32"/>
    </row>
    <row r="165" spans="1:9" ht="15">
      <c r="A165" s="29" t="s">
        <v>106</v>
      </c>
      <c r="B165" s="18" t="s">
        <v>107</v>
      </c>
      <c r="C165" s="22">
        <f>13255.2/2</f>
        <v>6627.6</v>
      </c>
      <c r="D165" s="8">
        <f>768535.24/2</f>
        <v>384267.62</v>
      </c>
      <c r="F165" s="16"/>
      <c r="I165" s="32"/>
    </row>
    <row r="166" spans="1:9" ht="15">
      <c r="A166" s="17" t="s">
        <v>108</v>
      </c>
      <c r="B166" s="18" t="s">
        <v>109</v>
      </c>
      <c r="C166" s="19">
        <f>8295.9/2</f>
        <v>4147.95</v>
      </c>
      <c r="D166" s="20">
        <f>473105.74/2</f>
        <v>236552.87</v>
      </c>
      <c r="F166" s="16"/>
      <c r="I166" s="32"/>
    </row>
    <row r="167" spans="1:9" ht="15">
      <c r="A167" s="11" t="s">
        <v>117</v>
      </c>
      <c r="B167" s="12" t="s">
        <v>118</v>
      </c>
      <c r="C167" s="13">
        <f>8953.7/2</f>
        <v>4476.85</v>
      </c>
      <c r="D167" s="14">
        <f>584096.36/2</f>
        <v>292048.18</v>
      </c>
      <c r="F167" s="16"/>
      <c r="I167" s="32"/>
    </row>
    <row r="168" spans="6:9" ht="15">
      <c r="F168" s="16"/>
      <c r="I168" s="32"/>
    </row>
    <row r="169" spans="1:9" s="1" customFormat="1" ht="15">
      <c r="A169" s="33" t="s">
        <v>120</v>
      </c>
      <c r="B169" s="2"/>
      <c r="C169" s="15">
        <f>SUM(C157:C168)</f>
        <v>89504.65000000001</v>
      </c>
      <c r="D169" s="16">
        <f>SUM(D157:D168)</f>
        <v>5003225.284999999</v>
      </c>
      <c r="F169" s="16"/>
      <c r="H169" s="16"/>
      <c r="I169" s="32"/>
    </row>
    <row r="170" spans="6:9" ht="15">
      <c r="F170" s="16"/>
      <c r="I170" s="32"/>
    </row>
    <row r="171" spans="2:9" ht="15">
      <c r="B171" s="5" t="s">
        <v>54</v>
      </c>
      <c r="F171" s="16"/>
      <c r="I171" s="32"/>
    </row>
    <row r="172" spans="6:9" ht="15">
      <c r="F172" s="16"/>
      <c r="I172" s="32"/>
    </row>
    <row r="173" spans="2:9" ht="15">
      <c r="B173" s="3" t="s">
        <v>4</v>
      </c>
      <c r="F173" s="16"/>
      <c r="I173" s="32"/>
    </row>
    <row r="174" spans="6:9" ht="15">
      <c r="F174" s="16"/>
      <c r="I174" s="32"/>
    </row>
    <row r="175" spans="1:9" s="2" customFormat="1" ht="15">
      <c r="A175" s="3" t="s">
        <v>0</v>
      </c>
      <c r="B175" s="3" t="s">
        <v>1</v>
      </c>
      <c r="C175" s="7" t="s">
        <v>2</v>
      </c>
      <c r="D175" s="9" t="s">
        <v>3</v>
      </c>
      <c r="F175" s="16"/>
      <c r="I175" s="32"/>
    </row>
    <row r="176" spans="6:9" ht="15">
      <c r="F176" s="16"/>
      <c r="I176" s="32"/>
    </row>
    <row r="177" spans="1:9" ht="15">
      <c r="A177" s="10" t="s">
        <v>35</v>
      </c>
      <c r="F177" s="16"/>
      <c r="I177" s="32"/>
    </row>
    <row r="178" spans="1:9" ht="15">
      <c r="A178" t="s">
        <v>38</v>
      </c>
      <c r="B178" s="4" t="s">
        <v>105</v>
      </c>
      <c r="C178" s="6">
        <f>5870.7/2</f>
        <v>2935.35</v>
      </c>
      <c r="D178" s="8">
        <f>349679.38/2</f>
        <v>174839.69</v>
      </c>
      <c r="F178" s="16"/>
      <c r="I178" s="32"/>
    </row>
    <row r="179" spans="1:9" ht="15">
      <c r="A179" t="s">
        <v>38</v>
      </c>
      <c r="B179" s="4" t="s">
        <v>110</v>
      </c>
      <c r="C179" s="22">
        <f>28513.9/2</f>
        <v>14256.95</v>
      </c>
      <c r="D179" s="8">
        <f>1417219.22/2</f>
        <v>708609.61</v>
      </c>
      <c r="F179" s="16"/>
      <c r="I179" s="32"/>
    </row>
    <row r="180" spans="1:9" ht="15">
      <c r="A180" t="s">
        <v>38</v>
      </c>
      <c r="B180" s="4" t="s">
        <v>119</v>
      </c>
      <c r="C180" s="22">
        <f>14487.9/2</f>
        <v>7243.95</v>
      </c>
      <c r="D180" s="8">
        <f>735929.18/2</f>
        <v>367964.59</v>
      </c>
      <c r="F180" s="16"/>
      <c r="I180" s="32"/>
    </row>
    <row r="181" spans="1:9" ht="15">
      <c r="A181" t="s">
        <v>111</v>
      </c>
      <c r="B181" s="4" t="s">
        <v>112</v>
      </c>
      <c r="C181" s="22">
        <v>0</v>
      </c>
      <c r="D181" s="8">
        <f>-1695.49/2</f>
        <v>-847.745</v>
      </c>
      <c r="F181" s="16"/>
      <c r="I181" s="32"/>
    </row>
    <row r="182" spans="1:9" ht="15">
      <c r="A182" t="s">
        <v>41</v>
      </c>
      <c r="B182" s="4" t="s">
        <v>42</v>
      </c>
      <c r="C182" s="22">
        <f>85820/2</f>
        <v>42910</v>
      </c>
      <c r="D182" s="8">
        <f>(4309424.34+207107.44)/2</f>
        <v>2258265.89</v>
      </c>
      <c r="F182" s="16"/>
      <c r="I182" s="32"/>
    </row>
    <row r="183" spans="1:9" ht="15">
      <c r="A183" t="s">
        <v>113</v>
      </c>
      <c r="B183" s="4" t="s">
        <v>114</v>
      </c>
      <c r="C183" s="22">
        <f>7186.8/2</f>
        <v>3593.4</v>
      </c>
      <c r="D183" s="8">
        <f>369762.22/2</f>
        <v>184881.11</v>
      </c>
      <c r="F183" s="16"/>
      <c r="I183" s="32"/>
    </row>
    <row r="184" spans="1:9" ht="15">
      <c r="A184" t="s">
        <v>115</v>
      </c>
      <c r="B184" s="4" t="s">
        <v>116</v>
      </c>
      <c r="C184" s="22">
        <f>3149.8/2</f>
        <v>1574.9</v>
      </c>
      <c r="D184" s="8">
        <f>175665.69/2</f>
        <v>87832.845</v>
      </c>
      <c r="F184" s="16"/>
      <c r="I184" s="32"/>
    </row>
    <row r="185" spans="1:9" ht="15">
      <c r="A185" s="17" t="s">
        <v>36</v>
      </c>
      <c r="B185" s="18" t="s">
        <v>37</v>
      </c>
      <c r="C185" s="22">
        <f>12293.7/2</f>
        <v>6146.85</v>
      </c>
      <c r="D185" s="8">
        <f>638646.39/2</f>
        <v>319323.195</v>
      </c>
      <c r="F185" s="16"/>
      <c r="I185" s="32"/>
    </row>
    <row r="186" spans="1:9" ht="15">
      <c r="A186" s="29" t="s">
        <v>106</v>
      </c>
      <c r="B186" s="18" t="s">
        <v>107</v>
      </c>
      <c r="C186" s="6">
        <f>4466.9/2</f>
        <v>2233.45</v>
      </c>
      <c r="D186" s="8">
        <f>296176.5/2</f>
        <v>148088.25</v>
      </c>
      <c r="F186" s="16"/>
      <c r="I186" s="32"/>
    </row>
    <row r="187" spans="1:9" ht="15">
      <c r="A187" s="17" t="s">
        <v>108</v>
      </c>
      <c r="B187" s="18" t="s">
        <v>109</v>
      </c>
      <c r="C187" s="6">
        <f>6407.2/2</f>
        <v>3203.6</v>
      </c>
      <c r="D187" s="8">
        <f>359132.69/2</f>
        <v>179566.345</v>
      </c>
      <c r="F187" s="16"/>
      <c r="I187" s="32"/>
    </row>
    <row r="188" spans="1:9" ht="15">
      <c r="A188" s="11" t="s">
        <v>117</v>
      </c>
      <c r="B188" s="12" t="s">
        <v>118</v>
      </c>
      <c r="C188" s="13">
        <f>14976.2/2</f>
        <v>7488.1</v>
      </c>
      <c r="D188" s="14">
        <f>969887.06/2</f>
        <v>484943.53</v>
      </c>
      <c r="F188" s="16"/>
      <c r="I188" s="32"/>
    </row>
    <row r="189" spans="6:9" ht="15">
      <c r="F189" s="16"/>
      <c r="I189" s="32"/>
    </row>
    <row r="190" spans="1:9" s="1" customFormat="1" ht="15">
      <c r="A190" s="33" t="s">
        <v>120</v>
      </c>
      <c r="B190" s="2"/>
      <c r="C190" s="15">
        <f>SUM(C178:C189)</f>
        <v>91586.55</v>
      </c>
      <c r="D190" s="16">
        <f>SUM(D178:D189)</f>
        <v>4913467.3100000005</v>
      </c>
      <c r="F190" s="16"/>
      <c r="H190" s="16"/>
      <c r="I190" s="32"/>
    </row>
    <row r="191" ht="15">
      <c r="F191" s="16"/>
    </row>
    <row r="192" ht="15">
      <c r="F192" s="16"/>
    </row>
    <row r="193" ht="15">
      <c r="F193" s="16"/>
    </row>
    <row r="194" ht="15">
      <c r="F194" s="16"/>
    </row>
    <row r="195" ht="15">
      <c r="F195" s="16"/>
    </row>
    <row r="196" ht="15">
      <c r="F196" s="16"/>
    </row>
    <row r="197" ht="15">
      <c r="F197" s="16"/>
    </row>
    <row r="198" ht="15">
      <c r="F198" s="16"/>
    </row>
    <row r="199" ht="15">
      <c r="F199" s="16"/>
    </row>
    <row r="200" ht="15">
      <c r="F200" s="16"/>
    </row>
    <row r="201" ht="15">
      <c r="F201" s="16"/>
    </row>
    <row r="202" ht="15">
      <c r="F202" s="16"/>
    </row>
    <row r="203" ht="15">
      <c r="F203" s="16"/>
    </row>
    <row r="204" ht="15">
      <c r="F204" s="16"/>
    </row>
    <row r="205" ht="15">
      <c r="F205" s="16"/>
    </row>
    <row r="206" ht="15">
      <c r="F206" s="16"/>
    </row>
    <row r="207" ht="15">
      <c r="F207" s="16"/>
    </row>
    <row r="208" ht="15">
      <c r="F208" s="16"/>
    </row>
    <row r="209" ht="15">
      <c r="F209" s="16"/>
    </row>
    <row r="210" ht="15">
      <c r="F210" s="16"/>
    </row>
    <row r="211" ht="15">
      <c r="F211" s="16"/>
    </row>
    <row r="212" ht="15">
      <c r="F212" s="16"/>
    </row>
    <row r="213" ht="15">
      <c r="F213" s="16"/>
    </row>
    <row r="214" ht="15">
      <c r="F214" s="16"/>
    </row>
    <row r="215" ht="15">
      <c r="F215" s="16"/>
    </row>
    <row r="216" ht="15">
      <c r="F216" s="16"/>
    </row>
    <row r="217" ht="15">
      <c r="F217" s="16"/>
    </row>
    <row r="218" ht="15">
      <c r="F218" s="16"/>
    </row>
    <row r="219" ht="15">
      <c r="F219" s="16"/>
    </row>
    <row r="220" ht="15">
      <c r="F220" s="16"/>
    </row>
    <row r="221" ht="15">
      <c r="F221" s="16"/>
    </row>
    <row r="222" ht="15">
      <c r="F222" s="16"/>
    </row>
    <row r="223" ht="15">
      <c r="F223" s="16"/>
    </row>
    <row r="224" ht="15">
      <c r="F224" s="16"/>
    </row>
    <row r="225" ht="15">
      <c r="F225" s="16"/>
    </row>
    <row r="226" ht="15">
      <c r="F226" s="16"/>
    </row>
    <row r="227" ht="15">
      <c r="F227" s="16"/>
    </row>
    <row r="228" ht="15">
      <c r="F228" s="16"/>
    </row>
    <row r="229" ht="15">
      <c r="F229" s="16"/>
    </row>
    <row r="230" ht="15">
      <c r="F230" s="16"/>
    </row>
    <row r="231" ht="15">
      <c r="F231" s="16"/>
    </row>
    <row r="232" ht="15">
      <c r="F232" s="16"/>
    </row>
    <row r="233" ht="15">
      <c r="F233" s="16"/>
    </row>
    <row r="234" ht="15">
      <c r="F234" s="16"/>
    </row>
    <row r="235" ht="15">
      <c r="F235" s="16"/>
    </row>
    <row r="236" ht="15">
      <c r="F236" s="16"/>
    </row>
    <row r="237" ht="15">
      <c r="F237" s="16"/>
    </row>
    <row r="238" ht="15">
      <c r="F238" s="16"/>
    </row>
    <row r="239" ht="15">
      <c r="F239" s="16"/>
    </row>
    <row r="240" ht="15">
      <c r="F240" s="16"/>
    </row>
    <row r="241" ht="15">
      <c r="F241" s="16"/>
    </row>
    <row r="242" ht="15">
      <c r="F242" s="16"/>
    </row>
    <row r="243" ht="15">
      <c r="F243" s="16"/>
    </row>
    <row r="244" ht="15">
      <c r="F244" s="16"/>
    </row>
    <row r="245" ht="15">
      <c r="F245" s="16"/>
    </row>
    <row r="246" ht="15">
      <c r="F246" s="16"/>
    </row>
    <row r="247" ht="15">
      <c r="F247" s="16"/>
    </row>
    <row r="248" ht="15">
      <c r="F248" s="16"/>
    </row>
    <row r="249" ht="15">
      <c r="F249" s="16"/>
    </row>
    <row r="250" ht="15">
      <c r="F250" s="16"/>
    </row>
    <row r="251" ht="15">
      <c r="F251" s="16"/>
    </row>
    <row r="252" ht="15">
      <c r="F252" s="16"/>
    </row>
    <row r="253" ht="15">
      <c r="F253" s="16"/>
    </row>
    <row r="254" ht="15">
      <c r="F254" s="16"/>
    </row>
    <row r="255" ht="15">
      <c r="F255" s="16"/>
    </row>
    <row r="256" ht="15">
      <c r="F256" s="16"/>
    </row>
    <row r="257" ht="15">
      <c r="F257" s="16"/>
    </row>
    <row r="258" ht="15">
      <c r="F258" s="16"/>
    </row>
    <row r="259" ht="15">
      <c r="F259" s="16"/>
    </row>
    <row r="260" ht="15">
      <c r="F260" s="16"/>
    </row>
    <row r="261" ht="15">
      <c r="F261" s="16"/>
    </row>
    <row r="262" ht="15">
      <c r="F262" s="16"/>
    </row>
    <row r="263" ht="15">
      <c r="F263" s="16"/>
    </row>
    <row r="264" ht="15">
      <c r="F264" s="16"/>
    </row>
    <row r="265" ht="15">
      <c r="F265" s="16"/>
    </row>
    <row r="266" ht="15">
      <c r="F266" s="16"/>
    </row>
    <row r="267" ht="15">
      <c r="F267" s="16"/>
    </row>
    <row r="268" ht="15">
      <c r="F268" s="16"/>
    </row>
    <row r="269" ht="15">
      <c r="F269" s="16"/>
    </row>
    <row r="270" ht="15">
      <c r="F270" s="16"/>
    </row>
    <row r="271" ht="15">
      <c r="F271" s="16"/>
    </row>
    <row r="272" ht="15">
      <c r="F272" s="16"/>
    </row>
    <row r="273" ht="15">
      <c r="F273" s="16"/>
    </row>
    <row r="274" ht="15">
      <c r="F274" s="16"/>
    </row>
    <row r="275" ht="15">
      <c r="F275" s="16"/>
    </row>
    <row r="276" ht="15">
      <c r="F276" s="16"/>
    </row>
    <row r="277" ht="15">
      <c r="F277" s="16"/>
    </row>
    <row r="278" ht="15">
      <c r="F278" s="16"/>
    </row>
    <row r="279" ht="15">
      <c r="F279" s="16"/>
    </row>
    <row r="280" ht="15">
      <c r="F280" s="16"/>
    </row>
    <row r="281" ht="15">
      <c r="F281" s="16"/>
    </row>
    <row r="282" ht="15">
      <c r="F282" s="16"/>
    </row>
    <row r="283" ht="15">
      <c r="F283" s="16"/>
    </row>
    <row r="284" ht="15">
      <c r="F284" s="16"/>
    </row>
    <row r="285" ht="15">
      <c r="F285" s="16"/>
    </row>
    <row r="286" ht="15">
      <c r="F286" s="16"/>
    </row>
    <row r="287" ht="15">
      <c r="F287" s="16"/>
    </row>
    <row r="288" ht="15">
      <c r="F288" s="16"/>
    </row>
    <row r="289" ht="15">
      <c r="F289" s="16"/>
    </row>
    <row r="290" ht="15">
      <c r="F290" s="16"/>
    </row>
    <row r="291" ht="15">
      <c r="F291" s="16"/>
    </row>
    <row r="292" ht="15">
      <c r="F292" s="16"/>
    </row>
    <row r="293" ht="15">
      <c r="F293" s="16"/>
    </row>
    <row r="294" ht="15">
      <c r="F294" s="16"/>
    </row>
    <row r="295" ht="15">
      <c r="F295" s="16"/>
    </row>
    <row r="296" ht="15">
      <c r="F296" s="16"/>
    </row>
    <row r="297" ht="15">
      <c r="F297" s="16"/>
    </row>
    <row r="298" ht="15">
      <c r="F298" s="16"/>
    </row>
    <row r="299" ht="15">
      <c r="F299" s="16"/>
    </row>
    <row r="300" ht="15">
      <c r="F300" s="16"/>
    </row>
    <row r="301" ht="15">
      <c r="F301" s="16"/>
    </row>
    <row r="302" ht="15">
      <c r="F302" s="16"/>
    </row>
    <row r="303" ht="15">
      <c r="F303" s="16"/>
    </row>
    <row r="304" ht="15">
      <c r="F304" s="16"/>
    </row>
    <row r="305" ht="15">
      <c r="F305" s="16"/>
    </row>
    <row r="306" ht="15">
      <c r="F306" s="16"/>
    </row>
    <row r="307" ht="15">
      <c r="F307" s="16"/>
    </row>
    <row r="308" ht="15">
      <c r="F308" s="16"/>
    </row>
    <row r="309" ht="15">
      <c r="F309" s="16"/>
    </row>
    <row r="310" ht="15">
      <c r="F310" s="16"/>
    </row>
    <row r="311" ht="15">
      <c r="F311" s="16"/>
    </row>
    <row r="312" ht="15">
      <c r="F312" s="16"/>
    </row>
    <row r="313" ht="15">
      <c r="F313" s="16"/>
    </row>
    <row r="314" ht="15">
      <c r="F314" s="16"/>
    </row>
    <row r="315" ht="15">
      <c r="F315" s="16"/>
    </row>
    <row r="316" ht="15">
      <c r="F316" s="16"/>
    </row>
    <row r="317" ht="15">
      <c r="F317" s="16"/>
    </row>
    <row r="318" ht="15">
      <c r="F318" s="16"/>
    </row>
    <row r="319" ht="15">
      <c r="F319" s="16"/>
    </row>
    <row r="320" ht="15">
      <c r="F320" s="16"/>
    </row>
    <row r="321" ht="15">
      <c r="F321" s="16"/>
    </row>
    <row r="322" ht="15">
      <c r="F322" s="16"/>
    </row>
    <row r="323" ht="15">
      <c r="F323" s="16"/>
    </row>
    <row r="324" ht="15">
      <c r="F324" s="16"/>
    </row>
    <row r="325" ht="15">
      <c r="F325" s="16"/>
    </row>
    <row r="326" ht="15">
      <c r="F326" s="16"/>
    </row>
    <row r="327" ht="15">
      <c r="F327" s="16"/>
    </row>
    <row r="328" ht="15">
      <c r="F328" s="16"/>
    </row>
    <row r="329" ht="15">
      <c r="F329" s="16"/>
    </row>
    <row r="330" ht="15">
      <c r="F330" s="16"/>
    </row>
    <row r="331" ht="15">
      <c r="F331" s="16"/>
    </row>
    <row r="332" ht="15">
      <c r="F332" s="16"/>
    </row>
    <row r="333" ht="15">
      <c r="F333" s="16"/>
    </row>
    <row r="334" ht="15">
      <c r="F334" s="16"/>
    </row>
    <row r="335" ht="15">
      <c r="F335" s="16"/>
    </row>
    <row r="336" ht="15">
      <c r="F336" s="16"/>
    </row>
    <row r="337" ht="15">
      <c r="F337" s="16"/>
    </row>
    <row r="338" ht="15">
      <c r="F338" s="16"/>
    </row>
    <row r="339" ht="15">
      <c r="F339" s="16"/>
    </row>
    <row r="340" ht="15">
      <c r="F340" s="16"/>
    </row>
    <row r="341" ht="15">
      <c r="F341" s="16"/>
    </row>
    <row r="342" ht="15">
      <c r="F342" s="16"/>
    </row>
    <row r="343" ht="15">
      <c r="F343" s="16"/>
    </row>
    <row r="344" ht="15">
      <c r="F344" s="16"/>
    </row>
    <row r="345" ht="15">
      <c r="F345" s="16"/>
    </row>
    <row r="346" ht="15">
      <c r="F346" s="16"/>
    </row>
    <row r="347" ht="15">
      <c r="F347" s="16"/>
    </row>
    <row r="348" ht="15">
      <c r="F348" s="16"/>
    </row>
    <row r="349" ht="15">
      <c r="F349" s="16"/>
    </row>
    <row r="350" ht="15">
      <c r="F350" s="16"/>
    </row>
    <row r="351" ht="15">
      <c r="F351" s="16"/>
    </row>
    <row r="352" ht="15">
      <c r="F352" s="16"/>
    </row>
    <row r="353" ht="15">
      <c r="F353" s="16"/>
    </row>
    <row r="354" ht="15">
      <c r="F354" s="16"/>
    </row>
    <row r="355" ht="15">
      <c r="F355" s="16"/>
    </row>
    <row r="356" ht="15">
      <c r="F356" s="16"/>
    </row>
    <row r="357" ht="15">
      <c r="F357" s="16"/>
    </row>
    <row r="358" ht="15">
      <c r="F358" s="16"/>
    </row>
    <row r="359" ht="15">
      <c r="F359" s="16"/>
    </row>
    <row r="360" ht="15">
      <c r="F360" s="16"/>
    </row>
  </sheetData>
  <sheetProtection/>
  <printOptions/>
  <pageMargins left="0.7" right="0.7" top="1.5" bottom="0.75" header="0.3" footer="0.3"/>
  <pageSetup horizontalDpi="600" verticalDpi="600" orientation="portrait" r:id="rId1"/>
  <headerFooter>
    <oddHeader>&amp;C&amp;"-,Bold"
KENTUCKY POWER COMPANY&amp;RKPSC Case No. 2017-00179
Commission Staff's First Set of Data Requests
Dated May 22, 2017
Item No. 9a
Attachment 1
Page &amp;P of &amp;N</oddHeader>
  </headerFooter>
  <rowBreaks count="11" manualBreakCount="11">
    <brk id="15" max="255" man="1"/>
    <brk id="30" max="255" man="1"/>
    <brk id="46" max="255" man="1"/>
    <brk id="60" max="255" man="1"/>
    <brk id="75" max="255" man="1"/>
    <brk id="89" max="255" man="1"/>
    <brk id="104" max="255" man="1"/>
    <brk id="118" max="255" man="1"/>
    <brk id="132" max="255" man="1"/>
    <brk id="149" max="3" man="1"/>
    <brk id="17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9.7109375" style="4" bestFit="1" customWidth="1"/>
    <col min="2" max="2" width="13.140625" style="4" bestFit="1" customWidth="1"/>
    <col min="3" max="3" width="10.57421875" style="4" bestFit="1" customWidth="1"/>
    <col min="4" max="4" width="12.00390625" style="4" bestFit="1" customWidth="1"/>
    <col min="5" max="5" width="13.7109375" style="4" bestFit="1" customWidth="1"/>
    <col min="6" max="6" width="10.57421875" style="4" bestFit="1" customWidth="1"/>
    <col min="7" max="7" width="12.8515625" style="4" bestFit="1" customWidth="1"/>
    <col min="8" max="8" width="13.421875" style="4" bestFit="1" customWidth="1"/>
    <col min="9" max="9" width="13.140625" style="4" bestFit="1" customWidth="1"/>
    <col min="10" max="10" width="31.7109375" style="4" bestFit="1" customWidth="1"/>
    <col min="11" max="11" width="13.00390625" style="4" bestFit="1" customWidth="1"/>
    <col min="12" max="12" width="10.140625" style="4" bestFit="1" customWidth="1"/>
    <col min="13" max="13" width="11.00390625" style="4" bestFit="1" customWidth="1"/>
    <col min="14" max="14" width="11.57421875" style="4" bestFit="1" customWidth="1"/>
    <col min="15" max="15" width="10.421875" style="4" bestFit="1" customWidth="1"/>
    <col min="16" max="16" width="10.57421875" style="4" bestFit="1" customWidth="1"/>
    <col min="17" max="17" width="9.8515625" style="4" bestFit="1" customWidth="1"/>
    <col min="18" max="18" width="10.57421875" style="4" bestFit="1" customWidth="1"/>
    <col min="19" max="19" width="12.421875" style="4" bestFit="1" customWidth="1"/>
    <col min="20" max="20" width="12.8515625" style="4" bestFit="1" customWidth="1"/>
    <col min="21" max="21" width="13.00390625" style="4" bestFit="1" customWidth="1"/>
    <col min="22" max="22" width="13.421875" style="4" bestFit="1" customWidth="1"/>
    <col min="23" max="23" width="12.8515625" style="4" bestFit="1" customWidth="1"/>
    <col min="24" max="24" width="12.7109375" style="4" bestFit="1" customWidth="1"/>
    <col min="25" max="25" width="28.421875" style="4" bestFit="1" customWidth="1"/>
    <col min="26" max="16384" width="9.140625" style="4" customWidth="1"/>
  </cols>
  <sheetData>
    <row r="1" spans="1:25" ht="27" thickBot="1">
      <c r="A1" s="23" t="s">
        <v>6</v>
      </c>
      <c r="B1" s="23" t="s">
        <v>9</v>
      </c>
      <c r="C1" s="23" t="s">
        <v>5</v>
      </c>
      <c r="D1" s="23" t="s">
        <v>55</v>
      </c>
      <c r="E1" s="23" t="s">
        <v>8</v>
      </c>
      <c r="F1" s="23" t="s">
        <v>10</v>
      </c>
      <c r="G1" s="23" t="s">
        <v>11</v>
      </c>
      <c r="H1" s="23" t="s">
        <v>56</v>
      </c>
      <c r="I1" s="23" t="s">
        <v>57</v>
      </c>
      <c r="J1" s="23" t="s">
        <v>17</v>
      </c>
      <c r="K1" s="23" t="s">
        <v>18</v>
      </c>
      <c r="L1" s="23" t="s">
        <v>12</v>
      </c>
      <c r="M1" s="23" t="s">
        <v>58</v>
      </c>
      <c r="N1" s="23" t="s">
        <v>14</v>
      </c>
      <c r="O1" s="23" t="s">
        <v>13</v>
      </c>
      <c r="P1" s="23" t="s">
        <v>59</v>
      </c>
      <c r="Q1" s="23" t="s">
        <v>19</v>
      </c>
      <c r="R1" s="23" t="s">
        <v>15</v>
      </c>
      <c r="S1" s="23" t="s">
        <v>16</v>
      </c>
      <c r="T1" s="23" t="s">
        <v>60</v>
      </c>
      <c r="U1" s="23" t="s">
        <v>61</v>
      </c>
      <c r="V1" s="23" t="s">
        <v>62</v>
      </c>
      <c r="W1" s="23" t="s">
        <v>63</v>
      </c>
      <c r="X1" s="23" t="s">
        <v>64</v>
      </c>
      <c r="Y1" s="23" t="s">
        <v>7</v>
      </c>
    </row>
    <row r="2" spans="1:25" ht="15">
      <c r="A2" s="24" t="s">
        <v>20</v>
      </c>
      <c r="B2" s="24" t="s">
        <v>65</v>
      </c>
      <c r="C2" s="25" t="s">
        <v>86</v>
      </c>
      <c r="D2" s="24" t="s">
        <v>66</v>
      </c>
      <c r="E2" s="24" t="s">
        <v>21</v>
      </c>
      <c r="F2" s="24" t="s">
        <v>67</v>
      </c>
      <c r="G2" s="24" t="s">
        <v>68</v>
      </c>
      <c r="H2" s="24" t="s">
        <v>69</v>
      </c>
      <c r="I2" s="26">
        <v>3187638.68</v>
      </c>
      <c r="J2" s="24" t="s">
        <v>70</v>
      </c>
      <c r="K2" s="24" t="s">
        <v>71</v>
      </c>
      <c r="L2" s="24" t="s">
        <v>72</v>
      </c>
      <c r="M2" s="24" t="s">
        <v>73</v>
      </c>
      <c r="N2" s="24" t="s">
        <v>26</v>
      </c>
      <c r="O2" s="24" t="s">
        <v>25</v>
      </c>
      <c r="P2" s="24" t="s">
        <v>87</v>
      </c>
      <c r="Q2" s="27">
        <v>0</v>
      </c>
      <c r="R2" s="27">
        <v>2016</v>
      </c>
      <c r="S2" s="27">
        <v>3</v>
      </c>
      <c r="T2" s="24" t="s">
        <v>75</v>
      </c>
      <c r="U2" s="24" t="s">
        <v>76</v>
      </c>
      <c r="V2" s="26">
        <v>16673581.31</v>
      </c>
      <c r="W2" s="24" t="s">
        <v>77</v>
      </c>
      <c r="X2" s="24" t="s">
        <v>78</v>
      </c>
      <c r="Y2" s="24" t="s">
        <v>79</v>
      </c>
    </row>
    <row r="3" spans="1:25" ht="15">
      <c r="A3" s="24" t="s">
        <v>20</v>
      </c>
      <c r="B3" s="24" t="s">
        <v>65</v>
      </c>
      <c r="C3" s="25" t="s">
        <v>86</v>
      </c>
      <c r="D3" s="24" t="s">
        <v>66</v>
      </c>
      <c r="E3" s="24" t="s">
        <v>21</v>
      </c>
      <c r="F3" s="24" t="s">
        <v>67</v>
      </c>
      <c r="G3" s="24" t="s">
        <v>68</v>
      </c>
      <c r="H3" s="24" t="s">
        <v>69</v>
      </c>
      <c r="I3" s="26">
        <v>5149151.97</v>
      </c>
      <c r="J3" s="24" t="s">
        <v>80</v>
      </c>
      <c r="K3" s="24" t="s">
        <v>71</v>
      </c>
      <c r="L3" s="24" t="s">
        <v>81</v>
      </c>
      <c r="M3" s="24" t="s">
        <v>73</v>
      </c>
      <c r="N3" s="24" t="s">
        <v>26</v>
      </c>
      <c r="O3" s="24" t="s">
        <v>25</v>
      </c>
      <c r="P3" s="24" t="s">
        <v>87</v>
      </c>
      <c r="Q3" s="27">
        <v>0</v>
      </c>
      <c r="R3" s="27">
        <v>2016</v>
      </c>
      <c r="S3" s="27">
        <v>3</v>
      </c>
      <c r="T3" s="24" t="s">
        <v>75</v>
      </c>
      <c r="U3" s="24" t="s">
        <v>76</v>
      </c>
      <c r="V3" s="26">
        <v>16673581.31</v>
      </c>
      <c r="W3" s="24" t="s">
        <v>77</v>
      </c>
      <c r="X3" s="24" t="s">
        <v>78</v>
      </c>
      <c r="Y3" s="24" t="s">
        <v>79</v>
      </c>
    </row>
    <row r="4" spans="1:25" ht="15">
      <c r="A4" s="24" t="s">
        <v>20</v>
      </c>
      <c r="B4" s="24" t="s">
        <v>82</v>
      </c>
      <c r="C4" s="25" t="s">
        <v>86</v>
      </c>
      <c r="D4" s="24" t="s">
        <v>66</v>
      </c>
      <c r="E4" s="24" t="s">
        <v>29</v>
      </c>
      <c r="F4" s="24" t="s">
        <v>67</v>
      </c>
      <c r="G4" s="24" t="s">
        <v>68</v>
      </c>
      <c r="H4" s="24" t="s">
        <v>69</v>
      </c>
      <c r="I4" s="26">
        <v>61759.77</v>
      </c>
      <c r="J4" s="24" t="s">
        <v>83</v>
      </c>
      <c r="K4" s="24" t="s">
        <v>71</v>
      </c>
      <c r="L4" s="24" t="s">
        <v>72</v>
      </c>
      <c r="M4" s="24" t="s">
        <v>73</v>
      </c>
      <c r="N4" s="24" t="s">
        <v>30</v>
      </c>
      <c r="O4" s="24" t="s">
        <v>25</v>
      </c>
      <c r="P4" s="24" t="s">
        <v>87</v>
      </c>
      <c r="Q4" s="27">
        <v>0</v>
      </c>
      <c r="R4" s="27">
        <v>2016</v>
      </c>
      <c r="S4" s="27">
        <v>3</v>
      </c>
      <c r="T4" s="24" t="s">
        <v>75</v>
      </c>
      <c r="U4" s="24" t="s">
        <v>76</v>
      </c>
      <c r="V4" s="26">
        <v>182620.51</v>
      </c>
      <c r="W4" s="24" t="s">
        <v>77</v>
      </c>
      <c r="X4" s="24" t="s">
        <v>78</v>
      </c>
      <c r="Y4" s="24" t="s">
        <v>84</v>
      </c>
    </row>
    <row r="5" spans="1:25" ht="15">
      <c r="A5" s="24" t="s">
        <v>20</v>
      </c>
      <c r="B5" s="24" t="s">
        <v>82</v>
      </c>
      <c r="C5" s="25" t="s">
        <v>86</v>
      </c>
      <c r="D5" s="24" t="s">
        <v>66</v>
      </c>
      <c r="E5" s="24" t="s">
        <v>29</v>
      </c>
      <c r="F5" s="24" t="s">
        <v>67</v>
      </c>
      <c r="G5" s="24" t="s">
        <v>68</v>
      </c>
      <c r="H5" s="24" t="s">
        <v>69</v>
      </c>
      <c r="I5" s="26">
        <v>29550.48</v>
      </c>
      <c r="J5" s="24" t="s">
        <v>85</v>
      </c>
      <c r="K5" s="24" t="s">
        <v>71</v>
      </c>
      <c r="L5" s="24" t="s">
        <v>81</v>
      </c>
      <c r="M5" s="24" t="s">
        <v>73</v>
      </c>
      <c r="N5" s="24" t="s">
        <v>30</v>
      </c>
      <c r="O5" s="24" t="s">
        <v>25</v>
      </c>
      <c r="P5" s="24" t="s">
        <v>87</v>
      </c>
      <c r="Q5" s="27">
        <v>0</v>
      </c>
      <c r="R5" s="27">
        <v>2016</v>
      </c>
      <c r="S5" s="27">
        <v>3</v>
      </c>
      <c r="T5" s="24" t="s">
        <v>75</v>
      </c>
      <c r="U5" s="24" t="s">
        <v>76</v>
      </c>
      <c r="V5" s="26">
        <v>182620.51</v>
      </c>
      <c r="W5" s="24" t="s">
        <v>77</v>
      </c>
      <c r="X5" s="24" t="s">
        <v>78</v>
      </c>
      <c r="Y5" s="24" t="s">
        <v>84</v>
      </c>
    </row>
    <row r="6" spans="1:25" ht="15">
      <c r="A6" s="24" t="s">
        <v>20</v>
      </c>
      <c r="B6" s="24" t="s">
        <v>65</v>
      </c>
      <c r="C6" s="25" t="s">
        <v>89</v>
      </c>
      <c r="D6" s="24" t="s">
        <v>66</v>
      </c>
      <c r="E6" s="24" t="s">
        <v>21</v>
      </c>
      <c r="F6" s="24" t="s">
        <v>67</v>
      </c>
      <c r="G6" s="24" t="s">
        <v>68</v>
      </c>
      <c r="H6" s="24" t="s">
        <v>69</v>
      </c>
      <c r="I6" s="26">
        <v>4951155.72</v>
      </c>
      <c r="J6" s="24" t="s">
        <v>70</v>
      </c>
      <c r="K6" s="24" t="s">
        <v>71</v>
      </c>
      <c r="L6" s="24" t="s">
        <v>72</v>
      </c>
      <c r="M6" s="24" t="s">
        <v>73</v>
      </c>
      <c r="N6" s="24" t="s">
        <v>26</v>
      </c>
      <c r="O6" s="24" t="s">
        <v>25</v>
      </c>
      <c r="P6" s="24" t="s">
        <v>87</v>
      </c>
      <c r="Q6" s="27">
        <v>0</v>
      </c>
      <c r="R6" s="27">
        <v>2016</v>
      </c>
      <c r="S6" s="27">
        <v>4</v>
      </c>
      <c r="T6" s="24" t="s">
        <v>75</v>
      </c>
      <c r="U6" s="24" t="s">
        <v>76</v>
      </c>
      <c r="V6" s="26">
        <v>10832010.11</v>
      </c>
      <c r="W6" s="24" t="s">
        <v>77</v>
      </c>
      <c r="X6" s="24" t="s">
        <v>78</v>
      </c>
      <c r="Y6" s="24" t="s">
        <v>79</v>
      </c>
    </row>
    <row r="7" spans="1:25" ht="15">
      <c r="A7" s="24" t="s">
        <v>20</v>
      </c>
      <c r="B7" s="24" t="s">
        <v>65</v>
      </c>
      <c r="C7" s="25" t="s">
        <v>89</v>
      </c>
      <c r="D7" s="24" t="s">
        <v>66</v>
      </c>
      <c r="E7" s="24" t="s">
        <v>21</v>
      </c>
      <c r="F7" s="24" t="s">
        <v>67</v>
      </c>
      <c r="G7" s="24" t="s">
        <v>68</v>
      </c>
      <c r="H7" s="24" t="s">
        <v>69</v>
      </c>
      <c r="I7" s="26">
        <v>464849.33</v>
      </c>
      <c r="J7" s="24" t="s">
        <v>80</v>
      </c>
      <c r="K7" s="24" t="s">
        <v>71</v>
      </c>
      <c r="L7" s="24" t="s">
        <v>81</v>
      </c>
      <c r="M7" s="24" t="s">
        <v>73</v>
      </c>
      <c r="N7" s="24" t="s">
        <v>26</v>
      </c>
      <c r="O7" s="24" t="s">
        <v>25</v>
      </c>
      <c r="P7" s="24" t="s">
        <v>87</v>
      </c>
      <c r="Q7" s="27">
        <v>0</v>
      </c>
      <c r="R7" s="27">
        <v>2016</v>
      </c>
      <c r="S7" s="27">
        <v>4</v>
      </c>
      <c r="T7" s="24" t="s">
        <v>75</v>
      </c>
      <c r="U7" s="24" t="s">
        <v>76</v>
      </c>
      <c r="V7" s="26">
        <v>10832010.11</v>
      </c>
      <c r="W7" s="24" t="s">
        <v>77</v>
      </c>
      <c r="X7" s="24" t="s">
        <v>78</v>
      </c>
      <c r="Y7" s="24" t="s">
        <v>79</v>
      </c>
    </row>
    <row r="8" spans="1:25" ht="15">
      <c r="A8" s="24" t="s">
        <v>20</v>
      </c>
      <c r="B8" s="24" t="s">
        <v>94</v>
      </c>
      <c r="C8" s="25" t="s">
        <v>89</v>
      </c>
      <c r="D8" s="24" t="s">
        <v>66</v>
      </c>
      <c r="E8" s="24" t="s">
        <v>21</v>
      </c>
      <c r="F8" s="24" t="s">
        <v>22</v>
      </c>
      <c r="G8" s="24" t="s">
        <v>23</v>
      </c>
      <c r="H8" s="24" t="s">
        <v>69</v>
      </c>
      <c r="I8" s="26">
        <v>77.07</v>
      </c>
      <c r="J8" s="24" t="s">
        <v>27</v>
      </c>
      <c r="K8" s="24" t="s">
        <v>28</v>
      </c>
      <c r="L8" s="24" t="s">
        <v>24</v>
      </c>
      <c r="M8" s="24" t="s">
        <v>73</v>
      </c>
      <c r="N8" s="24" t="s">
        <v>26</v>
      </c>
      <c r="O8" s="24" t="s">
        <v>25</v>
      </c>
      <c r="P8" s="24" t="s">
        <v>87</v>
      </c>
      <c r="Q8" s="27">
        <v>0</v>
      </c>
      <c r="R8" s="27">
        <v>2016</v>
      </c>
      <c r="S8" s="27">
        <v>4</v>
      </c>
      <c r="T8" s="24" t="s">
        <v>75</v>
      </c>
      <c r="U8" s="24" t="s">
        <v>76</v>
      </c>
      <c r="V8" s="26">
        <v>77.07</v>
      </c>
      <c r="W8" s="24" t="s">
        <v>95</v>
      </c>
      <c r="X8" s="24" t="s">
        <v>96</v>
      </c>
      <c r="Y8" s="24" t="s">
        <v>97</v>
      </c>
    </row>
    <row r="9" spans="1:25" ht="15">
      <c r="A9" s="24" t="s">
        <v>20</v>
      </c>
      <c r="B9" s="24" t="s">
        <v>94</v>
      </c>
      <c r="C9" s="25" t="s">
        <v>89</v>
      </c>
      <c r="D9" s="24" t="s">
        <v>66</v>
      </c>
      <c r="E9" s="24" t="s">
        <v>21</v>
      </c>
      <c r="F9" s="24" t="s">
        <v>22</v>
      </c>
      <c r="G9" s="24" t="s">
        <v>23</v>
      </c>
      <c r="H9" s="24" t="s">
        <v>69</v>
      </c>
      <c r="I9" s="26">
        <v>0</v>
      </c>
      <c r="J9" s="24" t="s">
        <v>32</v>
      </c>
      <c r="K9" s="24" t="s">
        <v>28</v>
      </c>
      <c r="L9" s="24" t="s">
        <v>31</v>
      </c>
      <c r="M9" s="24" t="s">
        <v>73</v>
      </c>
      <c r="N9" s="24" t="s">
        <v>26</v>
      </c>
      <c r="O9" s="24" t="s">
        <v>25</v>
      </c>
      <c r="P9" s="24" t="s">
        <v>87</v>
      </c>
      <c r="Q9" s="27">
        <v>0</v>
      </c>
      <c r="R9" s="27">
        <v>2016</v>
      </c>
      <c r="S9" s="27">
        <v>4</v>
      </c>
      <c r="T9" s="24" t="s">
        <v>75</v>
      </c>
      <c r="U9" s="24" t="s">
        <v>76</v>
      </c>
      <c r="V9" s="26">
        <v>77.07</v>
      </c>
      <c r="W9" s="24" t="s">
        <v>95</v>
      </c>
      <c r="X9" s="24" t="s">
        <v>96</v>
      </c>
      <c r="Y9" s="24" t="s">
        <v>97</v>
      </c>
    </row>
    <row r="10" spans="1:25" ht="15">
      <c r="A10" s="24" t="s">
        <v>20</v>
      </c>
      <c r="B10" s="24" t="s">
        <v>82</v>
      </c>
      <c r="C10" s="25" t="s">
        <v>89</v>
      </c>
      <c r="D10" s="24" t="s">
        <v>66</v>
      </c>
      <c r="E10" s="24" t="s">
        <v>29</v>
      </c>
      <c r="F10" s="24" t="s">
        <v>67</v>
      </c>
      <c r="G10" s="24" t="s">
        <v>68</v>
      </c>
      <c r="H10" s="24" t="s">
        <v>69</v>
      </c>
      <c r="I10" s="26">
        <v>61961.83</v>
      </c>
      <c r="J10" s="24" t="s">
        <v>83</v>
      </c>
      <c r="K10" s="24" t="s">
        <v>71</v>
      </c>
      <c r="L10" s="24" t="s">
        <v>72</v>
      </c>
      <c r="M10" s="24" t="s">
        <v>73</v>
      </c>
      <c r="N10" s="24" t="s">
        <v>30</v>
      </c>
      <c r="O10" s="24" t="s">
        <v>25</v>
      </c>
      <c r="P10" s="24" t="s">
        <v>87</v>
      </c>
      <c r="Q10" s="27">
        <v>0</v>
      </c>
      <c r="R10" s="27">
        <v>2016</v>
      </c>
      <c r="S10" s="27">
        <v>4</v>
      </c>
      <c r="T10" s="24" t="s">
        <v>75</v>
      </c>
      <c r="U10" s="24" t="s">
        <v>76</v>
      </c>
      <c r="V10" s="26">
        <v>342726.12</v>
      </c>
      <c r="W10" s="24" t="s">
        <v>77</v>
      </c>
      <c r="X10" s="24" t="s">
        <v>78</v>
      </c>
      <c r="Y10" s="24" t="s">
        <v>84</v>
      </c>
    </row>
    <row r="11" spans="1:25" ht="15">
      <c r="A11" s="24" t="s">
        <v>20</v>
      </c>
      <c r="B11" s="24" t="s">
        <v>82</v>
      </c>
      <c r="C11" s="25" t="s">
        <v>89</v>
      </c>
      <c r="D11" s="24" t="s">
        <v>66</v>
      </c>
      <c r="E11" s="24" t="s">
        <v>29</v>
      </c>
      <c r="F11" s="24" t="s">
        <v>67</v>
      </c>
      <c r="G11" s="24" t="s">
        <v>68</v>
      </c>
      <c r="H11" s="24" t="s">
        <v>69</v>
      </c>
      <c r="I11" s="26">
        <v>109401.22</v>
      </c>
      <c r="J11" s="24" t="s">
        <v>85</v>
      </c>
      <c r="K11" s="24" t="s">
        <v>71</v>
      </c>
      <c r="L11" s="24" t="s">
        <v>81</v>
      </c>
      <c r="M11" s="24" t="s">
        <v>73</v>
      </c>
      <c r="N11" s="24" t="s">
        <v>30</v>
      </c>
      <c r="O11" s="24" t="s">
        <v>25</v>
      </c>
      <c r="P11" s="24" t="s">
        <v>87</v>
      </c>
      <c r="Q11" s="27">
        <v>0</v>
      </c>
      <c r="R11" s="27">
        <v>2016</v>
      </c>
      <c r="S11" s="27">
        <v>4</v>
      </c>
      <c r="T11" s="24" t="s">
        <v>75</v>
      </c>
      <c r="U11" s="24" t="s">
        <v>76</v>
      </c>
      <c r="V11" s="26">
        <v>342726.12</v>
      </c>
      <c r="W11" s="24" t="s">
        <v>77</v>
      </c>
      <c r="X11" s="24" t="s">
        <v>78</v>
      </c>
      <c r="Y11" s="24" t="s">
        <v>84</v>
      </c>
    </row>
    <row r="12" spans="1:25" ht="15">
      <c r="A12" s="24" t="s">
        <v>20</v>
      </c>
      <c r="B12" s="24" t="s">
        <v>65</v>
      </c>
      <c r="C12" s="25" t="s">
        <v>88</v>
      </c>
      <c r="D12" s="24" t="s">
        <v>66</v>
      </c>
      <c r="E12" s="24" t="s">
        <v>21</v>
      </c>
      <c r="F12" s="24" t="s">
        <v>67</v>
      </c>
      <c r="G12" s="24" t="s">
        <v>68</v>
      </c>
      <c r="H12" s="24" t="s">
        <v>69</v>
      </c>
      <c r="I12" s="26">
        <v>811356.89</v>
      </c>
      <c r="J12" s="24" t="s">
        <v>70</v>
      </c>
      <c r="K12" s="24" t="s">
        <v>71</v>
      </c>
      <c r="L12" s="24" t="s">
        <v>72</v>
      </c>
      <c r="M12" s="24" t="s">
        <v>73</v>
      </c>
      <c r="N12" s="24" t="s">
        <v>26</v>
      </c>
      <c r="O12" s="24" t="s">
        <v>25</v>
      </c>
      <c r="P12" s="24" t="s">
        <v>87</v>
      </c>
      <c r="Q12" s="27">
        <v>0</v>
      </c>
      <c r="R12" s="27">
        <v>2016</v>
      </c>
      <c r="S12" s="27">
        <v>5</v>
      </c>
      <c r="T12" s="24" t="s">
        <v>75</v>
      </c>
      <c r="U12" s="24" t="s">
        <v>76</v>
      </c>
      <c r="V12" s="26">
        <v>9197442.85</v>
      </c>
      <c r="W12" s="24" t="s">
        <v>77</v>
      </c>
      <c r="X12" s="24" t="s">
        <v>78</v>
      </c>
      <c r="Y12" s="24" t="s">
        <v>79</v>
      </c>
    </row>
    <row r="13" spans="1:25" ht="15">
      <c r="A13" s="24" t="s">
        <v>20</v>
      </c>
      <c r="B13" s="24" t="s">
        <v>65</v>
      </c>
      <c r="C13" s="25" t="s">
        <v>88</v>
      </c>
      <c r="D13" s="24" t="s">
        <v>66</v>
      </c>
      <c r="E13" s="24" t="s">
        <v>21</v>
      </c>
      <c r="F13" s="24" t="s">
        <v>67</v>
      </c>
      <c r="G13" s="24" t="s">
        <v>68</v>
      </c>
      <c r="H13" s="24" t="s">
        <v>69</v>
      </c>
      <c r="I13" s="26">
        <v>3787364.52</v>
      </c>
      <c r="J13" s="24" t="s">
        <v>80</v>
      </c>
      <c r="K13" s="24" t="s">
        <v>71</v>
      </c>
      <c r="L13" s="24" t="s">
        <v>81</v>
      </c>
      <c r="M13" s="24" t="s">
        <v>73</v>
      </c>
      <c r="N13" s="24" t="s">
        <v>26</v>
      </c>
      <c r="O13" s="24" t="s">
        <v>25</v>
      </c>
      <c r="P13" s="24" t="s">
        <v>87</v>
      </c>
      <c r="Q13" s="27">
        <v>0</v>
      </c>
      <c r="R13" s="27">
        <v>2016</v>
      </c>
      <c r="S13" s="27">
        <v>5</v>
      </c>
      <c r="T13" s="24" t="s">
        <v>75</v>
      </c>
      <c r="U13" s="24" t="s">
        <v>76</v>
      </c>
      <c r="V13" s="26">
        <v>9197442.85</v>
      </c>
      <c r="W13" s="24" t="s">
        <v>77</v>
      </c>
      <c r="X13" s="24" t="s">
        <v>78</v>
      </c>
      <c r="Y13" s="24" t="s">
        <v>79</v>
      </c>
    </row>
    <row r="14" spans="1:25" ht="15">
      <c r="A14" s="24" t="s">
        <v>20</v>
      </c>
      <c r="B14" s="24" t="s">
        <v>82</v>
      </c>
      <c r="C14" s="25" t="s">
        <v>88</v>
      </c>
      <c r="D14" s="24" t="s">
        <v>66</v>
      </c>
      <c r="E14" s="24" t="s">
        <v>29</v>
      </c>
      <c r="F14" s="24" t="s">
        <v>67</v>
      </c>
      <c r="G14" s="24" t="s">
        <v>68</v>
      </c>
      <c r="H14" s="24" t="s">
        <v>69</v>
      </c>
      <c r="I14" s="26">
        <v>103738.57</v>
      </c>
      <c r="J14" s="24" t="s">
        <v>83</v>
      </c>
      <c r="K14" s="24" t="s">
        <v>71</v>
      </c>
      <c r="L14" s="24" t="s">
        <v>72</v>
      </c>
      <c r="M14" s="24" t="s">
        <v>73</v>
      </c>
      <c r="N14" s="24" t="s">
        <v>30</v>
      </c>
      <c r="O14" s="24" t="s">
        <v>25</v>
      </c>
      <c r="P14" s="24" t="s">
        <v>87</v>
      </c>
      <c r="Q14" s="27">
        <v>0</v>
      </c>
      <c r="R14" s="27">
        <v>2016</v>
      </c>
      <c r="S14" s="27">
        <v>5</v>
      </c>
      <c r="T14" s="24" t="s">
        <v>75</v>
      </c>
      <c r="U14" s="24" t="s">
        <v>76</v>
      </c>
      <c r="V14" s="26">
        <v>414925.51</v>
      </c>
      <c r="W14" s="24" t="s">
        <v>77</v>
      </c>
      <c r="X14" s="24" t="s">
        <v>78</v>
      </c>
      <c r="Y14" s="24" t="s">
        <v>84</v>
      </c>
    </row>
    <row r="15" spans="1:25" ht="15">
      <c r="A15" s="24" t="s">
        <v>20</v>
      </c>
      <c r="B15" s="24" t="s">
        <v>82</v>
      </c>
      <c r="C15" s="25" t="s">
        <v>88</v>
      </c>
      <c r="D15" s="24" t="s">
        <v>66</v>
      </c>
      <c r="E15" s="24" t="s">
        <v>29</v>
      </c>
      <c r="F15" s="24" t="s">
        <v>67</v>
      </c>
      <c r="G15" s="24" t="s">
        <v>68</v>
      </c>
      <c r="H15" s="24" t="s">
        <v>69</v>
      </c>
      <c r="I15" s="26">
        <v>103724.18</v>
      </c>
      <c r="J15" s="24" t="s">
        <v>85</v>
      </c>
      <c r="K15" s="24" t="s">
        <v>71</v>
      </c>
      <c r="L15" s="24" t="s">
        <v>81</v>
      </c>
      <c r="M15" s="24" t="s">
        <v>73</v>
      </c>
      <c r="N15" s="24" t="s">
        <v>30</v>
      </c>
      <c r="O15" s="24" t="s">
        <v>25</v>
      </c>
      <c r="P15" s="24" t="s">
        <v>87</v>
      </c>
      <c r="Q15" s="27">
        <v>0</v>
      </c>
      <c r="R15" s="27">
        <v>2016</v>
      </c>
      <c r="S15" s="27">
        <v>5</v>
      </c>
      <c r="T15" s="24" t="s">
        <v>75</v>
      </c>
      <c r="U15" s="24" t="s">
        <v>76</v>
      </c>
      <c r="V15" s="26">
        <v>414925.51</v>
      </c>
      <c r="W15" s="24" t="s">
        <v>77</v>
      </c>
      <c r="X15" s="24" t="s">
        <v>78</v>
      </c>
      <c r="Y15" s="24" t="s">
        <v>84</v>
      </c>
    </row>
    <row r="16" spans="1:25" ht="15">
      <c r="A16" s="24" t="s">
        <v>20</v>
      </c>
      <c r="B16" s="24" t="s">
        <v>65</v>
      </c>
      <c r="C16" s="25" t="s">
        <v>90</v>
      </c>
      <c r="D16" s="24" t="s">
        <v>66</v>
      </c>
      <c r="E16" s="24" t="s">
        <v>21</v>
      </c>
      <c r="F16" s="24" t="s">
        <v>67</v>
      </c>
      <c r="G16" s="24" t="s">
        <v>68</v>
      </c>
      <c r="H16" s="24" t="s">
        <v>69</v>
      </c>
      <c r="I16" s="26">
        <v>5199449.42</v>
      </c>
      <c r="J16" s="24" t="s">
        <v>70</v>
      </c>
      <c r="K16" s="24" t="s">
        <v>71</v>
      </c>
      <c r="L16" s="24" t="s">
        <v>72</v>
      </c>
      <c r="M16" s="24" t="s">
        <v>73</v>
      </c>
      <c r="N16" s="24" t="s">
        <v>26</v>
      </c>
      <c r="O16" s="24" t="s">
        <v>25</v>
      </c>
      <c r="P16" s="24" t="s">
        <v>87</v>
      </c>
      <c r="Q16" s="27">
        <v>0</v>
      </c>
      <c r="R16" s="27">
        <v>2016</v>
      </c>
      <c r="S16" s="27">
        <v>6</v>
      </c>
      <c r="T16" s="24" t="s">
        <v>75</v>
      </c>
      <c r="U16" s="24" t="s">
        <v>76</v>
      </c>
      <c r="V16" s="26">
        <v>19324967.02</v>
      </c>
      <c r="W16" s="24" t="s">
        <v>77</v>
      </c>
      <c r="X16" s="24" t="s">
        <v>78</v>
      </c>
      <c r="Y16" s="24" t="s">
        <v>79</v>
      </c>
    </row>
    <row r="17" spans="1:25" ht="15">
      <c r="A17" s="24" t="s">
        <v>20</v>
      </c>
      <c r="B17" s="24" t="s">
        <v>65</v>
      </c>
      <c r="C17" s="25" t="s">
        <v>90</v>
      </c>
      <c r="D17" s="24" t="s">
        <v>66</v>
      </c>
      <c r="E17" s="24" t="s">
        <v>21</v>
      </c>
      <c r="F17" s="24" t="s">
        <v>67</v>
      </c>
      <c r="G17" s="24" t="s">
        <v>68</v>
      </c>
      <c r="H17" s="24" t="s">
        <v>69</v>
      </c>
      <c r="I17" s="26">
        <v>4463034.08</v>
      </c>
      <c r="J17" s="24" t="s">
        <v>80</v>
      </c>
      <c r="K17" s="24" t="s">
        <v>71</v>
      </c>
      <c r="L17" s="24" t="s">
        <v>81</v>
      </c>
      <c r="M17" s="24" t="s">
        <v>73</v>
      </c>
      <c r="N17" s="24" t="s">
        <v>26</v>
      </c>
      <c r="O17" s="24" t="s">
        <v>25</v>
      </c>
      <c r="P17" s="24" t="s">
        <v>87</v>
      </c>
      <c r="Q17" s="27">
        <v>0</v>
      </c>
      <c r="R17" s="27">
        <v>2016</v>
      </c>
      <c r="S17" s="27">
        <v>6</v>
      </c>
      <c r="T17" s="24" t="s">
        <v>75</v>
      </c>
      <c r="U17" s="24" t="s">
        <v>76</v>
      </c>
      <c r="V17" s="26">
        <v>19324967.02</v>
      </c>
      <c r="W17" s="24" t="s">
        <v>77</v>
      </c>
      <c r="X17" s="24" t="s">
        <v>78</v>
      </c>
      <c r="Y17" s="24" t="s">
        <v>79</v>
      </c>
    </row>
    <row r="18" spans="1:25" ht="15">
      <c r="A18" s="24" t="s">
        <v>20</v>
      </c>
      <c r="B18" s="24" t="s">
        <v>82</v>
      </c>
      <c r="C18" s="25" t="s">
        <v>90</v>
      </c>
      <c r="D18" s="24" t="s">
        <v>66</v>
      </c>
      <c r="E18" s="24" t="s">
        <v>29</v>
      </c>
      <c r="F18" s="24" t="s">
        <v>67</v>
      </c>
      <c r="G18" s="24" t="s">
        <v>68</v>
      </c>
      <c r="H18" s="24" t="s">
        <v>69</v>
      </c>
      <c r="I18" s="26">
        <v>25350.21</v>
      </c>
      <c r="J18" s="24" t="s">
        <v>83</v>
      </c>
      <c r="K18" s="24" t="s">
        <v>71</v>
      </c>
      <c r="L18" s="24" t="s">
        <v>72</v>
      </c>
      <c r="M18" s="24" t="s">
        <v>73</v>
      </c>
      <c r="N18" s="24" t="s">
        <v>30</v>
      </c>
      <c r="O18" s="24" t="s">
        <v>25</v>
      </c>
      <c r="P18" s="24" t="s">
        <v>87</v>
      </c>
      <c r="Q18" s="27">
        <v>0</v>
      </c>
      <c r="R18" s="27">
        <v>2016</v>
      </c>
      <c r="S18" s="27">
        <v>6</v>
      </c>
      <c r="T18" s="24" t="s">
        <v>75</v>
      </c>
      <c r="U18" s="24" t="s">
        <v>76</v>
      </c>
      <c r="V18" s="26">
        <v>109150.81</v>
      </c>
      <c r="W18" s="24" t="s">
        <v>77</v>
      </c>
      <c r="X18" s="24" t="s">
        <v>78</v>
      </c>
      <c r="Y18" s="24" t="s">
        <v>84</v>
      </c>
    </row>
    <row r="19" spans="1:25" ht="15">
      <c r="A19" s="24" t="s">
        <v>20</v>
      </c>
      <c r="B19" s="24" t="s">
        <v>82</v>
      </c>
      <c r="C19" s="25" t="s">
        <v>90</v>
      </c>
      <c r="D19" s="24" t="s">
        <v>66</v>
      </c>
      <c r="E19" s="24" t="s">
        <v>29</v>
      </c>
      <c r="F19" s="24" t="s">
        <v>67</v>
      </c>
      <c r="G19" s="24" t="s">
        <v>68</v>
      </c>
      <c r="H19" s="24" t="s">
        <v>69</v>
      </c>
      <c r="I19" s="26">
        <v>29225.19</v>
      </c>
      <c r="J19" s="24" t="s">
        <v>85</v>
      </c>
      <c r="K19" s="24" t="s">
        <v>71</v>
      </c>
      <c r="L19" s="24" t="s">
        <v>81</v>
      </c>
      <c r="M19" s="24" t="s">
        <v>73</v>
      </c>
      <c r="N19" s="24" t="s">
        <v>30</v>
      </c>
      <c r="O19" s="24" t="s">
        <v>25</v>
      </c>
      <c r="P19" s="24" t="s">
        <v>87</v>
      </c>
      <c r="Q19" s="27">
        <v>0</v>
      </c>
      <c r="R19" s="27">
        <v>2016</v>
      </c>
      <c r="S19" s="27">
        <v>6</v>
      </c>
      <c r="T19" s="24" t="s">
        <v>75</v>
      </c>
      <c r="U19" s="24" t="s">
        <v>76</v>
      </c>
      <c r="V19" s="26">
        <v>109150.81</v>
      </c>
      <c r="W19" s="24" t="s">
        <v>77</v>
      </c>
      <c r="X19" s="24" t="s">
        <v>78</v>
      </c>
      <c r="Y19" s="24" t="s">
        <v>84</v>
      </c>
    </row>
    <row r="20" spans="1:25" ht="15">
      <c r="A20" s="24" t="s">
        <v>20</v>
      </c>
      <c r="B20" s="24" t="s">
        <v>65</v>
      </c>
      <c r="C20" s="25" t="s">
        <v>98</v>
      </c>
      <c r="D20" s="24" t="s">
        <v>66</v>
      </c>
      <c r="E20" s="24" t="s">
        <v>21</v>
      </c>
      <c r="F20" s="24" t="s">
        <v>67</v>
      </c>
      <c r="G20" s="24" t="s">
        <v>68</v>
      </c>
      <c r="H20" s="24" t="s">
        <v>69</v>
      </c>
      <c r="I20" s="26">
        <v>3894462.59</v>
      </c>
      <c r="J20" s="24" t="s">
        <v>70</v>
      </c>
      <c r="K20" s="24" t="s">
        <v>71</v>
      </c>
      <c r="L20" s="24" t="s">
        <v>72</v>
      </c>
      <c r="M20" s="24" t="s">
        <v>73</v>
      </c>
      <c r="N20" s="24" t="s">
        <v>26</v>
      </c>
      <c r="O20" s="24" t="s">
        <v>25</v>
      </c>
      <c r="P20" s="24" t="s">
        <v>87</v>
      </c>
      <c r="Q20" s="27">
        <v>0</v>
      </c>
      <c r="R20" s="27">
        <v>2016</v>
      </c>
      <c r="S20" s="27">
        <v>7</v>
      </c>
      <c r="T20" s="24" t="s">
        <v>75</v>
      </c>
      <c r="U20" s="24" t="s">
        <v>76</v>
      </c>
      <c r="V20" s="26">
        <v>19565783.72</v>
      </c>
      <c r="W20" s="24" t="s">
        <v>77</v>
      </c>
      <c r="X20" s="24" t="s">
        <v>78</v>
      </c>
      <c r="Y20" s="24" t="s">
        <v>79</v>
      </c>
    </row>
    <row r="21" spans="1:25" ht="15">
      <c r="A21" s="24" t="s">
        <v>20</v>
      </c>
      <c r="B21" s="24" t="s">
        <v>65</v>
      </c>
      <c r="C21" s="25" t="s">
        <v>98</v>
      </c>
      <c r="D21" s="24" t="s">
        <v>66</v>
      </c>
      <c r="E21" s="24" t="s">
        <v>21</v>
      </c>
      <c r="F21" s="24" t="s">
        <v>67</v>
      </c>
      <c r="G21" s="24" t="s">
        <v>68</v>
      </c>
      <c r="H21" s="24" t="s">
        <v>69</v>
      </c>
      <c r="I21" s="26">
        <v>5888429.26</v>
      </c>
      <c r="J21" s="24" t="s">
        <v>80</v>
      </c>
      <c r="K21" s="24" t="s">
        <v>71</v>
      </c>
      <c r="L21" s="24" t="s">
        <v>81</v>
      </c>
      <c r="M21" s="24" t="s">
        <v>73</v>
      </c>
      <c r="N21" s="24" t="s">
        <v>26</v>
      </c>
      <c r="O21" s="24" t="s">
        <v>25</v>
      </c>
      <c r="P21" s="24" t="s">
        <v>87</v>
      </c>
      <c r="Q21" s="27">
        <v>0</v>
      </c>
      <c r="R21" s="27">
        <v>2016</v>
      </c>
      <c r="S21" s="27">
        <v>7</v>
      </c>
      <c r="T21" s="24" t="s">
        <v>75</v>
      </c>
      <c r="U21" s="24" t="s">
        <v>76</v>
      </c>
      <c r="V21" s="26">
        <v>19565783.72</v>
      </c>
      <c r="W21" s="24" t="s">
        <v>77</v>
      </c>
      <c r="X21" s="24" t="s">
        <v>78</v>
      </c>
      <c r="Y21" s="24" t="s">
        <v>79</v>
      </c>
    </row>
    <row r="22" spans="1:25" ht="15">
      <c r="A22" s="24" t="s">
        <v>20</v>
      </c>
      <c r="B22" s="24" t="s">
        <v>82</v>
      </c>
      <c r="C22" s="25" t="s">
        <v>98</v>
      </c>
      <c r="D22" s="24" t="s">
        <v>66</v>
      </c>
      <c r="E22" s="24" t="s">
        <v>29</v>
      </c>
      <c r="F22" s="24" t="s">
        <v>67</v>
      </c>
      <c r="G22" s="24" t="s">
        <v>68</v>
      </c>
      <c r="H22" s="24" t="s">
        <v>69</v>
      </c>
      <c r="I22" s="26">
        <v>53096.12</v>
      </c>
      <c r="J22" s="24" t="s">
        <v>83</v>
      </c>
      <c r="K22" s="24" t="s">
        <v>71</v>
      </c>
      <c r="L22" s="24" t="s">
        <v>72</v>
      </c>
      <c r="M22" s="24" t="s">
        <v>73</v>
      </c>
      <c r="N22" s="24" t="s">
        <v>30</v>
      </c>
      <c r="O22" s="24" t="s">
        <v>25</v>
      </c>
      <c r="P22" s="24" t="s">
        <v>87</v>
      </c>
      <c r="Q22" s="27">
        <v>0</v>
      </c>
      <c r="R22" s="27">
        <v>2016</v>
      </c>
      <c r="S22" s="27">
        <v>7</v>
      </c>
      <c r="T22" s="24" t="s">
        <v>75</v>
      </c>
      <c r="U22" s="24" t="s">
        <v>76</v>
      </c>
      <c r="V22" s="26">
        <v>124002.79</v>
      </c>
      <c r="W22" s="24" t="s">
        <v>77</v>
      </c>
      <c r="X22" s="24" t="s">
        <v>78</v>
      </c>
      <c r="Y22" s="24" t="s">
        <v>84</v>
      </c>
    </row>
    <row r="23" spans="1:25" ht="15">
      <c r="A23" s="24" t="s">
        <v>20</v>
      </c>
      <c r="B23" s="24" t="s">
        <v>82</v>
      </c>
      <c r="C23" s="25" t="s">
        <v>98</v>
      </c>
      <c r="D23" s="24" t="s">
        <v>66</v>
      </c>
      <c r="E23" s="24" t="s">
        <v>29</v>
      </c>
      <c r="F23" s="24" t="s">
        <v>67</v>
      </c>
      <c r="G23" s="24" t="s">
        <v>68</v>
      </c>
      <c r="H23" s="24" t="s">
        <v>69</v>
      </c>
      <c r="I23" s="26">
        <v>8905.27</v>
      </c>
      <c r="J23" s="24" t="s">
        <v>85</v>
      </c>
      <c r="K23" s="24" t="s">
        <v>71</v>
      </c>
      <c r="L23" s="24" t="s">
        <v>81</v>
      </c>
      <c r="M23" s="24" t="s">
        <v>73</v>
      </c>
      <c r="N23" s="24" t="s">
        <v>30</v>
      </c>
      <c r="O23" s="24" t="s">
        <v>25</v>
      </c>
      <c r="P23" s="24" t="s">
        <v>87</v>
      </c>
      <c r="Q23" s="27">
        <v>0</v>
      </c>
      <c r="R23" s="27">
        <v>2016</v>
      </c>
      <c r="S23" s="27">
        <v>7</v>
      </c>
      <c r="T23" s="24" t="s">
        <v>75</v>
      </c>
      <c r="U23" s="24" t="s">
        <v>76</v>
      </c>
      <c r="V23" s="26">
        <v>124002.79</v>
      </c>
      <c r="W23" s="24" t="s">
        <v>77</v>
      </c>
      <c r="X23" s="24" t="s">
        <v>78</v>
      </c>
      <c r="Y23" s="24" t="s">
        <v>84</v>
      </c>
    </row>
    <row r="24" spans="1:25" ht="15">
      <c r="A24" s="24" t="s">
        <v>20</v>
      </c>
      <c r="B24" s="24" t="s">
        <v>65</v>
      </c>
      <c r="C24" s="25" t="s">
        <v>92</v>
      </c>
      <c r="D24" s="24" t="s">
        <v>66</v>
      </c>
      <c r="E24" s="24" t="s">
        <v>21</v>
      </c>
      <c r="F24" s="24" t="s">
        <v>67</v>
      </c>
      <c r="G24" s="24" t="s">
        <v>68</v>
      </c>
      <c r="H24" s="24" t="s">
        <v>69</v>
      </c>
      <c r="I24" s="26">
        <v>3018326.22</v>
      </c>
      <c r="J24" s="24" t="s">
        <v>70</v>
      </c>
      <c r="K24" s="24" t="s">
        <v>71</v>
      </c>
      <c r="L24" s="24" t="s">
        <v>72</v>
      </c>
      <c r="M24" s="24" t="s">
        <v>73</v>
      </c>
      <c r="N24" s="24" t="s">
        <v>26</v>
      </c>
      <c r="O24" s="24" t="s">
        <v>25</v>
      </c>
      <c r="P24" s="24" t="s">
        <v>87</v>
      </c>
      <c r="Q24" s="27">
        <v>0</v>
      </c>
      <c r="R24" s="27">
        <v>2016</v>
      </c>
      <c r="S24" s="27">
        <v>8</v>
      </c>
      <c r="T24" s="24" t="s">
        <v>75</v>
      </c>
      <c r="U24" s="24" t="s">
        <v>76</v>
      </c>
      <c r="V24" s="26">
        <v>16408203.63</v>
      </c>
      <c r="W24" s="24" t="s">
        <v>77</v>
      </c>
      <c r="X24" s="24" t="s">
        <v>78</v>
      </c>
      <c r="Y24" s="24" t="s">
        <v>79</v>
      </c>
    </row>
    <row r="25" spans="1:25" ht="15">
      <c r="A25" s="24" t="s">
        <v>20</v>
      </c>
      <c r="B25" s="24" t="s">
        <v>65</v>
      </c>
      <c r="C25" s="25" t="s">
        <v>92</v>
      </c>
      <c r="D25" s="24" t="s">
        <v>66</v>
      </c>
      <c r="E25" s="24" t="s">
        <v>21</v>
      </c>
      <c r="F25" s="24" t="s">
        <v>67</v>
      </c>
      <c r="G25" s="24" t="s">
        <v>68</v>
      </c>
      <c r="H25" s="24" t="s">
        <v>69</v>
      </c>
      <c r="I25" s="26">
        <v>5185775.59</v>
      </c>
      <c r="J25" s="24" t="s">
        <v>80</v>
      </c>
      <c r="K25" s="24" t="s">
        <v>71</v>
      </c>
      <c r="L25" s="24" t="s">
        <v>81</v>
      </c>
      <c r="M25" s="24" t="s">
        <v>73</v>
      </c>
      <c r="N25" s="24" t="s">
        <v>26</v>
      </c>
      <c r="O25" s="24" t="s">
        <v>25</v>
      </c>
      <c r="P25" s="24" t="s">
        <v>87</v>
      </c>
      <c r="Q25" s="27">
        <v>0</v>
      </c>
      <c r="R25" s="27">
        <v>2016</v>
      </c>
      <c r="S25" s="27">
        <v>8</v>
      </c>
      <c r="T25" s="24" t="s">
        <v>75</v>
      </c>
      <c r="U25" s="24" t="s">
        <v>76</v>
      </c>
      <c r="V25" s="26">
        <v>16408203.63</v>
      </c>
      <c r="W25" s="24" t="s">
        <v>77</v>
      </c>
      <c r="X25" s="24" t="s">
        <v>78</v>
      </c>
      <c r="Y25" s="24" t="s">
        <v>79</v>
      </c>
    </row>
    <row r="26" spans="1:25" ht="15">
      <c r="A26" s="24" t="s">
        <v>20</v>
      </c>
      <c r="B26" s="24" t="s">
        <v>82</v>
      </c>
      <c r="C26" s="25" t="s">
        <v>92</v>
      </c>
      <c r="D26" s="24" t="s">
        <v>66</v>
      </c>
      <c r="E26" s="24" t="s">
        <v>29</v>
      </c>
      <c r="F26" s="24" t="s">
        <v>67</v>
      </c>
      <c r="G26" s="24" t="s">
        <v>68</v>
      </c>
      <c r="H26" s="24" t="s">
        <v>69</v>
      </c>
      <c r="I26" s="26">
        <v>103200.23</v>
      </c>
      <c r="J26" s="24" t="s">
        <v>83</v>
      </c>
      <c r="K26" s="24" t="s">
        <v>71</v>
      </c>
      <c r="L26" s="24" t="s">
        <v>72</v>
      </c>
      <c r="M26" s="24" t="s">
        <v>73</v>
      </c>
      <c r="N26" s="24" t="s">
        <v>30</v>
      </c>
      <c r="O26" s="24" t="s">
        <v>25</v>
      </c>
      <c r="P26" s="24" t="s">
        <v>87</v>
      </c>
      <c r="Q26" s="27">
        <v>0</v>
      </c>
      <c r="R26" s="27">
        <v>2016</v>
      </c>
      <c r="S26" s="27">
        <v>8</v>
      </c>
      <c r="T26" s="24" t="s">
        <v>75</v>
      </c>
      <c r="U26" s="24" t="s">
        <v>76</v>
      </c>
      <c r="V26" s="26">
        <v>265933.49</v>
      </c>
      <c r="W26" s="24" t="s">
        <v>77</v>
      </c>
      <c r="X26" s="24" t="s">
        <v>78</v>
      </c>
      <c r="Y26" s="24" t="s">
        <v>84</v>
      </c>
    </row>
    <row r="27" spans="1:25" ht="15">
      <c r="A27" s="24" t="s">
        <v>20</v>
      </c>
      <c r="B27" s="24" t="s">
        <v>82</v>
      </c>
      <c r="C27" s="25" t="s">
        <v>92</v>
      </c>
      <c r="D27" s="24" t="s">
        <v>66</v>
      </c>
      <c r="E27" s="24" t="s">
        <v>29</v>
      </c>
      <c r="F27" s="24" t="s">
        <v>67</v>
      </c>
      <c r="G27" s="24" t="s">
        <v>68</v>
      </c>
      <c r="H27" s="24" t="s">
        <v>69</v>
      </c>
      <c r="I27" s="26">
        <v>29766.51</v>
      </c>
      <c r="J27" s="24" t="s">
        <v>85</v>
      </c>
      <c r="K27" s="24" t="s">
        <v>71</v>
      </c>
      <c r="L27" s="24" t="s">
        <v>81</v>
      </c>
      <c r="M27" s="24" t="s">
        <v>73</v>
      </c>
      <c r="N27" s="24" t="s">
        <v>30</v>
      </c>
      <c r="O27" s="24" t="s">
        <v>25</v>
      </c>
      <c r="P27" s="24" t="s">
        <v>87</v>
      </c>
      <c r="Q27" s="27">
        <v>0</v>
      </c>
      <c r="R27" s="27">
        <v>2016</v>
      </c>
      <c r="S27" s="27">
        <v>8</v>
      </c>
      <c r="T27" s="24" t="s">
        <v>75</v>
      </c>
      <c r="U27" s="24" t="s">
        <v>76</v>
      </c>
      <c r="V27" s="26">
        <v>265933.49</v>
      </c>
      <c r="W27" s="24" t="s">
        <v>77</v>
      </c>
      <c r="X27" s="24" t="s">
        <v>78</v>
      </c>
      <c r="Y27" s="24" t="s">
        <v>84</v>
      </c>
    </row>
    <row r="28" spans="1:25" ht="15">
      <c r="A28" s="24" t="s">
        <v>20</v>
      </c>
      <c r="B28" s="24" t="s">
        <v>65</v>
      </c>
      <c r="C28" s="25" t="s">
        <v>99</v>
      </c>
      <c r="D28" s="24" t="s">
        <v>66</v>
      </c>
      <c r="E28" s="24" t="s">
        <v>21</v>
      </c>
      <c r="F28" s="24" t="s">
        <v>67</v>
      </c>
      <c r="G28" s="24" t="s">
        <v>68</v>
      </c>
      <c r="H28" s="24" t="s">
        <v>69</v>
      </c>
      <c r="I28" s="26">
        <v>4510747.79</v>
      </c>
      <c r="J28" s="24" t="s">
        <v>70</v>
      </c>
      <c r="K28" s="24" t="s">
        <v>71</v>
      </c>
      <c r="L28" s="24" t="s">
        <v>72</v>
      </c>
      <c r="M28" s="24" t="s">
        <v>73</v>
      </c>
      <c r="N28" s="24" t="s">
        <v>26</v>
      </c>
      <c r="O28" s="24" t="s">
        <v>25</v>
      </c>
      <c r="P28" s="24" t="s">
        <v>74</v>
      </c>
      <c r="Q28" s="27">
        <v>0</v>
      </c>
      <c r="R28" s="27">
        <v>2016</v>
      </c>
      <c r="S28" s="27">
        <v>9</v>
      </c>
      <c r="T28" s="24" t="s">
        <v>75</v>
      </c>
      <c r="U28" s="24" t="s">
        <v>76</v>
      </c>
      <c r="V28" s="26">
        <v>10125051.91</v>
      </c>
      <c r="W28" s="24" t="s">
        <v>77</v>
      </c>
      <c r="X28" s="24" t="s">
        <v>78</v>
      </c>
      <c r="Y28" s="24" t="s">
        <v>79</v>
      </c>
    </row>
    <row r="29" spans="1:25" ht="15">
      <c r="A29" s="24" t="s">
        <v>20</v>
      </c>
      <c r="B29" s="24" t="s">
        <v>65</v>
      </c>
      <c r="C29" s="25" t="s">
        <v>99</v>
      </c>
      <c r="D29" s="24" t="s">
        <v>66</v>
      </c>
      <c r="E29" s="24" t="s">
        <v>21</v>
      </c>
      <c r="F29" s="24" t="s">
        <v>67</v>
      </c>
      <c r="G29" s="24" t="s">
        <v>68</v>
      </c>
      <c r="H29" s="24" t="s">
        <v>69</v>
      </c>
      <c r="I29" s="26">
        <v>551778.16</v>
      </c>
      <c r="J29" s="24" t="s">
        <v>80</v>
      </c>
      <c r="K29" s="24" t="s">
        <v>71</v>
      </c>
      <c r="L29" s="24" t="s">
        <v>81</v>
      </c>
      <c r="M29" s="24" t="s">
        <v>73</v>
      </c>
      <c r="N29" s="24" t="s">
        <v>26</v>
      </c>
      <c r="O29" s="24" t="s">
        <v>25</v>
      </c>
      <c r="P29" s="24" t="s">
        <v>74</v>
      </c>
      <c r="Q29" s="27">
        <v>0</v>
      </c>
      <c r="R29" s="27">
        <v>2016</v>
      </c>
      <c r="S29" s="27">
        <v>9</v>
      </c>
      <c r="T29" s="24" t="s">
        <v>75</v>
      </c>
      <c r="U29" s="24" t="s">
        <v>76</v>
      </c>
      <c r="V29" s="26">
        <v>10125051.91</v>
      </c>
      <c r="W29" s="24" t="s">
        <v>77</v>
      </c>
      <c r="X29" s="24" t="s">
        <v>78</v>
      </c>
      <c r="Y29" s="24" t="s">
        <v>79</v>
      </c>
    </row>
    <row r="30" spans="1:25" ht="15">
      <c r="A30" s="24" t="s">
        <v>20</v>
      </c>
      <c r="B30" s="24" t="s">
        <v>82</v>
      </c>
      <c r="C30" s="25" t="s">
        <v>99</v>
      </c>
      <c r="D30" s="24" t="s">
        <v>66</v>
      </c>
      <c r="E30" s="24" t="s">
        <v>29</v>
      </c>
      <c r="F30" s="24" t="s">
        <v>67</v>
      </c>
      <c r="G30" s="24" t="s">
        <v>68</v>
      </c>
      <c r="H30" s="24" t="s">
        <v>69</v>
      </c>
      <c r="I30" s="26">
        <v>148900.47</v>
      </c>
      <c r="J30" s="24" t="s">
        <v>83</v>
      </c>
      <c r="K30" s="24" t="s">
        <v>71</v>
      </c>
      <c r="L30" s="24" t="s">
        <v>72</v>
      </c>
      <c r="M30" s="24" t="s">
        <v>73</v>
      </c>
      <c r="N30" s="24" t="s">
        <v>30</v>
      </c>
      <c r="O30" s="24" t="s">
        <v>25</v>
      </c>
      <c r="P30" s="24" t="s">
        <v>74</v>
      </c>
      <c r="Q30" s="27">
        <v>0</v>
      </c>
      <c r="R30" s="27">
        <v>2016</v>
      </c>
      <c r="S30" s="27">
        <v>9</v>
      </c>
      <c r="T30" s="24" t="s">
        <v>75</v>
      </c>
      <c r="U30" s="24" t="s">
        <v>76</v>
      </c>
      <c r="V30" s="26">
        <v>330649.88</v>
      </c>
      <c r="W30" s="24" t="s">
        <v>77</v>
      </c>
      <c r="X30" s="24" t="s">
        <v>78</v>
      </c>
      <c r="Y30" s="24" t="s">
        <v>84</v>
      </c>
    </row>
    <row r="31" spans="1:25" ht="15">
      <c r="A31" s="24" t="s">
        <v>20</v>
      </c>
      <c r="B31" s="24" t="s">
        <v>82</v>
      </c>
      <c r="C31" s="25" t="s">
        <v>99</v>
      </c>
      <c r="D31" s="24" t="s">
        <v>66</v>
      </c>
      <c r="E31" s="24" t="s">
        <v>29</v>
      </c>
      <c r="F31" s="24" t="s">
        <v>67</v>
      </c>
      <c r="G31" s="24" t="s">
        <v>68</v>
      </c>
      <c r="H31" s="24" t="s">
        <v>69</v>
      </c>
      <c r="I31" s="26">
        <v>16424.47</v>
      </c>
      <c r="J31" s="24" t="s">
        <v>85</v>
      </c>
      <c r="K31" s="24" t="s">
        <v>71</v>
      </c>
      <c r="L31" s="24" t="s">
        <v>81</v>
      </c>
      <c r="M31" s="24" t="s">
        <v>73</v>
      </c>
      <c r="N31" s="24" t="s">
        <v>30</v>
      </c>
      <c r="O31" s="24" t="s">
        <v>25</v>
      </c>
      <c r="P31" s="24" t="s">
        <v>74</v>
      </c>
      <c r="Q31" s="27">
        <v>0</v>
      </c>
      <c r="R31" s="27">
        <v>2016</v>
      </c>
      <c r="S31" s="27">
        <v>9</v>
      </c>
      <c r="T31" s="24" t="s">
        <v>75</v>
      </c>
      <c r="U31" s="24" t="s">
        <v>76</v>
      </c>
      <c r="V31" s="26">
        <v>330649.88</v>
      </c>
      <c r="W31" s="24" t="s">
        <v>77</v>
      </c>
      <c r="X31" s="24" t="s">
        <v>78</v>
      </c>
      <c r="Y31" s="24" t="s">
        <v>84</v>
      </c>
    </row>
    <row r="32" spans="1:25" ht="15">
      <c r="A32" s="24" t="s">
        <v>20</v>
      </c>
      <c r="B32" s="24" t="s">
        <v>65</v>
      </c>
      <c r="C32" s="25" t="s">
        <v>91</v>
      </c>
      <c r="D32" s="24" t="s">
        <v>66</v>
      </c>
      <c r="E32" s="24" t="s">
        <v>21</v>
      </c>
      <c r="F32" s="24" t="s">
        <v>67</v>
      </c>
      <c r="G32" s="24" t="s">
        <v>68</v>
      </c>
      <c r="H32" s="24" t="s">
        <v>69</v>
      </c>
      <c r="I32" s="26">
        <v>32113.51</v>
      </c>
      <c r="J32" s="24" t="s">
        <v>70</v>
      </c>
      <c r="K32" s="24" t="s">
        <v>71</v>
      </c>
      <c r="L32" s="24" t="s">
        <v>72</v>
      </c>
      <c r="M32" s="24" t="s">
        <v>73</v>
      </c>
      <c r="N32" s="24" t="s">
        <v>26</v>
      </c>
      <c r="O32" s="24" t="s">
        <v>25</v>
      </c>
      <c r="P32" s="24" t="s">
        <v>74</v>
      </c>
      <c r="Q32" s="27">
        <v>0</v>
      </c>
      <c r="R32" s="27">
        <v>2016</v>
      </c>
      <c r="S32" s="27">
        <v>10</v>
      </c>
      <c r="T32" s="24" t="s">
        <v>75</v>
      </c>
      <c r="U32" s="24" t="s">
        <v>76</v>
      </c>
      <c r="V32" s="26">
        <v>5506469.08</v>
      </c>
      <c r="W32" s="24" t="s">
        <v>77</v>
      </c>
      <c r="X32" s="24" t="s">
        <v>78</v>
      </c>
      <c r="Y32" s="24" t="s">
        <v>79</v>
      </c>
    </row>
    <row r="33" spans="1:25" ht="15">
      <c r="A33" s="24" t="s">
        <v>20</v>
      </c>
      <c r="B33" s="24" t="s">
        <v>65</v>
      </c>
      <c r="C33" s="25" t="s">
        <v>91</v>
      </c>
      <c r="D33" s="24" t="s">
        <v>66</v>
      </c>
      <c r="E33" s="24" t="s">
        <v>21</v>
      </c>
      <c r="F33" s="24" t="s">
        <v>67</v>
      </c>
      <c r="G33" s="24" t="s">
        <v>68</v>
      </c>
      <c r="H33" s="24" t="s">
        <v>69</v>
      </c>
      <c r="I33" s="26">
        <v>2721121.02</v>
      </c>
      <c r="J33" s="24" t="s">
        <v>80</v>
      </c>
      <c r="K33" s="24" t="s">
        <v>71</v>
      </c>
      <c r="L33" s="24" t="s">
        <v>81</v>
      </c>
      <c r="M33" s="24" t="s">
        <v>73</v>
      </c>
      <c r="N33" s="24" t="s">
        <v>26</v>
      </c>
      <c r="O33" s="24" t="s">
        <v>25</v>
      </c>
      <c r="P33" s="24" t="s">
        <v>74</v>
      </c>
      <c r="Q33" s="27">
        <v>0</v>
      </c>
      <c r="R33" s="27">
        <v>2016</v>
      </c>
      <c r="S33" s="27">
        <v>10</v>
      </c>
      <c r="T33" s="24" t="s">
        <v>75</v>
      </c>
      <c r="U33" s="24" t="s">
        <v>76</v>
      </c>
      <c r="V33" s="26">
        <v>5506469.08</v>
      </c>
      <c r="W33" s="24" t="s">
        <v>77</v>
      </c>
      <c r="X33" s="24" t="s">
        <v>78</v>
      </c>
      <c r="Y33" s="24" t="s">
        <v>79</v>
      </c>
    </row>
    <row r="34" spans="1:25" ht="15">
      <c r="A34" s="24" t="s">
        <v>20</v>
      </c>
      <c r="B34" s="24" t="s">
        <v>82</v>
      </c>
      <c r="C34" s="25" t="s">
        <v>91</v>
      </c>
      <c r="D34" s="24" t="s">
        <v>66</v>
      </c>
      <c r="E34" s="24" t="s">
        <v>29</v>
      </c>
      <c r="F34" s="24" t="s">
        <v>67</v>
      </c>
      <c r="G34" s="24" t="s">
        <v>68</v>
      </c>
      <c r="H34" s="24" t="s">
        <v>69</v>
      </c>
      <c r="I34" s="26">
        <v>41895.79</v>
      </c>
      <c r="J34" s="24" t="s">
        <v>83</v>
      </c>
      <c r="K34" s="24" t="s">
        <v>71</v>
      </c>
      <c r="L34" s="24" t="s">
        <v>72</v>
      </c>
      <c r="M34" s="24" t="s">
        <v>73</v>
      </c>
      <c r="N34" s="24" t="s">
        <v>30</v>
      </c>
      <c r="O34" s="24" t="s">
        <v>25</v>
      </c>
      <c r="P34" s="24" t="s">
        <v>74</v>
      </c>
      <c r="Q34" s="27">
        <v>0</v>
      </c>
      <c r="R34" s="27">
        <v>2016</v>
      </c>
      <c r="S34" s="27">
        <v>10</v>
      </c>
      <c r="T34" s="24" t="s">
        <v>75</v>
      </c>
      <c r="U34" s="24" t="s">
        <v>76</v>
      </c>
      <c r="V34" s="26">
        <v>240125.67</v>
      </c>
      <c r="W34" s="24" t="s">
        <v>77</v>
      </c>
      <c r="X34" s="24" t="s">
        <v>78</v>
      </c>
      <c r="Y34" s="24" t="s">
        <v>84</v>
      </c>
    </row>
    <row r="35" spans="1:25" ht="15">
      <c r="A35" s="24" t="s">
        <v>20</v>
      </c>
      <c r="B35" s="24" t="s">
        <v>82</v>
      </c>
      <c r="C35" s="25" t="s">
        <v>91</v>
      </c>
      <c r="D35" s="24" t="s">
        <v>66</v>
      </c>
      <c r="E35" s="24" t="s">
        <v>29</v>
      </c>
      <c r="F35" s="24" t="s">
        <v>67</v>
      </c>
      <c r="G35" s="24" t="s">
        <v>68</v>
      </c>
      <c r="H35" s="24" t="s">
        <v>69</v>
      </c>
      <c r="I35" s="26">
        <v>75059.56</v>
      </c>
      <c r="J35" s="24" t="s">
        <v>85</v>
      </c>
      <c r="K35" s="24" t="s">
        <v>71</v>
      </c>
      <c r="L35" s="24" t="s">
        <v>81</v>
      </c>
      <c r="M35" s="24" t="s">
        <v>73</v>
      </c>
      <c r="N35" s="24" t="s">
        <v>30</v>
      </c>
      <c r="O35" s="24" t="s">
        <v>25</v>
      </c>
      <c r="P35" s="24" t="s">
        <v>74</v>
      </c>
      <c r="Q35" s="27">
        <v>0</v>
      </c>
      <c r="R35" s="27">
        <v>2016</v>
      </c>
      <c r="S35" s="27">
        <v>10</v>
      </c>
      <c r="T35" s="24" t="s">
        <v>75</v>
      </c>
      <c r="U35" s="24" t="s">
        <v>76</v>
      </c>
      <c r="V35" s="26">
        <v>240125.67</v>
      </c>
      <c r="W35" s="24" t="s">
        <v>77</v>
      </c>
      <c r="X35" s="24" t="s">
        <v>78</v>
      </c>
      <c r="Y35" s="24" t="s">
        <v>84</v>
      </c>
    </row>
    <row r="36" spans="1:25" ht="15">
      <c r="A36" s="24" t="s">
        <v>20</v>
      </c>
      <c r="B36" s="24" t="s">
        <v>65</v>
      </c>
      <c r="C36" s="25" t="s">
        <v>100</v>
      </c>
      <c r="D36" s="24" t="s">
        <v>66</v>
      </c>
      <c r="E36" s="24" t="s">
        <v>21</v>
      </c>
      <c r="F36" s="24" t="s">
        <v>67</v>
      </c>
      <c r="G36" s="24" t="s">
        <v>68</v>
      </c>
      <c r="H36" s="24" t="s">
        <v>69</v>
      </c>
      <c r="I36" s="26">
        <v>5402343.98</v>
      </c>
      <c r="J36" s="24" t="s">
        <v>70</v>
      </c>
      <c r="K36" s="24" t="s">
        <v>71</v>
      </c>
      <c r="L36" s="24" t="s">
        <v>72</v>
      </c>
      <c r="M36" s="24" t="s">
        <v>73</v>
      </c>
      <c r="N36" s="24" t="s">
        <v>26</v>
      </c>
      <c r="O36" s="24" t="s">
        <v>25</v>
      </c>
      <c r="P36" s="24" t="s">
        <v>87</v>
      </c>
      <c r="Q36" s="27">
        <v>0</v>
      </c>
      <c r="R36" s="27">
        <v>2016</v>
      </c>
      <c r="S36" s="27">
        <v>11</v>
      </c>
      <c r="T36" s="24" t="s">
        <v>75</v>
      </c>
      <c r="U36" s="24" t="s">
        <v>76</v>
      </c>
      <c r="V36" s="26">
        <v>21262490.71</v>
      </c>
      <c r="W36" s="24" t="s">
        <v>77</v>
      </c>
      <c r="X36" s="24" t="s">
        <v>78</v>
      </c>
      <c r="Y36" s="24" t="s">
        <v>79</v>
      </c>
    </row>
    <row r="37" spans="1:25" ht="15">
      <c r="A37" s="24" t="s">
        <v>20</v>
      </c>
      <c r="B37" s="24" t="s">
        <v>65</v>
      </c>
      <c r="C37" s="25" t="s">
        <v>100</v>
      </c>
      <c r="D37" s="24" t="s">
        <v>66</v>
      </c>
      <c r="E37" s="24" t="s">
        <v>21</v>
      </c>
      <c r="F37" s="24" t="s">
        <v>67</v>
      </c>
      <c r="G37" s="24" t="s">
        <v>68</v>
      </c>
      <c r="H37" s="24" t="s">
        <v>69</v>
      </c>
      <c r="I37" s="26">
        <v>5228901.37</v>
      </c>
      <c r="J37" s="24" t="s">
        <v>80</v>
      </c>
      <c r="K37" s="24" t="s">
        <v>71</v>
      </c>
      <c r="L37" s="24" t="s">
        <v>81</v>
      </c>
      <c r="M37" s="24" t="s">
        <v>73</v>
      </c>
      <c r="N37" s="24" t="s">
        <v>26</v>
      </c>
      <c r="O37" s="24" t="s">
        <v>25</v>
      </c>
      <c r="P37" s="24" t="s">
        <v>87</v>
      </c>
      <c r="Q37" s="27">
        <v>0</v>
      </c>
      <c r="R37" s="27">
        <v>2016</v>
      </c>
      <c r="S37" s="27">
        <v>11</v>
      </c>
      <c r="T37" s="24" t="s">
        <v>75</v>
      </c>
      <c r="U37" s="24" t="s">
        <v>76</v>
      </c>
      <c r="V37" s="26">
        <v>21262490.71</v>
      </c>
      <c r="W37" s="24" t="s">
        <v>77</v>
      </c>
      <c r="X37" s="24" t="s">
        <v>78</v>
      </c>
      <c r="Y37" s="24" t="s">
        <v>79</v>
      </c>
    </row>
    <row r="38" spans="1:25" ht="15">
      <c r="A38" s="24" t="s">
        <v>20</v>
      </c>
      <c r="B38" s="24" t="s">
        <v>82</v>
      </c>
      <c r="C38" s="25" t="s">
        <v>100</v>
      </c>
      <c r="D38" s="24" t="s">
        <v>66</v>
      </c>
      <c r="E38" s="24" t="s">
        <v>29</v>
      </c>
      <c r="F38" s="24" t="s">
        <v>67</v>
      </c>
      <c r="G38" s="24" t="s">
        <v>68</v>
      </c>
      <c r="H38" s="24" t="s">
        <v>69</v>
      </c>
      <c r="I38" s="26">
        <v>35244.28</v>
      </c>
      <c r="J38" s="24" t="s">
        <v>83</v>
      </c>
      <c r="K38" s="24" t="s">
        <v>71</v>
      </c>
      <c r="L38" s="24" t="s">
        <v>72</v>
      </c>
      <c r="M38" s="24" t="s">
        <v>73</v>
      </c>
      <c r="N38" s="24" t="s">
        <v>30</v>
      </c>
      <c r="O38" s="24" t="s">
        <v>25</v>
      </c>
      <c r="P38" s="24" t="s">
        <v>74</v>
      </c>
      <c r="Q38" s="27">
        <v>0</v>
      </c>
      <c r="R38" s="27">
        <v>2016</v>
      </c>
      <c r="S38" s="27">
        <v>11</v>
      </c>
      <c r="T38" s="24" t="s">
        <v>75</v>
      </c>
      <c r="U38" s="24" t="s">
        <v>76</v>
      </c>
      <c r="V38" s="26">
        <v>98661.7</v>
      </c>
      <c r="W38" s="24" t="s">
        <v>77</v>
      </c>
      <c r="X38" s="24" t="s">
        <v>78</v>
      </c>
      <c r="Y38" s="24" t="s">
        <v>84</v>
      </c>
    </row>
    <row r="39" spans="1:25" ht="15">
      <c r="A39" s="24" t="s">
        <v>20</v>
      </c>
      <c r="B39" s="24" t="s">
        <v>82</v>
      </c>
      <c r="C39" s="25" t="s">
        <v>100</v>
      </c>
      <c r="D39" s="24" t="s">
        <v>66</v>
      </c>
      <c r="E39" s="24" t="s">
        <v>29</v>
      </c>
      <c r="F39" s="24" t="s">
        <v>67</v>
      </c>
      <c r="G39" s="24" t="s">
        <v>68</v>
      </c>
      <c r="H39" s="24" t="s">
        <v>69</v>
      </c>
      <c r="I39" s="26">
        <v>14086.57</v>
      </c>
      <c r="J39" s="24" t="s">
        <v>85</v>
      </c>
      <c r="K39" s="24" t="s">
        <v>71</v>
      </c>
      <c r="L39" s="24" t="s">
        <v>81</v>
      </c>
      <c r="M39" s="24" t="s">
        <v>73</v>
      </c>
      <c r="N39" s="24" t="s">
        <v>30</v>
      </c>
      <c r="O39" s="24" t="s">
        <v>25</v>
      </c>
      <c r="P39" s="24" t="s">
        <v>74</v>
      </c>
      <c r="Q39" s="27">
        <v>0</v>
      </c>
      <c r="R39" s="27">
        <v>2016</v>
      </c>
      <c r="S39" s="27">
        <v>11</v>
      </c>
      <c r="T39" s="24" t="s">
        <v>75</v>
      </c>
      <c r="U39" s="24" t="s">
        <v>76</v>
      </c>
      <c r="V39" s="26">
        <v>98661.7</v>
      </c>
      <c r="W39" s="24" t="s">
        <v>77</v>
      </c>
      <c r="X39" s="24" t="s">
        <v>78</v>
      </c>
      <c r="Y39" s="24" t="s">
        <v>84</v>
      </c>
    </row>
    <row r="40" spans="1:25" ht="15">
      <c r="A40" s="24" t="s">
        <v>20</v>
      </c>
      <c r="B40" s="24" t="s">
        <v>65</v>
      </c>
      <c r="C40" s="25" t="s">
        <v>93</v>
      </c>
      <c r="D40" s="24" t="s">
        <v>66</v>
      </c>
      <c r="E40" s="24" t="s">
        <v>21</v>
      </c>
      <c r="F40" s="24" t="s">
        <v>67</v>
      </c>
      <c r="G40" s="24" t="s">
        <v>68</v>
      </c>
      <c r="H40" s="24" t="s">
        <v>69</v>
      </c>
      <c r="I40" s="26">
        <v>4978681.09</v>
      </c>
      <c r="J40" s="24" t="s">
        <v>70</v>
      </c>
      <c r="K40" s="24" t="s">
        <v>71</v>
      </c>
      <c r="L40" s="24" t="s">
        <v>72</v>
      </c>
      <c r="M40" s="24" t="s">
        <v>73</v>
      </c>
      <c r="N40" s="24" t="s">
        <v>26</v>
      </c>
      <c r="O40" s="24" t="s">
        <v>25</v>
      </c>
      <c r="P40" s="24" t="s">
        <v>74</v>
      </c>
      <c r="Q40" s="27">
        <v>0</v>
      </c>
      <c r="R40" s="27">
        <v>2016</v>
      </c>
      <c r="S40" s="27">
        <v>12</v>
      </c>
      <c r="T40" s="24" t="s">
        <v>75</v>
      </c>
      <c r="U40" s="24" t="s">
        <v>76</v>
      </c>
      <c r="V40" s="26">
        <v>19384900.45</v>
      </c>
      <c r="W40" s="24" t="s">
        <v>77</v>
      </c>
      <c r="X40" s="24" t="s">
        <v>78</v>
      </c>
      <c r="Y40" s="24" t="s">
        <v>79</v>
      </c>
    </row>
    <row r="41" spans="1:25" ht="15">
      <c r="A41" s="24" t="s">
        <v>20</v>
      </c>
      <c r="B41" s="24" t="s">
        <v>65</v>
      </c>
      <c r="C41" s="25" t="s">
        <v>93</v>
      </c>
      <c r="D41" s="24" t="s">
        <v>66</v>
      </c>
      <c r="E41" s="24" t="s">
        <v>21</v>
      </c>
      <c r="F41" s="24" t="s">
        <v>67</v>
      </c>
      <c r="G41" s="24" t="s">
        <v>68</v>
      </c>
      <c r="H41" s="24" t="s">
        <v>69</v>
      </c>
      <c r="I41" s="26">
        <v>4713769.13</v>
      </c>
      <c r="J41" s="24" t="s">
        <v>80</v>
      </c>
      <c r="K41" s="24" t="s">
        <v>71</v>
      </c>
      <c r="L41" s="24" t="s">
        <v>81</v>
      </c>
      <c r="M41" s="24" t="s">
        <v>73</v>
      </c>
      <c r="N41" s="24" t="s">
        <v>26</v>
      </c>
      <c r="O41" s="24" t="s">
        <v>25</v>
      </c>
      <c r="P41" s="24" t="s">
        <v>74</v>
      </c>
      <c r="Q41" s="27">
        <v>0</v>
      </c>
      <c r="R41" s="27">
        <v>2016</v>
      </c>
      <c r="S41" s="27">
        <v>12</v>
      </c>
      <c r="T41" s="24" t="s">
        <v>75</v>
      </c>
      <c r="U41" s="24" t="s">
        <v>76</v>
      </c>
      <c r="V41" s="26">
        <v>19384900.45</v>
      </c>
      <c r="W41" s="24" t="s">
        <v>77</v>
      </c>
      <c r="X41" s="24" t="s">
        <v>78</v>
      </c>
      <c r="Y41" s="24" t="s">
        <v>79</v>
      </c>
    </row>
    <row r="42" spans="1:25" ht="15">
      <c r="A42" s="24" t="s">
        <v>20</v>
      </c>
      <c r="B42" s="24" t="s">
        <v>82</v>
      </c>
      <c r="C42" s="25" t="s">
        <v>93</v>
      </c>
      <c r="D42" s="24" t="s">
        <v>66</v>
      </c>
      <c r="E42" s="24" t="s">
        <v>29</v>
      </c>
      <c r="F42" s="24" t="s">
        <v>67</v>
      </c>
      <c r="G42" s="24" t="s">
        <v>68</v>
      </c>
      <c r="H42" s="24" t="s">
        <v>69</v>
      </c>
      <c r="I42" s="26">
        <v>61666.16</v>
      </c>
      <c r="J42" s="24" t="s">
        <v>83</v>
      </c>
      <c r="K42" s="24" t="s">
        <v>71</v>
      </c>
      <c r="L42" s="24" t="s">
        <v>72</v>
      </c>
      <c r="M42" s="24" t="s">
        <v>73</v>
      </c>
      <c r="N42" s="24" t="s">
        <v>30</v>
      </c>
      <c r="O42" s="24" t="s">
        <v>25</v>
      </c>
      <c r="P42" s="24" t="s">
        <v>74</v>
      </c>
      <c r="Q42" s="27">
        <v>0</v>
      </c>
      <c r="R42" s="27">
        <v>2016</v>
      </c>
      <c r="S42" s="27">
        <v>12</v>
      </c>
      <c r="T42" s="24" t="s">
        <v>75</v>
      </c>
      <c r="U42" s="24" t="s">
        <v>76</v>
      </c>
      <c r="V42" s="26">
        <v>160505.38</v>
      </c>
      <c r="W42" s="24" t="s">
        <v>77</v>
      </c>
      <c r="X42" s="24" t="s">
        <v>78</v>
      </c>
      <c r="Y42" s="24" t="s">
        <v>84</v>
      </c>
    </row>
    <row r="43" spans="1:25" ht="15">
      <c r="A43" s="24" t="s">
        <v>20</v>
      </c>
      <c r="B43" s="24" t="s">
        <v>82</v>
      </c>
      <c r="C43" s="25" t="s">
        <v>93</v>
      </c>
      <c r="D43" s="24" t="s">
        <v>66</v>
      </c>
      <c r="E43" s="24" t="s">
        <v>29</v>
      </c>
      <c r="F43" s="24" t="s">
        <v>67</v>
      </c>
      <c r="G43" s="24" t="s">
        <v>68</v>
      </c>
      <c r="H43" s="24" t="s">
        <v>69</v>
      </c>
      <c r="I43" s="26">
        <v>10369.7</v>
      </c>
      <c r="J43" s="24" t="s">
        <v>85</v>
      </c>
      <c r="K43" s="24" t="s">
        <v>71</v>
      </c>
      <c r="L43" s="24" t="s">
        <v>81</v>
      </c>
      <c r="M43" s="24" t="s">
        <v>73</v>
      </c>
      <c r="N43" s="24" t="s">
        <v>30</v>
      </c>
      <c r="O43" s="24" t="s">
        <v>25</v>
      </c>
      <c r="P43" s="24" t="s">
        <v>74</v>
      </c>
      <c r="Q43" s="27">
        <v>0</v>
      </c>
      <c r="R43" s="27">
        <v>2016</v>
      </c>
      <c r="S43" s="27">
        <v>12</v>
      </c>
      <c r="T43" s="24" t="s">
        <v>75</v>
      </c>
      <c r="U43" s="24" t="s">
        <v>76</v>
      </c>
      <c r="V43" s="26">
        <v>160505.38</v>
      </c>
      <c r="W43" s="24" t="s">
        <v>77</v>
      </c>
      <c r="X43" s="24" t="s">
        <v>78</v>
      </c>
      <c r="Y43" s="24" t="s">
        <v>84</v>
      </c>
    </row>
    <row r="44" spans="1:25" ht="15">
      <c r="A44" s="24" t="s">
        <v>20</v>
      </c>
      <c r="B44" s="24" t="s">
        <v>65</v>
      </c>
      <c r="C44" s="25" t="s">
        <v>101</v>
      </c>
      <c r="D44" s="24" t="s">
        <v>66</v>
      </c>
      <c r="E44" s="24" t="s">
        <v>21</v>
      </c>
      <c r="F44" s="24" t="s">
        <v>67</v>
      </c>
      <c r="G44" s="24" t="s">
        <v>68</v>
      </c>
      <c r="H44" s="24" t="s">
        <v>69</v>
      </c>
      <c r="I44" s="26">
        <v>4616080.09</v>
      </c>
      <c r="J44" s="24" t="s">
        <v>80</v>
      </c>
      <c r="K44" s="24" t="s">
        <v>71</v>
      </c>
      <c r="L44" s="24" t="s">
        <v>81</v>
      </c>
      <c r="M44" s="24" t="s">
        <v>73</v>
      </c>
      <c r="N44" s="24" t="s">
        <v>26</v>
      </c>
      <c r="O44" s="24" t="s">
        <v>25</v>
      </c>
      <c r="P44" s="24" t="s">
        <v>74</v>
      </c>
      <c r="Q44" s="27">
        <v>0</v>
      </c>
      <c r="R44" s="27">
        <v>2017</v>
      </c>
      <c r="S44" s="27">
        <v>1</v>
      </c>
      <c r="T44" s="24" t="s">
        <v>75</v>
      </c>
      <c r="U44" s="24" t="s">
        <v>76</v>
      </c>
      <c r="V44" s="26">
        <v>10246550.52</v>
      </c>
      <c r="W44" s="24" t="s">
        <v>77</v>
      </c>
      <c r="X44" s="24" t="s">
        <v>78</v>
      </c>
      <c r="Y44" s="24" t="s">
        <v>79</v>
      </c>
    </row>
    <row r="45" spans="1:25" ht="15">
      <c r="A45" s="24" t="s">
        <v>20</v>
      </c>
      <c r="B45" s="24" t="s">
        <v>65</v>
      </c>
      <c r="C45" s="25" t="s">
        <v>101</v>
      </c>
      <c r="D45" s="24" t="s">
        <v>66</v>
      </c>
      <c r="E45" s="24" t="s">
        <v>21</v>
      </c>
      <c r="F45" s="24" t="s">
        <v>67</v>
      </c>
      <c r="G45" s="24" t="s">
        <v>68</v>
      </c>
      <c r="H45" s="24" t="s">
        <v>69</v>
      </c>
      <c r="I45" s="26">
        <v>507195.15</v>
      </c>
      <c r="J45" s="24" t="s">
        <v>70</v>
      </c>
      <c r="K45" s="24" t="s">
        <v>71</v>
      </c>
      <c r="L45" s="24" t="s">
        <v>72</v>
      </c>
      <c r="M45" s="24" t="s">
        <v>73</v>
      </c>
      <c r="N45" s="24" t="s">
        <v>26</v>
      </c>
      <c r="O45" s="24" t="s">
        <v>25</v>
      </c>
      <c r="P45" s="24" t="s">
        <v>74</v>
      </c>
      <c r="Q45" s="27">
        <v>0</v>
      </c>
      <c r="R45" s="27">
        <v>2017</v>
      </c>
      <c r="S45" s="27">
        <v>1</v>
      </c>
      <c r="T45" s="24" t="s">
        <v>75</v>
      </c>
      <c r="U45" s="24" t="s">
        <v>76</v>
      </c>
      <c r="V45" s="26">
        <v>10246550.52</v>
      </c>
      <c r="W45" s="24" t="s">
        <v>77</v>
      </c>
      <c r="X45" s="24" t="s">
        <v>78</v>
      </c>
      <c r="Y45" s="24" t="s">
        <v>79</v>
      </c>
    </row>
    <row r="46" spans="1:25" ht="15">
      <c r="A46" s="24" t="s">
        <v>20</v>
      </c>
      <c r="B46" s="24" t="s">
        <v>82</v>
      </c>
      <c r="C46" s="25" t="s">
        <v>101</v>
      </c>
      <c r="D46" s="24" t="s">
        <v>66</v>
      </c>
      <c r="E46" s="24" t="s">
        <v>29</v>
      </c>
      <c r="F46" s="24" t="s">
        <v>67</v>
      </c>
      <c r="G46" s="24" t="s">
        <v>68</v>
      </c>
      <c r="H46" s="24" t="s">
        <v>69</v>
      </c>
      <c r="I46" s="26">
        <v>126255.11</v>
      </c>
      <c r="J46" s="24" t="s">
        <v>85</v>
      </c>
      <c r="K46" s="24" t="s">
        <v>71</v>
      </c>
      <c r="L46" s="24" t="s">
        <v>81</v>
      </c>
      <c r="M46" s="24" t="s">
        <v>73</v>
      </c>
      <c r="N46" s="24" t="s">
        <v>30</v>
      </c>
      <c r="O46" s="24" t="s">
        <v>25</v>
      </c>
      <c r="P46" s="24" t="s">
        <v>74</v>
      </c>
      <c r="Q46" s="27">
        <v>0</v>
      </c>
      <c r="R46" s="27">
        <v>2017</v>
      </c>
      <c r="S46" s="27">
        <v>1</v>
      </c>
      <c r="T46" s="24" t="s">
        <v>75</v>
      </c>
      <c r="U46" s="24" t="s">
        <v>76</v>
      </c>
      <c r="V46" s="26">
        <v>366714.59</v>
      </c>
      <c r="W46" s="24" t="s">
        <v>77</v>
      </c>
      <c r="X46" s="24" t="s">
        <v>78</v>
      </c>
      <c r="Y46" s="24" t="s">
        <v>84</v>
      </c>
    </row>
    <row r="47" spans="1:25" ht="15">
      <c r="A47" s="24" t="s">
        <v>20</v>
      </c>
      <c r="B47" s="24" t="s">
        <v>82</v>
      </c>
      <c r="C47" s="25" t="s">
        <v>101</v>
      </c>
      <c r="D47" s="24" t="s">
        <v>66</v>
      </c>
      <c r="E47" s="24" t="s">
        <v>29</v>
      </c>
      <c r="F47" s="24" t="s">
        <v>67</v>
      </c>
      <c r="G47" s="24" t="s">
        <v>68</v>
      </c>
      <c r="H47" s="24" t="s">
        <v>69</v>
      </c>
      <c r="I47" s="26">
        <v>57102.18</v>
      </c>
      <c r="J47" s="24" t="s">
        <v>83</v>
      </c>
      <c r="K47" s="24" t="s">
        <v>71</v>
      </c>
      <c r="L47" s="24" t="s">
        <v>72</v>
      </c>
      <c r="M47" s="24" t="s">
        <v>73</v>
      </c>
      <c r="N47" s="24" t="s">
        <v>30</v>
      </c>
      <c r="O47" s="24" t="s">
        <v>25</v>
      </c>
      <c r="P47" s="24" t="s">
        <v>74</v>
      </c>
      <c r="Q47" s="27">
        <v>0</v>
      </c>
      <c r="R47" s="27">
        <v>2017</v>
      </c>
      <c r="S47" s="27">
        <v>1</v>
      </c>
      <c r="T47" s="24" t="s">
        <v>75</v>
      </c>
      <c r="U47" s="24" t="s">
        <v>76</v>
      </c>
      <c r="V47" s="26">
        <v>366714.59</v>
      </c>
      <c r="W47" s="24" t="s">
        <v>77</v>
      </c>
      <c r="X47" s="24" t="s">
        <v>78</v>
      </c>
      <c r="Y47" s="24" t="s">
        <v>84</v>
      </c>
    </row>
    <row r="48" spans="1:25" ht="15">
      <c r="A48" s="24" t="s">
        <v>20</v>
      </c>
      <c r="B48" s="24" t="s">
        <v>65</v>
      </c>
      <c r="C48" s="25" t="s">
        <v>102</v>
      </c>
      <c r="D48" s="24" t="s">
        <v>66</v>
      </c>
      <c r="E48" s="24" t="s">
        <v>21</v>
      </c>
      <c r="F48" s="24" t="s">
        <v>67</v>
      </c>
      <c r="G48" s="24" t="s">
        <v>68</v>
      </c>
      <c r="H48" s="24" t="s">
        <v>69</v>
      </c>
      <c r="I48" s="26">
        <v>4317261.93</v>
      </c>
      <c r="J48" s="24" t="s">
        <v>80</v>
      </c>
      <c r="K48" s="24" t="s">
        <v>71</v>
      </c>
      <c r="L48" s="24" t="s">
        <v>81</v>
      </c>
      <c r="M48" s="24" t="s">
        <v>73</v>
      </c>
      <c r="N48" s="24" t="s">
        <v>26</v>
      </c>
      <c r="O48" s="24" t="s">
        <v>25</v>
      </c>
      <c r="P48" s="24" t="s">
        <v>74</v>
      </c>
      <c r="Q48" s="27">
        <v>0</v>
      </c>
      <c r="R48" s="27">
        <v>2017</v>
      </c>
      <c r="S48" s="27">
        <v>2</v>
      </c>
      <c r="T48" s="24" t="s">
        <v>75</v>
      </c>
      <c r="U48" s="24" t="s">
        <v>76</v>
      </c>
      <c r="V48" s="26">
        <v>8634523.86</v>
      </c>
      <c r="W48" s="24" t="s">
        <v>77</v>
      </c>
      <c r="X48" s="24" t="s">
        <v>78</v>
      </c>
      <c r="Y48" s="24" t="s">
        <v>79</v>
      </c>
    </row>
    <row r="49" spans="1:25" ht="15">
      <c r="A49" s="24" t="s">
        <v>20</v>
      </c>
      <c r="B49" s="24" t="s">
        <v>65</v>
      </c>
      <c r="C49" s="25" t="s">
        <v>102</v>
      </c>
      <c r="D49" s="24" t="s">
        <v>66</v>
      </c>
      <c r="E49" s="24" t="s">
        <v>21</v>
      </c>
      <c r="F49" s="24" t="s">
        <v>67</v>
      </c>
      <c r="G49" s="24" t="s">
        <v>68</v>
      </c>
      <c r="H49" s="24" t="s">
        <v>69</v>
      </c>
      <c r="I49" s="26">
        <v>0</v>
      </c>
      <c r="J49" s="24" t="s">
        <v>70</v>
      </c>
      <c r="K49" s="24" t="s">
        <v>71</v>
      </c>
      <c r="L49" s="24" t="s">
        <v>72</v>
      </c>
      <c r="M49" s="24" t="s">
        <v>73</v>
      </c>
      <c r="N49" s="24" t="s">
        <v>26</v>
      </c>
      <c r="O49" s="24" t="s">
        <v>25</v>
      </c>
      <c r="P49" s="24" t="s">
        <v>74</v>
      </c>
      <c r="Q49" s="27">
        <v>0</v>
      </c>
      <c r="R49" s="27">
        <v>2017</v>
      </c>
      <c r="S49" s="27">
        <v>2</v>
      </c>
      <c r="T49" s="24" t="s">
        <v>75</v>
      </c>
      <c r="U49" s="24" t="s">
        <v>76</v>
      </c>
      <c r="V49" s="26">
        <v>8634523.86</v>
      </c>
      <c r="W49" s="24" t="s">
        <v>77</v>
      </c>
      <c r="X49" s="24" t="s">
        <v>78</v>
      </c>
      <c r="Y49" s="24" t="s">
        <v>79</v>
      </c>
    </row>
    <row r="50" spans="1:25" ht="15">
      <c r="A50" s="24" t="s">
        <v>20</v>
      </c>
      <c r="B50" s="24" t="s">
        <v>65</v>
      </c>
      <c r="C50" s="25" t="s">
        <v>103</v>
      </c>
      <c r="D50" s="24" t="s">
        <v>66</v>
      </c>
      <c r="E50" s="24" t="s">
        <v>21</v>
      </c>
      <c r="F50" s="24" t="s">
        <v>67</v>
      </c>
      <c r="G50" s="24" t="s">
        <v>68</v>
      </c>
      <c r="H50" s="24" t="s">
        <v>69</v>
      </c>
      <c r="I50" s="26">
        <v>-4294652.05</v>
      </c>
      <c r="J50" s="24" t="s">
        <v>80</v>
      </c>
      <c r="K50" s="24" t="s">
        <v>71</v>
      </c>
      <c r="L50" s="24" t="s">
        <v>81</v>
      </c>
      <c r="M50" s="24" t="s">
        <v>73</v>
      </c>
      <c r="N50" s="24" t="s">
        <v>26</v>
      </c>
      <c r="O50" s="24" t="s">
        <v>25</v>
      </c>
      <c r="P50" s="24" t="s">
        <v>74</v>
      </c>
      <c r="Q50" s="27">
        <v>1</v>
      </c>
      <c r="R50" s="27">
        <v>2017</v>
      </c>
      <c r="S50" s="27">
        <v>2</v>
      </c>
      <c r="T50" s="24" t="s">
        <v>75</v>
      </c>
      <c r="U50" s="24" t="s">
        <v>76</v>
      </c>
      <c r="V50" s="26">
        <v>-8589304.11</v>
      </c>
      <c r="W50" s="24" t="s">
        <v>77</v>
      </c>
      <c r="X50" s="24" t="s">
        <v>78</v>
      </c>
      <c r="Y50" s="24" t="s">
        <v>79</v>
      </c>
    </row>
    <row r="51" spans="1:25" ht="15">
      <c r="A51" s="24" t="s">
        <v>20</v>
      </c>
      <c r="B51" s="24" t="s">
        <v>65</v>
      </c>
      <c r="C51" s="25" t="s">
        <v>103</v>
      </c>
      <c r="D51" s="24" t="s">
        <v>66</v>
      </c>
      <c r="E51" s="24" t="s">
        <v>21</v>
      </c>
      <c r="F51" s="24" t="s">
        <v>67</v>
      </c>
      <c r="G51" s="24" t="s">
        <v>68</v>
      </c>
      <c r="H51" s="24" t="s">
        <v>69</v>
      </c>
      <c r="I51" s="26">
        <v>0</v>
      </c>
      <c r="J51" s="24" t="s">
        <v>70</v>
      </c>
      <c r="K51" s="24" t="s">
        <v>71</v>
      </c>
      <c r="L51" s="24" t="s">
        <v>72</v>
      </c>
      <c r="M51" s="24" t="s">
        <v>73</v>
      </c>
      <c r="N51" s="24" t="s">
        <v>26</v>
      </c>
      <c r="O51" s="24" t="s">
        <v>25</v>
      </c>
      <c r="P51" s="24" t="s">
        <v>74</v>
      </c>
      <c r="Q51" s="27">
        <v>1</v>
      </c>
      <c r="R51" s="27">
        <v>2017</v>
      </c>
      <c r="S51" s="27">
        <v>2</v>
      </c>
      <c r="T51" s="24" t="s">
        <v>75</v>
      </c>
      <c r="U51" s="24" t="s">
        <v>76</v>
      </c>
      <c r="V51" s="26">
        <v>-8589304.11</v>
      </c>
      <c r="W51" s="24" t="s">
        <v>77</v>
      </c>
      <c r="X51" s="24" t="s">
        <v>78</v>
      </c>
      <c r="Y51" s="24" t="s">
        <v>79</v>
      </c>
    </row>
    <row r="52" spans="1:25" ht="15">
      <c r="A52" s="24" t="s">
        <v>20</v>
      </c>
      <c r="B52" s="24" t="s">
        <v>65</v>
      </c>
      <c r="C52" s="25" t="s">
        <v>103</v>
      </c>
      <c r="D52" s="24" t="s">
        <v>104</v>
      </c>
      <c r="E52" s="24" t="s">
        <v>21</v>
      </c>
      <c r="F52" s="24" t="s">
        <v>67</v>
      </c>
      <c r="G52" s="24" t="s">
        <v>68</v>
      </c>
      <c r="H52" s="24" t="s">
        <v>69</v>
      </c>
      <c r="I52" s="26">
        <v>4294652.05</v>
      </c>
      <c r="J52" s="24" t="s">
        <v>80</v>
      </c>
      <c r="K52" s="24" t="s">
        <v>71</v>
      </c>
      <c r="L52" s="24" t="s">
        <v>81</v>
      </c>
      <c r="M52" s="24" t="s">
        <v>73</v>
      </c>
      <c r="N52" s="24" t="s">
        <v>26</v>
      </c>
      <c r="O52" s="24" t="s">
        <v>25</v>
      </c>
      <c r="P52" s="24" t="s">
        <v>74</v>
      </c>
      <c r="Q52" s="27">
        <v>0</v>
      </c>
      <c r="R52" s="27">
        <v>2017</v>
      </c>
      <c r="S52" s="27">
        <v>2</v>
      </c>
      <c r="T52" s="24" t="s">
        <v>75</v>
      </c>
      <c r="U52" s="24" t="s">
        <v>76</v>
      </c>
      <c r="V52" s="26">
        <v>8589304.11</v>
      </c>
      <c r="W52" s="24" t="s">
        <v>77</v>
      </c>
      <c r="X52" s="24" t="s">
        <v>78</v>
      </c>
      <c r="Y52" s="24" t="s">
        <v>79</v>
      </c>
    </row>
    <row r="53" spans="1:25" ht="15">
      <c r="A53" s="24" t="s">
        <v>20</v>
      </c>
      <c r="B53" s="24" t="s">
        <v>65</v>
      </c>
      <c r="C53" s="25" t="s">
        <v>103</v>
      </c>
      <c r="D53" s="24" t="s">
        <v>104</v>
      </c>
      <c r="E53" s="24" t="s">
        <v>21</v>
      </c>
      <c r="F53" s="24" t="s">
        <v>67</v>
      </c>
      <c r="G53" s="24" t="s">
        <v>68</v>
      </c>
      <c r="H53" s="24" t="s">
        <v>69</v>
      </c>
      <c r="I53" s="26">
        <v>0</v>
      </c>
      <c r="J53" s="24" t="s">
        <v>70</v>
      </c>
      <c r="K53" s="24" t="s">
        <v>71</v>
      </c>
      <c r="L53" s="24" t="s">
        <v>72</v>
      </c>
      <c r="M53" s="24" t="s">
        <v>73</v>
      </c>
      <c r="N53" s="24" t="s">
        <v>26</v>
      </c>
      <c r="O53" s="24" t="s">
        <v>25</v>
      </c>
      <c r="P53" s="24" t="s">
        <v>74</v>
      </c>
      <c r="Q53" s="27">
        <v>0</v>
      </c>
      <c r="R53" s="27">
        <v>2017</v>
      </c>
      <c r="S53" s="27">
        <v>2</v>
      </c>
      <c r="T53" s="24" t="s">
        <v>75</v>
      </c>
      <c r="U53" s="24" t="s">
        <v>76</v>
      </c>
      <c r="V53" s="26">
        <v>8589304.11</v>
      </c>
      <c r="W53" s="24" t="s">
        <v>77</v>
      </c>
      <c r="X53" s="24" t="s">
        <v>78</v>
      </c>
      <c r="Y53" s="24" t="s">
        <v>79</v>
      </c>
    </row>
    <row r="54" spans="1:25" ht="15">
      <c r="A54" s="24" t="s">
        <v>20</v>
      </c>
      <c r="B54" s="24" t="s">
        <v>82</v>
      </c>
      <c r="C54" s="25" t="s">
        <v>103</v>
      </c>
      <c r="D54" s="24" t="s">
        <v>66</v>
      </c>
      <c r="E54" s="24" t="s">
        <v>29</v>
      </c>
      <c r="F54" s="24" t="s">
        <v>67</v>
      </c>
      <c r="G54" s="24" t="s">
        <v>68</v>
      </c>
      <c r="H54" s="24" t="s">
        <v>69</v>
      </c>
      <c r="I54" s="26">
        <v>169744.34</v>
      </c>
      <c r="J54" s="24" t="s">
        <v>85</v>
      </c>
      <c r="K54" s="24" t="s">
        <v>71</v>
      </c>
      <c r="L54" s="24" t="s">
        <v>81</v>
      </c>
      <c r="M54" s="24" t="s">
        <v>73</v>
      </c>
      <c r="N54" s="24" t="s">
        <v>30</v>
      </c>
      <c r="O54" s="24" t="s">
        <v>25</v>
      </c>
      <c r="P54" s="24" t="s">
        <v>74</v>
      </c>
      <c r="Q54" s="27">
        <v>0</v>
      </c>
      <c r="R54" s="27">
        <v>2017</v>
      </c>
      <c r="S54" s="27">
        <v>2</v>
      </c>
      <c r="T54" s="24" t="s">
        <v>75</v>
      </c>
      <c r="U54" s="24" t="s">
        <v>76</v>
      </c>
      <c r="V54" s="26">
        <v>643793.7</v>
      </c>
      <c r="W54" s="24" t="s">
        <v>77</v>
      </c>
      <c r="X54" s="24" t="s">
        <v>78</v>
      </c>
      <c r="Y54" s="24" t="s">
        <v>84</v>
      </c>
    </row>
    <row r="55" spans="1:25" ht="15">
      <c r="A55" s="24" t="s">
        <v>20</v>
      </c>
      <c r="B55" s="24" t="s">
        <v>82</v>
      </c>
      <c r="C55" s="25" t="s">
        <v>103</v>
      </c>
      <c r="D55" s="24" t="s">
        <v>66</v>
      </c>
      <c r="E55" s="24" t="s">
        <v>29</v>
      </c>
      <c r="F55" s="24" t="s">
        <v>67</v>
      </c>
      <c r="G55" s="24" t="s">
        <v>68</v>
      </c>
      <c r="H55" s="24" t="s">
        <v>69</v>
      </c>
      <c r="I55" s="26">
        <v>152152.51</v>
      </c>
      <c r="J55" s="24" t="s">
        <v>83</v>
      </c>
      <c r="K55" s="24" t="s">
        <v>71</v>
      </c>
      <c r="L55" s="24" t="s">
        <v>72</v>
      </c>
      <c r="M55" s="24" t="s">
        <v>73</v>
      </c>
      <c r="N55" s="24" t="s">
        <v>30</v>
      </c>
      <c r="O55" s="24" t="s">
        <v>25</v>
      </c>
      <c r="P55" s="24" t="s">
        <v>74</v>
      </c>
      <c r="Q55" s="27">
        <v>0</v>
      </c>
      <c r="R55" s="27">
        <v>2017</v>
      </c>
      <c r="S55" s="27">
        <v>2</v>
      </c>
      <c r="T55" s="24" t="s">
        <v>75</v>
      </c>
      <c r="U55" s="24" t="s">
        <v>76</v>
      </c>
      <c r="V55" s="26">
        <v>643793.7</v>
      </c>
      <c r="W55" s="24" t="s">
        <v>77</v>
      </c>
      <c r="X55" s="24" t="s">
        <v>78</v>
      </c>
      <c r="Y55" s="24" t="s">
        <v>84</v>
      </c>
    </row>
  </sheetData>
  <sheetProtection/>
  <autoFilter ref="A1:Y55">
    <sortState ref="A2:Y55">
      <sortCondition sortBy="value" ref="C2:C5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 Elswick</dc:creator>
  <cp:keywords/>
  <dc:description/>
  <cp:lastModifiedBy>Betsy Sekula</cp:lastModifiedBy>
  <cp:lastPrinted>2017-07-10T12:10:55Z</cp:lastPrinted>
  <dcterms:created xsi:type="dcterms:W3CDTF">2013-06-25T19:44:09Z</dcterms:created>
  <dcterms:modified xsi:type="dcterms:W3CDTF">2017-07-10T13:07:22Z</dcterms:modified>
  <cp:category/>
  <cp:version/>
  <cp:contentType/>
  <cp:contentStatus/>
</cp:coreProperties>
</file>