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2455" windowHeight="13155" tabRatio="782"/>
  </bookViews>
  <sheets>
    <sheet name="Test Year Analysis" sheetId="13" r:id="rId1"/>
    <sheet name="Fac-Page 1" sheetId="4" r:id="rId2"/>
    <sheet name="Fac-Page 2" sheetId="2" r:id="rId3"/>
    <sheet name="Fac-Page 4" sheetId="3" r:id="rId4"/>
    <sheet name="FAC-Page 5" sheetId="10" r:id="rId5"/>
    <sheet name="BLI" sheetId="25" r:id="rId6"/>
  </sheets>
  <calcPr calcId="145621"/>
</workbook>
</file>

<file path=xl/calcChain.xml><?xml version="1.0" encoding="utf-8"?>
<calcChain xmlns="http://schemas.openxmlformats.org/spreadsheetml/2006/main">
  <c r="T66" i="25" l="1"/>
  <c r="S66" i="25"/>
  <c r="S65" i="25"/>
  <c r="S54" i="25"/>
  <c r="S25" i="25"/>
  <c r="S60" i="25"/>
  <c r="S64" i="25"/>
  <c r="S13" i="25"/>
  <c r="S12" i="25"/>
  <c r="S63" i="25"/>
  <c r="S62" i="25"/>
  <c r="S61" i="25"/>
  <c r="S59" i="25"/>
  <c r="S58" i="25"/>
  <c r="S57" i="25"/>
  <c r="S56" i="25"/>
  <c r="S55" i="25"/>
  <c r="S53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S40" i="25"/>
  <c r="S39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4" i="25"/>
  <c r="S23" i="25"/>
  <c r="S22" i="25"/>
  <c r="S21" i="25"/>
  <c r="S20" i="25"/>
  <c r="S19" i="25"/>
  <c r="S18" i="25"/>
  <c r="S17" i="25"/>
  <c r="S16" i="25"/>
  <c r="S15" i="25"/>
  <c r="S14" i="25"/>
  <c r="S11" i="25"/>
  <c r="C40" i="2" l="1"/>
  <c r="N59" i="10" l="1"/>
  <c r="M59" i="10"/>
  <c r="L59" i="10"/>
  <c r="K59" i="10"/>
  <c r="J59" i="10"/>
  <c r="I59" i="10"/>
  <c r="H59" i="10"/>
  <c r="G59" i="10"/>
  <c r="F59" i="10"/>
  <c r="E59" i="10"/>
  <c r="D59" i="10"/>
  <c r="C59" i="10"/>
  <c r="O59" i="10"/>
  <c r="P66" i="25" l="1"/>
  <c r="C47" i="3"/>
  <c r="C11" i="2"/>
  <c r="D36" i="2"/>
  <c r="F68" i="25" s="1"/>
  <c r="E36" i="2"/>
  <c r="G68" i="25" s="1"/>
  <c r="H36" i="2"/>
  <c r="J68" i="25" s="1"/>
  <c r="I36" i="2"/>
  <c r="K68" i="25" s="1"/>
  <c r="J36" i="2"/>
  <c r="L68" i="25" s="1"/>
  <c r="N36" i="2"/>
  <c r="P68" i="25" s="1"/>
  <c r="C4" i="3"/>
  <c r="C8" i="3"/>
  <c r="C18" i="3" s="1"/>
  <c r="C26" i="3" s="1"/>
  <c r="C16" i="3"/>
  <c r="F66" i="25"/>
  <c r="G66" i="25"/>
  <c r="H66" i="25"/>
  <c r="I66" i="25"/>
  <c r="J66" i="25"/>
  <c r="K66" i="25"/>
  <c r="L66" i="25"/>
  <c r="M66" i="25"/>
  <c r="N66" i="25"/>
  <c r="L36" i="2" s="1"/>
  <c r="N68" i="25" s="1"/>
  <c r="O66" i="25"/>
  <c r="Q66" i="25"/>
  <c r="R66" i="25"/>
  <c r="E66" i="25"/>
  <c r="C36" i="2" s="1"/>
  <c r="E68" i="25" s="1"/>
  <c r="M36" i="2" l="1"/>
  <c r="O68" i="25" s="1"/>
  <c r="F36" i="2"/>
  <c r="H68" i="25" s="1"/>
  <c r="P36" i="2"/>
  <c r="R68" i="25" s="1"/>
  <c r="O36" i="2"/>
  <c r="Q68" i="25" s="1"/>
  <c r="K36" i="2"/>
  <c r="M68" i="25" s="1"/>
  <c r="G36" i="2"/>
  <c r="I68" i="25" s="1"/>
  <c r="P31" i="2"/>
  <c r="O31" i="2"/>
  <c r="P33" i="2" s="1"/>
  <c r="N31" i="2"/>
  <c r="O33" i="2" s="1"/>
  <c r="M31" i="2"/>
  <c r="N33" i="2" s="1"/>
  <c r="L31" i="2"/>
  <c r="M33" i="2" s="1"/>
  <c r="K31" i="2"/>
  <c r="L33" i="2" s="1"/>
  <c r="J31" i="2"/>
  <c r="K33" i="2" s="1"/>
  <c r="I31" i="2"/>
  <c r="J33" i="2" s="1"/>
  <c r="H31" i="2"/>
  <c r="I33" i="2" s="1"/>
  <c r="G31" i="2"/>
  <c r="H33" i="2" s="1"/>
  <c r="F31" i="2"/>
  <c r="G33" i="2" s="1"/>
  <c r="E31" i="2"/>
  <c r="F33" i="2" s="1"/>
  <c r="D31" i="2"/>
  <c r="E33" i="2" s="1"/>
  <c r="C31" i="2"/>
  <c r="D33" i="2" s="1"/>
  <c r="N45" i="4"/>
  <c r="M45" i="4"/>
  <c r="L45" i="4"/>
  <c r="K45" i="4"/>
  <c r="J45" i="4"/>
  <c r="I45" i="4"/>
  <c r="H45" i="4"/>
  <c r="G45" i="4"/>
  <c r="F45" i="4"/>
  <c r="E45" i="4"/>
  <c r="D45" i="4"/>
  <c r="C45" i="4"/>
  <c r="B21" i="13" l="1"/>
  <c r="B20" i="13"/>
  <c r="B19" i="13"/>
  <c r="B18" i="13"/>
  <c r="B17" i="13"/>
  <c r="B16" i="13"/>
  <c r="B15" i="13"/>
  <c r="B14" i="13"/>
  <c r="B28" i="13" s="1"/>
  <c r="B13" i="13"/>
  <c r="B12" i="13"/>
  <c r="B11" i="13"/>
  <c r="B10" i="13"/>
  <c r="B24" i="13" s="1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C9" i="2" l="1"/>
  <c r="D9" i="2"/>
  <c r="E9" i="2"/>
  <c r="F9" i="2"/>
  <c r="G9" i="2"/>
  <c r="H9" i="2"/>
  <c r="I9" i="2"/>
  <c r="J9" i="2"/>
  <c r="K9" i="2"/>
  <c r="L9" i="2"/>
  <c r="M9" i="2"/>
  <c r="N9" i="2"/>
  <c r="O9" i="2"/>
  <c r="P9" i="2"/>
  <c r="B35" i="13" l="1"/>
  <c r="B34" i="13"/>
  <c r="B33" i="13"/>
  <c r="B32" i="13"/>
  <c r="B31" i="13"/>
  <c r="B30" i="13"/>
  <c r="B29" i="13"/>
  <c r="B27" i="13"/>
  <c r="B26" i="13"/>
  <c r="B25" i="13"/>
  <c r="O52" i="10" l="1"/>
  <c r="N52" i="10"/>
  <c r="M52" i="10"/>
  <c r="L52" i="10"/>
  <c r="K52" i="10"/>
  <c r="J52" i="10"/>
  <c r="I52" i="10"/>
  <c r="H52" i="10"/>
  <c r="G52" i="10"/>
  <c r="F52" i="10"/>
  <c r="E52" i="10"/>
  <c r="D52" i="10"/>
  <c r="C52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F24" i="10"/>
  <c r="F28" i="10" s="1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2" i="10"/>
  <c r="N12" i="10"/>
  <c r="N24" i="10" s="1"/>
  <c r="N28" i="10" s="1"/>
  <c r="M12" i="10"/>
  <c r="M24" i="10" s="1"/>
  <c r="M28" i="10" s="1"/>
  <c r="L12" i="10"/>
  <c r="K12" i="10"/>
  <c r="J12" i="10"/>
  <c r="J24" i="10" s="1"/>
  <c r="J28" i="10" s="1"/>
  <c r="I12" i="10"/>
  <c r="I24" i="10" s="1"/>
  <c r="I28" i="10" s="1"/>
  <c r="H12" i="10"/>
  <c r="G12" i="10"/>
  <c r="F12" i="10"/>
  <c r="E12" i="10"/>
  <c r="E24" i="10" s="1"/>
  <c r="E28" i="10" s="1"/>
  <c r="D12" i="10"/>
  <c r="C12" i="10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N34" i="4"/>
  <c r="M34" i="4"/>
  <c r="L34" i="4"/>
  <c r="K34" i="4"/>
  <c r="J34" i="4"/>
  <c r="I34" i="4"/>
  <c r="H34" i="4"/>
  <c r="G34" i="4"/>
  <c r="F34" i="4"/>
  <c r="E34" i="4"/>
  <c r="D34" i="4"/>
  <c r="C34" i="4"/>
  <c r="P10" i="4"/>
  <c r="O10" i="4"/>
  <c r="N10" i="4"/>
  <c r="G24" i="10" l="1"/>
  <c r="G28" i="10" s="1"/>
  <c r="C24" i="10"/>
  <c r="C28" i="10" s="1"/>
  <c r="K24" i="10"/>
  <c r="K28" i="10" s="1"/>
  <c r="O24" i="10"/>
  <c r="O28" i="10" s="1"/>
  <c r="D24" i="10"/>
  <c r="D28" i="10" s="1"/>
  <c r="H24" i="10"/>
  <c r="H28" i="10" s="1"/>
  <c r="L24" i="10"/>
  <c r="L28" i="10" s="1"/>
  <c r="O16" i="4"/>
  <c r="O20" i="4" s="1"/>
  <c r="C20" i="13"/>
  <c r="K20" i="13" s="1"/>
  <c r="P16" i="4"/>
  <c r="P20" i="4" s="1"/>
  <c r="C21" i="13"/>
  <c r="K21" i="13" s="1"/>
  <c r="N16" i="4"/>
  <c r="P4" i="3" s="1"/>
  <c r="C19" i="13"/>
  <c r="K19" i="13" s="1"/>
  <c r="F57" i="10"/>
  <c r="J57" i="10"/>
  <c r="N57" i="10"/>
  <c r="D57" i="10"/>
  <c r="H57" i="10"/>
  <c r="L57" i="10"/>
  <c r="C57" i="10"/>
  <c r="G57" i="10"/>
  <c r="K57" i="10"/>
  <c r="O57" i="10"/>
  <c r="E57" i="10"/>
  <c r="I57" i="10"/>
  <c r="M57" i="10"/>
  <c r="E61" i="10" l="1"/>
  <c r="F40" i="2"/>
  <c r="C61" i="10"/>
  <c r="D40" i="2"/>
  <c r="N61" i="10"/>
  <c r="O40" i="2"/>
  <c r="O61" i="10"/>
  <c r="P40" i="2"/>
  <c r="L61" i="10"/>
  <c r="M40" i="2"/>
  <c r="J61" i="10"/>
  <c r="K40" i="2"/>
  <c r="M61" i="10"/>
  <c r="N40" i="2"/>
  <c r="K61" i="10"/>
  <c r="L40" i="2"/>
  <c r="H61" i="10"/>
  <c r="I40" i="2"/>
  <c r="F61" i="10"/>
  <c r="G40" i="2"/>
  <c r="I61" i="10"/>
  <c r="J40" i="2"/>
  <c r="G61" i="10"/>
  <c r="H40" i="2"/>
  <c r="D61" i="10"/>
  <c r="E40" i="2"/>
  <c r="N20" i="4"/>
  <c r="C34" i="13"/>
  <c r="D34" i="13" s="1"/>
  <c r="D20" i="13"/>
  <c r="C35" i="13"/>
  <c r="D35" i="13" s="1"/>
  <c r="D21" i="13"/>
  <c r="C33" i="13"/>
  <c r="D33" i="13" s="1"/>
  <c r="D19" i="13"/>
  <c r="P8" i="3"/>
  <c r="P16" i="3"/>
  <c r="P18" i="3" l="1"/>
  <c r="P26" i="3" s="1"/>
  <c r="P12" i="2" s="1"/>
  <c r="P13" i="2" s="1"/>
  <c r="P16" i="2" s="1"/>
  <c r="D39" i="3" l="1"/>
  <c r="D49" i="3" l="1"/>
  <c r="D57" i="3" s="1"/>
  <c r="D47" i="3"/>
  <c r="C39" i="3"/>
  <c r="C49" i="3" s="1"/>
  <c r="C57" i="3" s="1"/>
  <c r="D34" i="2" l="1"/>
  <c r="D35" i="2" s="1"/>
  <c r="D38" i="2" s="1"/>
  <c r="D28" i="4"/>
  <c r="D30" i="4" s="1"/>
  <c r="D39" i="4"/>
  <c r="D41" i="4" s="1"/>
  <c r="D47" i="4" s="1"/>
  <c r="C12" i="2"/>
  <c r="C13" i="2" s="1"/>
  <c r="C16" i="2" s="1"/>
  <c r="C34" i="2"/>
  <c r="C35" i="2" s="1"/>
  <c r="C38" i="2" s="1"/>
  <c r="C8" i="4" l="1"/>
  <c r="C10" i="4" s="1"/>
  <c r="C16" i="4" s="1"/>
  <c r="E4" i="3" s="1"/>
  <c r="D36" i="4"/>
  <c r="F35" i="3" s="1"/>
  <c r="F47" i="3" s="1"/>
  <c r="C28" i="4"/>
  <c r="C30" i="4" s="1"/>
  <c r="C36" i="4" s="1"/>
  <c r="E35" i="3" s="1"/>
  <c r="D8" i="3"/>
  <c r="D16" i="3"/>
  <c r="C39" i="4" l="1"/>
  <c r="C41" i="4" s="1"/>
  <c r="C47" i="4" s="1"/>
  <c r="F39" i="3"/>
  <c r="F49" i="3" s="1"/>
  <c r="F57" i="3" s="1"/>
  <c r="F34" i="2" s="1"/>
  <c r="F35" i="2" s="1"/>
  <c r="F38" i="2" s="1"/>
  <c r="D18" i="3"/>
  <c r="D26" i="3" s="1"/>
  <c r="D12" i="2" s="1"/>
  <c r="D13" i="2" s="1"/>
  <c r="D16" i="2" s="1"/>
  <c r="D8" i="4" s="1"/>
  <c r="D10" i="4" s="1"/>
  <c r="E47" i="3"/>
  <c r="E39" i="3"/>
  <c r="C20" i="4" l="1"/>
  <c r="F28" i="4"/>
  <c r="F30" i="4" s="1"/>
  <c r="F39" i="4"/>
  <c r="F41" i="4" s="1"/>
  <c r="F47" i="4" s="1"/>
  <c r="D16" i="4"/>
  <c r="F4" i="3" s="1"/>
  <c r="E49" i="3"/>
  <c r="E57" i="3" s="1"/>
  <c r="E34" i="2" s="1"/>
  <c r="E35" i="2" s="1"/>
  <c r="E38" i="2" s="1"/>
  <c r="E16" i="3" l="1"/>
  <c r="E8" i="3"/>
  <c r="F36" i="4"/>
  <c r="H35" i="3" s="1"/>
  <c r="H39" i="3" s="1"/>
  <c r="E11" i="13"/>
  <c r="E28" i="4"/>
  <c r="E30" i="4" s="1"/>
  <c r="E10" i="13" s="1"/>
  <c r="E39" i="4"/>
  <c r="E41" i="4" s="1"/>
  <c r="E47" i="4" s="1"/>
  <c r="D20" i="4"/>
  <c r="L10" i="13" l="1"/>
  <c r="L11" i="13"/>
  <c r="E18" i="3"/>
  <c r="E26" i="3" s="1"/>
  <c r="E12" i="2" s="1"/>
  <c r="E13" i="2" s="1"/>
  <c r="E16" i="2" s="1"/>
  <c r="E8" i="4" s="1"/>
  <c r="E10" i="4" s="1"/>
  <c r="H47" i="3"/>
  <c r="H49" i="3" s="1"/>
  <c r="H57" i="3" s="1"/>
  <c r="H34" i="2" s="1"/>
  <c r="H35" i="2" s="1"/>
  <c r="H38" i="2" s="1"/>
  <c r="E25" i="13"/>
  <c r="F25" i="13" s="1"/>
  <c r="F11" i="13"/>
  <c r="E24" i="13"/>
  <c r="F24" i="13" s="1"/>
  <c r="F10" i="13"/>
  <c r="E36" i="4"/>
  <c r="G35" i="3" s="1"/>
  <c r="G47" i="3" s="1"/>
  <c r="F16" i="3"/>
  <c r="F8" i="3"/>
  <c r="C10" i="13" l="1"/>
  <c r="E16" i="4"/>
  <c r="G4" i="3" s="1"/>
  <c r="H28" i="4"/>
  <c r="H30" i="4" s="1"/>
  <c r="E13" i="13" s="1"/>
  <c r="H39" i="4"/>
  <c r="H41" i="4" s="1"/>
  <c r="H47" i="4" s="1"/>
  <c r="G39" i="3"/>
  <c r="G49" i="3" s="1"/>
  <c r="G57" i="3" s="1"/>
  <c r="G34" i="2" s="1"/>
  <c r="G35" i="2" s="1"/>
  <c r="G38" i="2" s="1"/>
  <c r="F18" i="3"/>
  <c r="F26" i="3" s="1"/>
  <c r="F12" i="2" s="1"/>
  <c r="F13" i="2" s="1"/>
  <c r="F16" i="2" s="1"/>
  <c r="F8" i="4" s="1"/>
  <c r="F10" i="4" s="1"/>
  <c r="C11" i="13" s="1"/>
  <c r="K10" i="13" l="1"/>
  <c r="M10" i="13" s="1"/>
  <c r="K11" i="13"/>
  <c r="M11" i="13" s="1"/>
  <c r="L13" i="13"/>
  <c r="E20" i="4"/>
  <c r="C24" i="13"/>
  <c r="D24" i="13" s="1"/>
  <c r="D10" i="13"/>
  <c r="H36" i="4"/>
  <c r="J35" i="3" s="1"/>
  <c r="E27" i="13"/>
  <c r="F27" i="13" s="1"/>
  <c r="F13" i="13"/>
  <c r="G28" i="4"/>
  <c r="G30" i="4" s="1"/>
  <c r="G36" i="4" s="1"/>
  <c r="I35" i="3" s="1"/>
  <c r="G39" i="4"/>
  <c r="G41" i="4" s="1"/>
  <c r="G47" i="4" s="1"/>
  <c r="F16" i="4"/>
  <c r="H4" i="3" s="1"/>
  <c r="D11" i="13"/>
  <c r="C25" i="13"/>
  <c r="D25" i="13" s="1"/>
  <c r="G8" i="3" l="1"/>
  <c r="G16" i="3"/>
  <c r="E12" i="13"/>
  <c r="F20" i="4"/>
  <c r="H16" i="3"/>
  <c r="H8" i="3"/>
  <c r="I47" i="3"/>
  <c r="I39" i="3"/>
  <c r="J47" i="3"/>
  <c r="J39" i="3"/>
  <c r="L12" i="13" l="1"/>
  <c r="G18" i="3"/>
  <c r="G26" i="3" s="1"/>
  <c r="G12" i="2" s="1"/>
  <c r="G13" i="2" s="1"/>
  <c r="G16" i="2" s="1"/>
  <c r="G8" i="4" s="1"/>
  <c r="G10" i="4" s="1"/>
  <c r="F12" i="13"/>
  <c r="E26" i="13"/>
  <c r="F26" i="13" s="1"/>
  <c r="J49" i="3"/>
  <c r="J57" i="3" s="1"/>
  <c r="J34" i="2" s="1"/>
  <c r="J35" i="2" s="1"/>
  <c r="J38" i="2" s="1"/>
  <c r="H18" i="3"/>
  <c r="H26" i="3" s="1"/>
  <c r="H12" i="2" s="1"/>
  <c r="H13" i="2" s="1"/>
  <c r="H16" i="2" s="1"/>
  <c r="H8" i="4" s="1"/>
  <c r="H10" i="4" s="1"/>
  <c r="C13" i="13" s="1"/>
  <c r="I49" i="3"/>
  <c r="I57" i="3" s="1"/>
  <c r="I34" i="2" s="1"/>
  <c r="I35" i="2" s="1"/>
  <c r="I38" i="2" s="1"/>
  <c r="K13" i="13" l="1"/>
  <c r="M13" i="13" s="1"/>
  <c r="C12" i="13"/>
  <c r="K12" i="13" s="1"/>
  <c r="M12" i="13" s="1"/>
  <c r="G16" i="4"/>
  <c r="I4" i="3" s="1"/>
  <c r="J28" i="4"/>
  <c r="J30" i="4" s="1"/>
  <c r="J36" i="4" s="1"/>
  <c r="L35" i="3" s="1"/>
  <c r="J39" i="4"/>
  <c r="J41" i="4" s="1"/>
  <c r="J47" i="4" s="1"/>
  <c r="I28" i="4"/>
  <c r="I30" i="4" s="1"/>
  <c r="E14" i="13" s="1"/>
  <c r="I39" i="4"/>
  <c r="I41" i="4" s="1"/>
  <c r="I47" i="4" s="1"/>
  <c r="C27" i="13"/>
  <c r="D27" i="13" s="1"/>
  <c r="D13" i="13"/>
  <c r="H16" i="4"/>
  <c r="J4" i="3" s="1"/>
  <c r="L14" i="13" l="1"/>
  <c r="G20" i="4"/>
  <c r="C26" i="13"/>
  <c r="D26" i="13" s="1"/>
  <c r="D12" i="13"/>
  <c r="E15" i="13"/>
  <c r="I36" i="4"/>
  <c r="K35" i="3" s="1"/>
  <c r="F14" i="13"/>
  <c r="E28" i="13"/>
  <c r="F28" i="13" s="1"/>
  <c r="H20" i="4"/>
  <c r="L47" i="3"/>
  <c r="L39" i="3"/>
  <c r="L15" i="13" l="1"/>
  <c r="I8" i="3"/>
  <c r="I16" i="3"/>
  <c r="E29" i="13"/>
  <c r="F29" i="13" s="1"/>
  <c r="F15" i="13"/>
  <c r="J16" i="3"/>
  <c r="J8" i="3"/>
  <c r="L49" i="3"/>
  <c r="L57" i="3" s="1"/>
  <c r="L34" i="2" s="1"/>
  <c r="L35" i="2" s="1"/>
  <c r="L38" i="2" s="1"/>
  <c r="K39" i="3"/>
  <c r="K47" i="3"/>
  <c r="I18" i="3" l="1"/>
  <c r="I26" i="3" s="1"/>
  <c r="I12" i="2" s="1"/>
  <c r="I13" i="2" s="1"/>
  <c r="I16" i="2" s="1"/>
  <c r="I8" i="4" s="1"/>
  <c r="I10" i="4" s="1"/>
  <c r="C14" i="13" s="1"/>
  <c r="L28" i="4"/>
  <c r="L30" i="4" s="1"/>
  <c r="L39" i="4"/>
  <c r="L41" i="4" s="1"/>
  <c r="L47" i="4" s="1"/>
  <c r="J18" i="3"/>
  <c r="J26" i="3" s="1"/>
  <c r="J12" i="2" s="1"/>
  <c r="J13" i="2" s="1"/>
  <c r="J16" i="2" s="1"/>
  <c r="J8" i="4" s="1"/>
  <c r="J10" i="4" s="1"/>
  <c r="C15" i="13" s="1"/>
  <c r="K15" i="13" s="1"/>
  <c r="M15" i="13" s="1"/>
  <c r="K49" i="3"/>
  <c r="K57" i="3" s="1"/>
  <c r="K34" i="2" s="1"/>
  <c r="K35" i="2" s="1"/>
  <c r="K38" i="2" s="1"/>
  <c r="K14" i="13" l="1"/>
  <c r="M14" i="13" s="1"/>
  <c r="I16" i="4"/>
  <c r="K4" i="3" s="1"/>
  <c r="D14" i="13"/>
  <c r="C28" i="13"/>
  <c r="D28" i="13" s="1"/>
  <c r="L36" i="4"/>
  <c r="N35" i="3" s="1"/>
  <c r="N39" i="3" s="1"/>
  <c r="E17" i="13"/>
  <c r="C29" i="13"/>
  <c r="D29" i="13" s="1"/>
  <c r="K28" i="4"/>
  <c r="K30" i="4" s="1"/>
  <c r="E16" i="13" s="1"/>
  <c r="K39" i="4"/>
  <c r="K41" i="4" s="1"/>
  <c r="K47" i="4" s="1"/>
  <c r="J16" i="4"/>
  <c r="L4" i="3" s="1"/>
  <c r="D15" i="13"/>
  <c r="L16" i="13" l="1"/>
  <c r="L17" i="13"/>
  <c r="K8" i="3"/>
  <c r="K16" i="3"/>
  <c r="I20" i="4"/>
  <c r="E31" i="13"/>
  <c r="F31" i="13" s="1"/>
  <c r="F17" i="13"/>
  <c r="N47" i="3"/>
  <c r="N49" i="3" s="1"/>
  <c r="N57" i="3" s="1"/>
  <c r="N34" i="2" s="1"/>
  <c r="N35" i="2" s="1"/>
  <c r="N38" i="2" s="1"/>
  <c r="K36" i="4"/>
  <c r="M35" i="3" s="1"/>
  <c r="F16" i="13"/>
  <c r="E30" i="13"/>
  <c r="F30" i="13" s="1"/>
  <c r="J20" i="4"/>
  <c r="L16" i="3"/>
  <c r="L8" i="3"/>
  <c r="K18" i="3" l="1"/>
  <c r="K26" i="3" s="1"/>
  <c r="K12" i="2" s="1"/>
  <c r="K13" i="2" s="1"/>
  <c r="K16" i="2" s="1"/>
  <c r="K8" i="4" s="1"/>
  <c r="K10" i="4" s="1"/>
  <c r="C16" i="13" s="1"/>
  <c r="D16" i="13" s="1"/>
  <c r="K16" i="13"/>
  <c r="M16" i="13" s="1"/>
  <c r="N28" i="4"/>
  <c r="N30" i="4" s="1"/>
  <c r="N36" i="4" s="1"/>
  <c r="P35" i="3" s="1"/>
  <c r="N39" i="4"/>
  <c r="N41" i="4" s="1"/>
  <c r="N47" i="4" s="1"/>
  <c r="L18" i="3"/>
  <c r="L26" i="3" s="1"/>
  <c r="L12" i="2" s="1"/>
  <c r="L13" i="2" s="1"/>
  <c r="L16" i="2" s="1"/>
  <c r="L8" i="4" s="1"/>
  <c r="L10" i="4" s="1"/>
  <c r="C17" i="13" s="1"/>
  <c r="K17" i="13" s="1"/>
  <c r="M17" i="13" s="1"/>
  <c r="M39" i="3"/>
  <c r="M47" i="3"/>
  <c r="K16" i="4" l="1"/>
  <c r="C30" i="13"/>
  <c r="D30" i="13" s="1"/>
  <c r="E19" i="13"/>
  <c r="D17" i="13"/>
  <c r="P47" i="3"/>
  <c r="P39" i="3"/>
  <c r="C31" i="13"/>
  <c r="D31" i="13" s="1"/>
  <c r="L16" i="4"/>
  <c r="M49" i="3"/>
  <c r="M57" i="3" s="1"/>
  <c r="M34" i="2" s="1"/>
  <c r="M35" i="2" s="1"/>
  <c r="M38" i="2" s="1"/>
  <c r="M4" i="3" l="1"/>
  <c r="K20" i="4"/>
  <c r="L19" i="13"/>
  <c r="M19" i="13" s="1"/>
  <c r="L20" i="4"/>
  <c r="N4" i="3"/>
  <c r="N16" i="3" s="1"/>
  <c r="E33" i="13"/>
  <c r="F33" i="13" s="1"/>
  <c r="F19" i="13"/>
  <c r="P49" i="3"/>
  <c r="P57" i="3" s="1"/>
  <c r="M28" i="4"/>
  <c r="M30" i="4" s="1"/>
  <c r="M36" i="4" s="1"/>
  <c r="O35" i="3" s="1"/>
  <c r="M39" i="4"/>
  <c r="M41" i="4" s="1"/>
  <c r="M47" i="4" s="1"/>
  <c r="M8" i="3" l="1"/>
  <c r="M16" i="3"/>
  <c r="P34" i="2"/>
  <c r="P35" i="2" s="1"/>
  <c r="P38" i="2" s="1"/>
  <c r="P28" i="4" s="1"/>
  <c r="P30" i="4" s="1"/>
  <c r="P39" i="4"/>
  <c r="P41" i="4" s="1"/>
  <c r="P47" i="4" s="1"/>
  <c r="E18" i="13"/>
  <c r="N8" i="3"/>
  <c r="N18" i="3" s="1"/>
  <c r="N26" i="3" s="1"/>
  <c r="N12" i="2" s="1"/>
  <c r="N13" i="2" s="1"/>
  <c r="N16" i="2" s="1"/>
  <c r="O39" i="3"/>
  <c r="O47" i="3"/>
  <c r="M18" i="3" l="1"/>
  <c r="M26" i="3" s="1"/>
  <c r="M12" i="2" s="1"/>
  <c r="M13" i="2" s="1"/>
  <c r="M16" i="2" s="1"/>
  <c r="M8" i="4" s="1"/>
  <c r="M10" i="4" s="1"/>
  <c r="L18" i="13"/>
  <c r="E21" i="13"/>
  <c r="L21" i="13" s="1"/>
  <c r="P36" i="4"/>
  <c r="F18" i="13"/>
  <c r="E32" i="13"/>
  <c r="F32" i="13" s="1"/>
  <c r="O49" i="3"/>
  <c r="O57" i="3" s="1"/>
  <c r="O34" i="2" s="1"/>
  <c r="O35" i="2" s="1"/>
  <c r="O38" i="2" s="1"/>
  <c r="M16" i="4" l="1"/>
  <c r="C18" i="13"/>
  <c r="F21" i="13"/>
  <c r="M21" i="13"/>
  <c r="E35" i="13"/>
  <c r="F35" i="13" s="1"/>
  <c r="O28" i="4"/>
  <c r="O30" i="4" s="1"/>
  <c r="O36" i="4" s="1"/>
  <c r="O39" i="4"/>
  <c r="O41" i="4" s="1"/>
  <c r="O47" i="4" s="1"/>
  <c r="O4" i="3" l="1"/>
  <c r="M20" i="4"/>
  <c r="K18" i="13"/>
  <c r="M18" i="13" s="1"/>
  <c r="C32" i="13"/>
  <c r="D32" i="13" s="1"/>
  <c r="D18" i="13"/>
  <c r="E20" i="13"/>
  <c r="O16" i="3" l="1"/>
  <c r="O8" i="3"/>
  <c r="E34" i="13"/>
  <c r="F34" i="13" s="1"/>
  <c r="L20" i="13"/>
  <c r="M20" i="13" s="1"/>
  <c r="M22" i="13" s="1"/>
  <c r="F20" i="13"/>
  <c r="O18" i="3" l="1"/>
  <c r="O26" i="3" s="1"/>
  <c r="O12" i="2" s="1"/>
  <c r="O13" i="2" s="1"/>
  <c r="O16" i="2" s="1"/>
</calcChain>
</file>

<file path=xl/comments1.xml><?xml version="1.0" encoding="utf-8"?>
<comments xmlns="http://schemas.openxmlformats.org/spreadsheetml/2006/main">
  <authors>
    <author>Tom Gant</author>
  </authors>
  <commentList>
    <comment ref="C11" authorId="0">
      <text>
        <r>
          <rPr>
            <sz val="9"/>
            <color indexed="81"/>
            <rFont val="Tahoma"/>
            <family val="2"/>
          </rPr>
          <t>Manually entered December 2015 estimate to actual change.</t>
        </r>
      </text>
    </comment>
    <comment ref="C33" authorId="0">
      <text>
        <r>
          <rPr>
            <sz val="9"/>
            <color indexed="81"/>
            <rFont val="Tahoma"/>
            <family val="2"/>
          </rPr>
          <t>Manually entered December 2015 estimate to actual change.</t>
        </r>
      </text>
    </comment>
  </commentList>
</comments>
</file>

<file path=xl/comments2.xml><?xml version="1.0" encoding="utf-8"?>
<comments xmlns="http://schemas.openxmlformats.org/spreadsheetml/2006/main">
  <authors>
    <author>Tom Gant</author>
  </authors>
  <commentList>
    <comment ref="C4" authorId="0">
      <text>
        <r>
          <rPr>
            <sz val="9"/>
            <color indexed="81"/>
            <rFont val="Tahoma"/>
            <family val="2"/>
          </rPr>
          <t>Manually entered November 2015 billed rate.</t>
        </r>
      </text>
    </comment>
    <comment ref="D4" authorId="0">
      <text>
        <r>
          <rPr>
            <sz val="9"/>
            <color indexed="81"/>
            <rFont val="Tahoma"/>
            <family val="2"/>
          </rPr>
          <t>Manually entered December 2015 billed rate.</t>
        </r>
      </text>
    </comment>
    <comment ref="C35" authorId="0">
      <text>
        <r>
          <rPr>
            <sz val="9"/>
            <color indexed="81"/>
            <rFont val="Tahoma"/>
            <family val="2"/>
          </rPr>
          <t>Manually input November 2015 billed rate.</t>
        </r>
      </text>
    </comment>
    <comment ref="D35" authorId="0">
      <text>
        <r>
          <rPr>
            <sz val="9"/>
            <color indexed="81"/>
            <rFont val="Tahoma"/>
            <family val="2"/>
          </rPr>
          <t>Manually entered December 2016 billed rate.</t>
        </r>
      </text>
    </comment>
  </commentList>
</comments>
</file>

<file path=xl/sharedStrings.xml><?xml version="1.0" encoding="utf-8"?>
<sst xmlns="http://schemas.openxmlformats.org/spreadsheetml/2006/main" count="401" uniqueCount="192">
  <si>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</si>
  <si>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</si>
  <si>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</si>
  <si>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</si>
  <si>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</si>
  <si>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</si>
  <si>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</si>
  <si>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</si>
  <si>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</si>
  <si>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</si>
  <si>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</si>
  <si>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</si>
  <si>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Company Generation</t>
  </si>
  <si>
    <t>Purchases</t>
  </si>
  <si>
    <t>Inter-System Sales Fuel Costs</t>
  </si>
  <si>
    <t>A</t>
  </si>
  <si>
    <t>B</t>
  </si>
  <si>
    <t>C</t>
  </si>
  <si>
    <t>D</t>
  </si>
  <si>
    <t>E</t>
  </si>
  <si>
    <t>F</t>
  </si>
  <si>
    <t>G</t>
  </si>
  <si>
    <t>H</t>
  </si>
  <si>
    <t>H1</t>
  </si>
  <si>
    <t>I</t>
  </si>
  <si>
    <t>Over/(Under) Recovery</t>
  </si>
  <si>
    <t>Marginal Line Loss</t>
  </si>
  <si>
    <t>E2</t>
  </si>
  <si>
    <t>Adjusted Grand Total Fuel Costs (G+H-H1)</t>
  </si>
  <si>
    <t>Fuel Cost Schedule</t>
  </si>
  <si>
    <t>Sales Schedule</t>
  </si>
  <si>
    <t>Grand Total Fuel Costs (D+E2-F)</t>
  </si>
  <si>
    <t>Base Fuel</t>
  </si>
  <si>
    <t>Base Sales</t>
  </si>
  <si>
    <t>Base FAC Rate</t>
  </si>
  <si>
    <t>Rate</t>
  </si>
  <si>
    <t>Billed FAC Rate</t>
  </si>
  <si>
    <t>Estimated Total Fuel Costs (A+B-C-C1)</t>
  </si>
  <si>
    <t>Actual Total Fuel Cost</t>
  </si>
  <si>
    <t xml:space="preserve">Previous Month Est/Act Total Fuel Cost Difference 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</si>
  <si>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</si>
  <si>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</si>
  <si>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</si>
  <si>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</si>
  <si>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</si>
  <si>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</si>
  <si>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</si>
  <si>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</si>
  <si>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</si>
  <si>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</si>
  <si>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</si>
  <si>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</si>
  <si>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What Was Filed In 2016</t>
  </si>
  <si>
    <t>`</t>
  </si>
  <si>
    <t>Month &amp; Year</t>
  </si>
  <si>
    <t>Sales Schedule (Sm)</t>
  </si>
  <si>
    <t xml:space="preserve">     Coal Burned</t>
  </si>
  <si>
    <t xml:space="preserve">     Oil Burned</t>
  </si>
  <si>
    <t xml:space="preserve">     Gas Burned</t>
  </si>
  <si>
    <t xml:space="preserve">     Fuel (jointly owned plant)</t>
  </si>
  <si>
    <t xml:space="preserve">     Fuel (assigned cost during F.O.)</t>
  </si>
  <si>
    <t xml:space="preserve">     Fuel (substitue for F.O.)</t>
  </si>
  <si>
    <t xml:space="preserve">                                                SUBTOTAL</t>
  </si>
  <si>
    <t xml:space="preserve">     Net Energy Cost - Economy Purchases</t>
  </si>
  <si>
    <t xml:space="preserve">     Identifiable Fuel Cost - Other Purchases</t>
  </si>
  <si>
    <t>Inte-System Sales Fuel Costs</t>
  </si>
  <si>
    <t>Net Transmission Marginal Line Loss for Month</t>
  </si>
  <si>
    <t>Grand Total Fuel Cost   (D + E)</t>
  </si>
  <si>
    <t xml:space="preserve">     Purchase Adjustment for Peaking Unit Equivalent</t>
  </si>
  <si>
    <t xml:space="preserve">     Identifiable Fuel Cost (substitute for F.O.)</t>
  </si>
  <si>
    <t>What was Filed in 2016</t>
  </si>
  <si>
    <t>Recalculated Using PJM Billing Line Items</t>
  </si>
  <si>
    <t>OSS / LSE</t>
  </si>
  <si>
    <t>LSE</t>
  </si>
  <si>
    <t>Grand Total</t>
  </si>
  <si>
    <t>Journal Line Description</t>
  </si>
  <si>
    <t>Account</t>
  </si>
  <si>
    <t>1210 - Day-Ahead Transmission</t>
  </si>
  <si>
    <t>5550124</t>
  </si>
  <si>
    <t>1215 - Balancing Transmission</t>
  </si>
  <si>
    <t>1230 - Inadvertent Interchange</t>
  </si>
  <si>
    <t>5550040</t>
  </si>
  <si>
    <t>1230A - Adj. to Inadvertent In</t>
  </si>
  <si>
    <t>1250 - Meter Correction Charge</t>
  </si>
  <si>
    <t>4470116</t>
  </si>
  <si>
    <t>1250 - Meter Error Correction</t>
  </si>
  <si>
    <t>1250A - Adj. to Meter Error Co</t>
  </si>
  <si>
    <t>1250A - Meter Error Correction</t>
  </si>
  <si>
    <t>1340 - Regulation and Frequenc</t>
  </si>
  <si>
    <t>5550078</t>
  </si>
  <si>
    <t>1340A - Adj. to Regulation and</t>
  </si>
  <si>
    <t>1360 - Synchronized Reserve -</t>
  </si>
  <si>
    <t>5550083</t>
  </si>
  <si>
    <t>1360 - Synchronized Reserve Ti</t>
  </si>
  <si>
    <t>1360A - Adj. to Synchronized R</t>
  </si>
  <si>
    <t>1370 - Day-Ahead Operating Res</t>
  </si>
  <si>
    <t>5550123</t>
  </si>
  <si>
    <t>1370A - Adj. to Day-ahead Oper</t>
  </si>
  <si>
    <t>1375 - Balancing Operating Res</t>
  </si>
  <si>
    <t>1375A - Adj. to Balancing Oper</t>
  </si>
  <si>
    <t>1377 - Synchronous Condensing</t>
  </si>
  <si>
    <t>1378 - Reactive Services Charg</t>
  </si>
  <si>
    <t>1378A - Reactive Services</t>
  </si>
  <si>
    <t>1410 - Load Reconciliation for</t>
  </si>
  <si>
    <t>1410A - Adj. to Load Reconcili</t>
  </si>
  <si>
    <t>2340 - Regulation and Frequenc</t>
  </si>
  <si>
    <t>5550079</t>
  </si>
  <si>
    <t>2360 - Synchronized Reserve Ti</t>
  </si>
  <si>
    <t>5550084</t>
  </si>
  <si>
    <t>2370 - Day-Ahead Operating Res</t>
  </si>
  <si>
    <t>5550137</t>
  </si>
  <si>
    <t>2375 - Balancing Operating Res</t>
  </si>
  <si>
    <t>2375A - Adj. to Balancing Oper</t>
  </si>
  <si>
    <t>1500 - Financial Transmission</t>
  </si>
  <si>
    <t>2210 - End-of-Month FTR Credit</t>
  </si>
  <si>
    <t>2210 - Transmission Congestion</t>
  </si>
  <si>
    <t>2510 - Auction Revenue Rights</t>
  </si>
  <si>
    <t>1210/1215 Transmission Congest</t>
  </si>
  <si>
    <t>1360A&amp;2360A-SyncResAdj-Apr14</t>
  </si>
  <si>
    <t>1360A&amp;2360A-SyncResAdj-Feb14</t>
  </si>
  <si>
    <t>1360A&amp;2360A-SyncResAdj-Jan14</t>
  </si>
  <si>
    <t>1360A&amp;2360A-SyncResAdj-Jun14</t>
  </si>
  <si>
    <t>1360A&amp;2360A-SyncResAdj-Mar14</t>
  </si>
  <si>
    <t>1360A&amp;2360A-SyncResAdj-May14</t>
  </si>
  <si>
    <t>1375A - Balancing Operating Re</t>
  </si>
  <si>
    <t>1400 - Load Reconciliation for</t>
  </si>
  <si>
    <t>1430 - Load Reconciliation for</t>
  </si>
  <si>
    <t>1460 - Load Reconciliation for</t>
  </si>
  <si>
    <t>1478 - Load Reconciliation for</t>
  </si>
  <si>
    <t>1490 - Load Reconciliation for</t>
  </si>
  <si>
    <t>2360A - Adj. to Synchronized R</t>
  </si>
  <si>
    <t>Remove from LSE FTR Revenues</t>
  </si>
  <si>
    <t>5550041</t>
  </si>
  <si>
    <t>5550001</t>
  </si>
  <si>
    <t>Expense Month</t>
  </si>
  <si>
    <t>PRIOR MONTH ACTUAL</t>
  </si>
  <si>
    <t>Previous Month Est/Act Total Fuel Cost Difference **</t>
  </si>
  <si>
    <t>Kentucky Power</t>
  </si>
  <si>
    <t>Monthly Fuel Rate Incl BLIs in $ per kWh</t>
  </si>
  <si>
    <t>1</t>
  </si>
  <si>
    <t>2</t>
  </si>
  <si>
    <t>3</t>
  </si>
  <si>
    <t>4</t>
  </si>
  <si>
    <t>5</t>
  </si>
  <si>
    <t>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</si>
  <si>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</si>
  <si>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</si>
  <si>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</si>
  <si>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</si>
  <si>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</si>
  <si>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</si>
  <si>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</si>
  <si>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</si>
  <si>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</si>
  <si>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</si>
  <si>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As Filed Monthly Fuel Rate in $ per kWh</t>
  </si>
  <si>
    <t>As Filed Monthly Fuel Rate in Cents per kWh</t>
  </si>
  <si>
    <t>As Filed Base Fuel Rate in $ Per kWh</t>
  </si>
  <si>
    <t>Recalculated Including PJM Billing Line Items</t>
  </si>
  <si>
    <t>$ per kWh (Below) or Above As Filed Base Fuel Rate                 (C5) - (C2)</t>
  </si>
  <si>
    <t>2210A - Adj. to Transmission C</t>
  </si>
  <si>
    <t>2217 - Planning Period Excess</t>
  </si>
  <si>
    <t>2217A - Adj. to Planning Perio</t>
  </si>
  <si>
    <t>5550132</t>
  </si>
  <si>
    <t>What was filed in 2017</t>
  </si>
  <si>
    <t>Rev 1250A MeterCorr - Jul16</t>
  </si>
  <si>
    <t>1360A - Synchronized Reserve -</t>
  </si>
  <si>
    <t>2360 - Synchronized Reserve (L</t>
  </si>
  <si>
    <t>2510 - Auction Revenue Rights*</t>
  </si>
  <si>
    <t>FAC Page 5 of 5</t>
  </si>
  <si>
    <t>FAC Page 4 of 5</t>
  </si>
  <si>
    <t>FAC Page 2 of 5</t>
  </si>
  <si>
    <t>FAC Page 1 of 5</t>
  </si>
  <si>
    <t>As Filed $ per kWh (Below) or Above Existing Base Fuel Rate         (C3) - (C2)</t>
  </si>
  <si>
    <t>January 2017</t>
  </si>
  <si>
    <t>February 2017</t>
  </si>
  <si>
    <t>TEST YEAR</t>
  </si>
  <si>
    <t>What was Filed in 2017</t>
  </si>
  <si>
    <t>Fuel Rate Comparison Table 2</t>
  </si>
  <si>
    <t>Test Year Avg</t>
  </si>
  <si>
    <t>BLI Supplemented As Filed Monthly Fuel Rate Cents per kWh</t>
  </si>
  <si>
    <t>BLI Supplemented Monthly Fuel Rate Above or (Below) As Filed Fuel Cents per kWh Rate            (C3) - (C2)</t>
  </si>
  <si>
    <t>Case No. 2017-00179</t>
  </si>
  <si>
    <t>Test Year March 2016 - February 2017</t>
  </si>
  <si>
    <t xml:space="preserve">     Identifiable Fuel Cost - Other Purchases </t>
  </si>
  <si>
    <t>Marginal Line Loss Plus BLIs</t>
  </si>
  <si>
    <t>Net Transmission Marginal Line Loss Plus BLIs for Month</t>
  </si>
  <si>
    <t>Test Year Fuel Rate Workpaper</t>
  </si>
  <si>
    <t>In Accounting Terms - Billing Line Item (Revenues) / Expenses</t>
  </si>
  <si>
    <t>Reconciliation of previous month actual (from page 5) not changing with the addition of BLI amounts.</t>
  </si>
  <si>
    <t>Purchaseses Excess of PUE</t>
  </si>
  <si>
    <t xml:space="preserve">     Sub-Total Fuel Cost   (A + B 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</si>
</sst>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_);\(#,##0.00000\)"/>
    <numFmt numFmtId="166" formatCode="0.00000"/>
    <numFmt numFmtId="167" formatCode="0.00000_);[Red]\(0.00000\)"/>
    <numFmt numFmtId="168" formatCode="0.0000"/>
    <numFmt numFmtId="169" formatCode="0.000"/>
    <numFmt numFmtId="170" formatCode="0.000_);\(0.000\)"/>
    <numFmt numFmtId="171" formatCode="#,##0.0000_);\(#,##0.0000\)"/>
    <numFmt numFmtId="172" formatCode="#,##0.000_);\(#,##0.000\)"/>
    <numFmt numFmtId="173" formatCode="#,##0.00000_);[Red]\(#,##0.00000\)"/>
    <numFmt numFmtId="174" formatCode="0.000_);[Red]\(0.000\)"/>
    <numFmt numFmtId="175" formatCode="#,##0.000_);[Red]\(#,##0.000\)"/>
    <numFmt numFmtId="176" formatCode="_(&quot;$&quot;* #,##0_);_(&quot;$&quot;* \(#,##0\);_(&quot;$&quot;* &quot;-&quot;??_);_(@_)"/>
    <numFmt numFmtId="177" formatCode="0.000000_);[Red]\(0.000000\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MS Sans Serif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8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0" fontId="18" fillId="0" borderId="7">
      <alignment horizontal="center"/>
    </xf>
    <xf numFmtId="3" fontId="4" fillId="0" borderId="0" applyFont="0" applyFill="0" applyBorder="0" applyAlignment="0" applyProtection="0"/>
    <xf numFmtId="0" fontId="4" fillId="6" borderId="0" applyNumberFormat="0" applyFont="0" applyBorder="0" applyAlignment="0" applyProtection="0"/>
    <xf numFmtId="44" fontId="8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Border="1"/>
    <xf numFmtId="164" fontId="8" fillId="0" borderId="0" xfId="1" applyNumberFormat="1" applyFont="1"/>
    <xf numFmtId="0" fontId="9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49" fontId="2" fillId="0" borderId="0" xfId="8" applyNumberFormat="1" applyFont="1"/>
    <xf numFmtId="0" fontId="0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37" fontId="0" fillId="0" borderId="0" xfId="0" applyNumberFormat="1"/>
    <xf numFmtId="167" fontId="9" fillId="0" borderId="0" xfId="0" applyNumberFormat="1" applyFont="1"/>
    <xf numFmtId="37" fontId="0" fillId="2" borderId="0" xfId="0" applyNumberForma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/>
    <xf numFmtId="0" fontId="0" fillId="0" borderId="0" xfId="0" applyAlignment="1">
      <alignment horizontal="center" wrapText="1"/>
    </xf>
    <xf numFmtId="38" fontId="0" fillId="0" borderId="0" xfId="0" applyNumberFormat="1"/>
    <xf numFmtId="38" fontId="0" fillId="0" borderId="0" xfId="0" applyNumberFormat="1" applyFill="1"/>
    <xf numFmtId="38" fontId="0" fillId="2" borderId="0" xfId="0" applyNumberFormat="1" applyFill="1"/>
    <xf numFmtId="165" fontId="2" fillId="0" borderId="0" xfId="8" applyNumberFormat="1" applyFont="1" applyFill="1" applyBorder="1"/>
    <xf numFmtId="165" fontId="0" fillId="0" borderId="0" xfId="0" applyNumberFormat="1"/>
    <xf numFmtId="0" fontId="9" fillId="3" borderId="0" xfId="0" applyFont="1" applyFill="1" applyAlignment="1">
      <alignment horizontal="center"/>
    </xf>
    <xf numFmtId="49" fontId="10" fillId="3" borderId="0" xfId="0" applyNumberFormat="1" applyFont="1" applyFill="1"/>
    <xf numFmtId="0" fontId="9" fillId="0" borderId="0" xfId="0" applyFont="1" applyFill="1"/>
    <xf numFmtId="0" fontId="0" fillId="0" borderId="0" xfId="0" applyAlignment="1">
      <alignment horizontal="center"/>
    </xf>
    <xf numFmtId="0" fontId="0" fillId="0" borderId="0" xfId="0" quotePrefix="1" applyAlignment="1">
      <alignment vertical="center"/>
    </xf>
    <xf numFmtId="0" fontId="9" fillId="0" borderId="0" xfId="0" applyFont="1" applyAlignment="1">
      <alignment horizontal="right"/>
    </xf>
    <xf numFmtId="0" fontId="12" fillId="0" borderId="0" xfId="0" applyFont="1"/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72" fontId="9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37" fontId="0" fillId="0" borderId="0" xfId="0" applyNumberFormat="1" applyFill="1"/>
    <xf numFmtId="17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72" fontId="0" fillId="0" borderId="0" xfId="0" applyNumberFormat="1"/>
    <xf numFmtId="0" fontId="7" fillId="0" borderId="0" xfId="0" applyFont="1" applyBorder="1" applyAlignment="1"/>
    <xf numFmtId="16" fontId="10" fillId="0" borderId="0" xfId="0" applyNumberFormat="1" applyFont="1" applyFill="1" applyBorder="1"/>
    <xf numFmtId="0" fontId="9" fillId="0" borderId="0" xfId="0" applyFont="1" applyAlignment="1">
      <alignment horizontal="center"/>
    </xf>
    <xf numFmtId="37" fontId="0" fillId="3" borderId="0" xfId="0" applyNumberFormat="1" applyFill="1"/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/>
    </xf>
    <xf numFmtId="17" fontId="0" fillId="0" borderId="0" xfId="0" applyNumberFormat="1"/>
    <xf numFmtId="0" fontId="9" fillId="0" borderId="0" xfId="0" applyFont="1" applyFill="1" applyAlignment="1">
      <alignment horizontal="center"/>
    </xf>
    <xf numFmtId="166" fontId="0" fillId="0" borderId="0" xfId="0" applyNumberFormat="1" applyFill="1"/>
    <xf numFmtId="167" fontId="9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165" fontId="0" fillId="0" borderId="0" xfId="0" applyNumberFormat="1" applyFill="1"/>
    <xf numFmtId="0" fontId="0" fillId="0" borderId="0" xfId="0" applyFill="1" applyAlignment="1">
      <alignment horizontal="center" wrapText="1"/>
    </xf>
    <xf numFmtId="175" fontId="0" fillId="0" borderId="0" xfId="0" applyNumberFormat="1"/>
    <xf numFmtId="0" fontId="0" fillId="4" borderId="0" xfId="0" applyFill="1"/>
    <xf numFmtId="173" fontId="0" fillId="0" borderId="0" xfId="0" applyNumberFormat="1" applyFill="1"/>
    <xf numFmtId="37" fontId="9" fillId="0" borderId="0" xfId="0" applyNumberFormat="1" applyFont="1" applyFill="1" applyAlignment="1">
      <alignment horizontal="center"/>
    </xf>
    <xf numFmtId="37" fontId="0" fillId="0" borderId="0" xfId="0" applyNumberFormat="1" applyFill="1" applyBorder="1"/>
    <xf numFmtId="37" fontId="0" fillId="0" borderId="0" xfId="0" applyNumberForma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9" fillId="0" borderId="3" xfId="0" applyFont="1" applyFill="1" applyBorder="1"/>
    <xf numFmtId="37" fontId="11" fillId="0" borderId="0" xfId="8" applyNumberFormat="1" applyFont="1" applyFill="1" applyBorder="1"/>
    <xf numFmtId="164" fontId="11" fillId="5" borderId="0" xfId="1" applyNumberFormat="1" applyFont="1" applyFill="1" applyBorder="1"/>
    <xf numFmtId="37" fontId="17" fillId="0" borderId="0" xfId="0" applyNumberFormat="1" applyFont="1" applyFill="1"/>
    <xf numFmtId="164" fontId="17" fillId="5" borderId="0" xfId="1" applyNumberFormat="1" applyFont="1" applyFill="1"/>
    <xf numFmtId="37" fontId="17" fillId="5" borderId="0" xfId="0" applyNumberFormat="1" applyFont="1" applyFill="1"/>
    <xf numFmtId="164" fontId="17" fillId="5" borderId="0" xfId="1" applyNumberFormat="1" applyFont="1" applyFill="1" applyBorder="1"/>
    <xf numFmtId="164" fontId="17" fillId="0" borderId="0" xfId="1" applyNumberFormat="1" applyFont="1" applyFill="1"/>
    <xf numFmtId="0" fontId="17" fillId="0" borderId="0" xfId="0" applyFont="1" applyFill="1"/>
    <xf numFmtId="37" fontId="17" fillId="0" borderId="0" xfId="1" applyNumberFormat="1" applyFont="1" applyFill="1"/>
    <xf numFmtId="3" fontId="17" fillId="5" borderId="0" xfId="0" applyNumberFormat="1" applyFont="1" applyFill="1"/>
    <xf numFmtId="3" fontId="17" fillId="0" borderId="0" xfId="0" applyNumberFormat="1" applyFont="1" applyFill="1"/>
    <xf numFmtId="37" fontId="17" fillId="5" borderId="0" xfId="1" applyNumberFormat="1" applyFont="1" applyFill="1"/>
    <xf numFmtId="6" fontId="17" fillId="0" borderId="0" xfId="0" applyNumberFormat="1" applyFont="1" applyFill="1"/>
    <xf numFmtId="37" fontId="2" fillId="5" borderId="1" xfId="8" applyNumberFormat="1" applyFont="1" applyFill="1" applyBorder="1"/>
    <xf numFmtId="37" fontId="2" fillId="5" borderId="0" xfId="8" applyNumberFormat="1" applyFont="1" applyFill="1"/>
    <xf numFmtId="165" fontId="2" fillId="5" borderId="0" xfId="8" applyNumberFormat="1" applyFont="1" applyFill="1"/>
    <xf numFmtId="43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37" fontId="2" fillId="5" borderId="2" xfId="8" applyNumberFormat="1" applyFont="1" applyFill="1" applyBorder="1"/>
    <xf numFmtId="164" fontId="0" fillId="0" borderId="0" xfId="0" applyNumberFormat="1"/>
    <xf numFmtId="164" fontId="9" fillId="0" borderId="0" xfId="0" applyNumberFormat="1" applyFont="1"/>
    <xf numFmtId="0" fontId="0" fillId="5" borderId="0" xfId="0" applyFill="1"/>
    <xf numFmtId="17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164" fontId="8" fillId="0" borderId="0" xfId="1" applyNumberFormat="1" applyFont="1" applyFill="1"/>
    <xf numFmtId="167" fontId="9" fillId="5" borderId="0" xfId="0" applyNumberFormat="1" applyFont="1" applyFill="1"/>
    <xf numFmtId="0" fontId="9" fillId="5" borderId="0" xfId="0" applyFont="1" applyFill="1"/>
    <xf numFmtId="0" fontId="5" fillId="0" borderId="0" xfId="0" applyFont="1" applyFill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 wrapText="1"/>
    </xf>
    <xf numFmtId="0" fontId="0" fillId="0" borderId="3" xfId="0" quotePrefix="1" applyFill="1" applyBorder="1"/>
    <xf numFmtId="17" fontId="0" fillId="0" borderId="3" xfId="0" quotePrefix="1" applyNumberFormat="1" applyFill="1" applyBorder="1"/>
    <xf numFmtId="0" fontId="9" fillId="0" borderId="6" xfId="0" applyFont="1" applyFill="1" applyBorder="1"/>
    <xf numFmtId="16" fontId="12" fillId="0" borderId="0" xfId="0" quotePrefix="1" applyNumberFormat="1" applyFont="1" applyFill="1"/>
    <xf numFmtId="0" fontId="0" fillId="0" borderId="0" xfId="0" quotePrefix="1" applyFill="1"/>
    <xf numFmtId="17" fontId="0" fillId="0" borderId="0" xfId="0" quotePrefix="1" applyNumberFormat="1" applyFill="1"/>
    <xf numFmtId="169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7" fontId="2" fillId="0" borderId="1" xfId="8" applyNumberFormat="1" applyFont="1" applyFill="1" applyBorder="1"/>
    <xf numFmtId="37" fontId="2" fillId="0" borderId="0" xfId="8" applyNumberFormat="1" applyFont="1" applyFill="1" applyBorder="1"/>
    <xf numFmtId="37" fontId="2" fillId="0" borderId="2" xfId="8" applyNumberFormat="1" applyFont="1" applyFill="1" applyBorder="1"/>
    <xf numFmtId="49" fontId="10" fillId="0" borderId="0" xfId="0" applyNumberFormat="1" applyFont="1" applyFill="1"/>
    <xf numFmtId="49" fontId="10" fillId="7" borderId="0" xfId="0" applyNumberFormat="1" applyFont="1" applyFill="1"/>
    <xf numFmtId="38" fontId="0" fillId="7" borderId="0" xfId="0" applyNumberFormat="1" applyFill="1"/>
    <xf numFmtId="37" fontId="0" fillId="7" borderId="0" xfId="0" applyNumberFormat="1" applyFill="1"/>
    <xf numFmtId="0" fontId="0" fillId="0" borderId="0" xfId="0" applyFill="1" applyBorder="1" applyAlignment="1">
      <alignment horizontal="center"/>
    </xf>
    <xf numFmtId="49" fontId="2" fillId="0" borderId="0" xfId="8" applyNumberFormat="1" applyFont="1" applyFill="1" applyBorder="1"/>
    <xf numFmtId="0" fontId="9" fillId="0" borderId="0" xfId="0" applyFont="1" applyAlignment="1">
      <alignment horizontal="center"/>
    </xf>
    <xf numFmtId="44" fontId="0" fillId="0" borderId="0" xfId="18" applyFont="1"/>
    <xf numFmtId="0" fontId="9" fillId="0" borderId="0" xfId="0" applyFont="1" applyAlignment="1">
      <alignment horizontal="center"/>
    </xf>
    <xf numFmtId="0" fontId="9" fillId="8" borderId="3" xfId="0" applyFont="1" applyFill="1" applyBorder="1" applyAlignment="1">
      <alignment horizontal="center"/>
    </xf>
    <xf numFmtId="17" fontId="9" fillId="8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" fontId="12" fillId="0" borderId="0" xfId="0" quotePrefix="1" applyNumberFormat="1" applyFont="1" applyFill="1" applyBorder="1"/>
    <xf numFmtId="172" fontId="0" fillId="0" borderId="0" xfId="0" applyNumberFormat="1" applyFill="1" applyBorder="1" applyAlignment="1">
      <alignment horizontal="center"/>
    </xf>
    <xf numFmtId="0" fontId="12" fillId="0" borderId="0" xfId="0" quotePrefix="1" applyFont="1" applyFill="1" applyBorder="1"/>
    <xf numFmtId="17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71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/>
    </xf>
    <xf numFmtId="3" fontId="12" fillId="0" borderId="0" xfId="0" quotePrefix="1" applyNumberFormat="1" applyFont="1" applyFill="1" applyBorder="1" applyAlignment="1">
      <alignment horizontal="center"/>
    </xf>
    <xf numFmtId="172" fontId="0" fillId="0" borderId="0" xfId="0" applyNumberFormat="1" applyFill="1" applyBorder="1"/>
    <xf numFmtId="172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5" fontId="0" fillId="0" borderId="0" xfId="0" applyNumberFormat="1" applyFill="1" applyBorder="1"/>
    <xf numFmtId="174" fontId="0" fillId="0" borderId="0" xfId="0" applyNumberFormat="1" applyFill="1" applyBorder="1"/>
    <xf numFmtId="0" fontId="6" fillId="0" borderId="0" xfId="0" applyFont="1" applyBorder="1" applyAlignment="1">
      <alignment horizontal="center" vertical="center" wrapText="1"/>
    </xf>
    <xf numFmtId="16" fontId="12" fillId="0" borderId="0" xfId="0" quotePrefix="1" applyNumberFormat="1" applyFont="1" applyBorder="1"/>
    <xf numFmtId="3" fontId="12" fillId="0" borderId="0" xfId="0" quotePrefix="1" applyNumberFormat="1" applyFont="1" applyBorder="1" applyAlignment="1">
      <alignment horizontal="center"/>
    </xf>
    <xf numFmtId="0" fontId="12" fillId="0" borderId="0" xfId="0" quotePrefix="1" applyFont="1" applyBorder="1"/>
    <xf numFmtId="175" fontId="0" fillId="0" borderId="0" xfId="0" applyNumberFormat="1" applyBorder="1"/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4" fillId="0" borderId="0" xfId="0" applyFont="1" applyBorder="1" applyAlignment="1"/>
    <xf numFmtId="16" fontId="12" fillId="0" borderId="0" xfId="0" quotePrefix="1" applyNumberFormat="1" applyFont="1" applyBorder="1" applyAlignment="1">
      <alignment horizontal="left"/>
    </xf>
    <xf numFmtId="175" fontId="12" fillId="0" borderId="0" xfId="0" quotePrefix="1" applyNumberFormat="1" applyFont="1" applyBorder="1" applyAlignment="1">
      <alignment horizontal="left"/>
    </xf>
    <xf numFmtId="175" fontId="12" fillId="0" borderId="0" xfId="0" applyNumberFormat="1" applyFont="1" applyFill="1" applyBorder="1" applyAlignment="1">
      <alignment horizontal="left"/>
    </xf>
    <xf numFmtId="0" fontId="12" fillId="0" borderId="0" xfId="0" quotePrefix="1" applyFont="1" applyBorder="1" applyAlignment="1">
      <alignment horizontal="left"/>
    </xf>
    <xf numFmtId="175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75" fontId="0" fillId="0" borderId="0" xfId="0" applyNumberFormat="1" applyFont="1" applyBorder="1" applyAlignment="1">
      <alignment horizontal="left"/>
    </xf>
    <xf numFmtId="16" fontId="12" fillId="0" borderId="0" xfId="0" applyNumberFormat="1" applyFont="1" applyFill="1" applyBorder="1" applyAlignment="1">
      <alignment horizontal="left" wrapText="1"/>
    </xf>
    <xf numFmtId="175" fontId="12" fillId="0" borderId="0" xfId="0" applyNumberFormat="1" applyFont="1" applyFill="1" applyBorder="1" applyAlignment="1">
      <alignment horizontal="left" wrapText="1"/>
    </xf>
    <xf numFmtId="16" fontId="12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2" xfId="0" applyBorder="1"/>
    <xf numFmtId="44" fontId="0" fillId="0" borderId="2" xfId="18" applyFont="1" applyBorder="1"/>
    <xf numFmtId="176" fontId="0" fillId="0" borderId="0" xfId="18" applyNumberFormat="1" applyFont="1"/>
    <xf numFmtId="164" fontId="11" fillId="0" borderId="0" xfId="1" applyNumberFormat="1" applyFont="1" applyFill="1" applyBorder="1"/>
    <xf numFmtId="0" fontId="0" fillId="0" borderId="0" xfId="0" quotePrefix="1" applyFill="1" applyAlignment="1">
      <alignment vertical="center"/>
    </xf>
    <xf numFmtId="3" fontId="0" fillId="0" borderId="0" xfId="0" applyNumberFormat="1"/>
    <xf numFmtId="3" fontId="0" fillId="0" borderId="0" xfId="0" applyNumberFormat="1" applyFill="1"/>
    <xf numFmtId="167" fontId="12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5" fontId="0" fillId="0" borderId="3" xfId="0" applyNumberFormat="1" applyFill="1" applyBorder="1" applyAlignment="1">
      <alignment horizontal="center"/>
    </xf>
    <xf numFmtId="175" fontId="0" fillId="0" borderId="3" xfId="0" applyNumberFormat="1" applyFont="1" applyFill="1" applyBorder="1" applyAlignment="1">
      <alignment horizontal="center"/>
    </xf>
    <xf numFmtId="175" fontId="9" fillId="0" borderId="3" xfId="0" applyNumberFormat="1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175" fontId="0" fillId="0" borderId="0" xfId="0" applyNumberFormat="1" applyFill="1" applyAlignment="1">
      <alignment horizontal="center"/>
    </xf>
    <xf numFmtId="0" fontId="9" fillId="7" borderId="0" xfId="0" applyFont="1" applyFill="1"/>
    <xf numFmtId="37" fontId="17" fillId="7" borderId="0" xfId="0" applyNumberFormat="1" applyFont="1" applyFill="1"/>
    <xf numFmtId="167" fontId="0" fillId="5" borderId="0" xfId="0" applyNumberFormat="1" applyFill="1"/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37" fontId="9" fillId="0" borderId="5" xfId="0" applyNumberFormat="1" applyFont="1" applyBorder="1" applyAlignment="1">
      <alignment horizontal="center"/>
    </xf>
    <xf numFmtId="37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19">
    <cellStyle name="Comma" xfId="1" builtinId="3"/>
    <cellStyle name="Comma 2" xfId="2"/>
    <cellStyle name="Comma 3" xfId="3"/>
    <cellStyle name="Currency" xfId="18" builtinId="4"/>
    <cellStyle name="Currency 2" xfId="4"/>
    <cellStyle name="Currency 3" xfId="5"/>
    <cellStyle name="Normal" xfId="0" builtinId="0"/>
    <cellStyle name="Normal 2" xfId="6"/>
    <cellStyle name="Normal 2 2" xfId="7"/>
    <cellStyle name="Normal 3" xfId="8"/>
    <cellStyle name="Normal 4" xfId="9"/>
    <cellStyle name="Percent 2" xfId="10"/>
    <cellStyle name="Percent 3" xfId="11"/>
    <cellStyle name="PSChar" xfId="13"/>
    <cellStyle name="PSDate" xfId="14"/>
    <cellStyle name="PSDec" xfId="12"/>
    <cellStyle name="PSHeading" xfId="15"/>
    <cellStyle name="PSInt" xfId="16"/>
    <cellStyle name="PSSpacer" xfId="17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tabSelected="1" workbookViewId="0">
      <selection activeCell="D4" sqref="D4"/>
    </sheetView>
  </sheetViews>
  <sheetFormatPr defaultRowHeight="15" x14ac:dyDescent="0.25"/>
  <cols>
    <col min="1" max="1" width="18.140625" customWidth="1"/>
    <col min="2" max="3" width="14.7109375" customWidth="1"/>
    <col min="4" max="5" width="16.7109375" customWidth="1"/>
    <col min="6" max="6" width="16.28515625" customWidth="1"/>
    <col min="7" max="7" width="16.5703125" customWidth="1"/>
    <col min="10" max="10" width="15.28515625" customWidth="1"/>
    <col min="11" max="12" width="13.7109375" customWidth="1"/>
    <col min="13" max="13" width="15.28515625" style="56" customWidth="1"/>
    <col min="14" max="15" width="13.7109375" customWidth="1"/>
    <col min="16" max="16" width="15.85546875" customWidth="1"/>
    <col min="17" max="20" width="13.7109375" customWidth="1"/>
    <col min="21" max="21" width="18.7109375" customWidth="1"/>
    <col min="23" max="23" width="15.28515625" customWidth="1"/>
    <col min="24" max="26" width="13.7109375" customWidth="1"/>
    <col min="27" max="27" width="13.5703125" customWidth="1"/>
    <col min="28" max="28" width="15.7109375" customWidth="1"/>
    <col min="29" max="31" width="14.7109375" customWidth="1"/>
  </cols>
  <sheetData>
    <row r="1" spans="1:27" x14ac:dyDescent="0.25">
      <c r="A1" s="31" t="s">
        <v>137</v>
      </c>
      <c r="B1" s="31"/>
      <c r="C1" s="31"/>
    </row>
    <row r="2" spans="1:27" x14ac:dyDescent="0.25">
      <c r="A2" s="31" t="s">
        <v>187</v>
      </c>
      <c r="B2" s="31"/>
      <c r="C2" s="31"/>
    </row>
    <row r="3" spans="1:27" x14ac:dyDescent="0.25">
      <c r="A3" s="31" t="s">
        <v>182</v>
      </c>
      <c r="B3" s="31"/>
      <c r="C3" s="31"/>
    </row>
    <row r="4" spans="1:27" x14ac:dyDescent="0.25">
      <c r="A4" s="31" t="s">
        <v>183</v>
      </c>
      <c r="B4" s="31"/>
      <c r="C4" s="31"/>
    </row>
    <row r="5" spans="1:27" ht="23.25" x14ac:dyDescent="0.35">
      <c r="A5" s="115"/>
      <c r="B5" s="115"/>
      <c r="C5" s="56"/>
      <c r="D5" s="56"/>
      <c r="E5" s="56"/>
      <c r="F5" s="56"/>
      <c r="G5" s="56"/>
      <c r="P5" s="72"/>
      <c r="Q5" s="72"/>
      <c r="R5" s="72"/>
      <c r="S5" s="72"/>
      <c r="V5" s="1"/>
      <c r="W5" s="1"/>
      <c r="X5" s="38"/>
      <c r="Y5" s="39"/>
      <c r="Z5" s="40"/>
      <c r="AA5" s="1"/>
    </row>
    <row r="6" spans="1:27" ht="23.25" x14ac:dyDescent="0.35">
      <c r="A6" s="56"/>
      <c r="B6" s="56"/>
      <c r="C6" s="56"/>
      <c r="D6" s="56"/>
      <c r="E6" s="56"/>
      <c r="F6" s="56"/>
      <c r="G6" s="56"/>
      <c r="J6" s="107"/>
      <c r="K6" s="107"/>
      <c r="L6" s="107"/>
      <c r="M6" s="107"/>
      <c r="P6" s="73"/>
      <c r="Q6" s="73"/>
      <c r="R6" s="73"/>
      <c r="S6" s="73"/>
      <c r="V6" s="1"/>
      <c r="W6" s="1"/>
      <c r="X6" s="38"/>
      <c r="Y6" s="39"/>
      <c r="Z6" s="40"/>
      <c r="AA6" s="1"/>
    </row>
    <row r="7" spans="1:27" ht="23.25" x14ac:dyDescent="0.35">
      <c r="A7" s="56"/>
      <c r="B7" s="56"/>
      <c r="C7" s="56"/>
      <c r="D7" s="56"/>
      <c r="E7" s="56"/>
      <c r="F7" s="56"/>
      <c r="G7" s="56"/>
      <c r="J7" s="197" t="s">
        <v>178</v>
      </c>
      <c r="K7" s="198"/>
      <c r="L7" s="198"/>
      <c r="M7" s="199"/>
      <c r="P7" s="74"/>
      <c r="Q7" s="74"/>
      <c r="R7" s="74"/>
      <c r="S7" s="74"/>
      <c r="V7" s="1"/>
      <c r="W7" s="1"/>
      <c r="X7" s="38"/>
      <c r="Y7" s="39"/>
      <c r="Z7" s="40"/>
      <c r="AA7" s="1"/>
    </row>
    <row r="8" spans="1:27" ht="90" customHeight="1" x14ac:dyDescent="0.25">
      <c r="A8" s="65" t="s">
        <v>54</v>
      </c>
      <c r="B8" s="65" t="s">
        <v>157</v>
      </c>
      <c r="C8" s="65" t="s">
        <v>155</v>
      </c>
      <c r="D8" s="65" t="s">
        <v>173</v>
      </c>
      <c r="E8" s="65" t="s">
        <v>138</v>
      </c>
      <c r="F8" s="65" t="s">
        <v>159</v>
      </c>
      <c r="G8" s="65"/>
      <c r="J8" s="108" t="s">
        <v>54</v>
      </c>
      <c r="K8" s="109" t="s">
        <v>156</v>
      </c>
      <c r="L8" s="109" t="s">
        <v>180</v>
      </c>
      <c r="M8" s="109" t="s">
        <v>181</v>
      </c>
      <c r="P8" s="75"/>
      <c r="Q8" s="75"/>
      <c r="R8" s="75"/>
      <c r="S8" s="75"/>
      <c r="V8" s="1"/>
      <c r="W8" s="1"/>
      <c r="X8" s="38"/>
      <c r="Y8" s="39"/>
      <c r="Z8" s="40"/>
      <c r="AA8" s="1"/>
    </row>
    <row r="9" spans="1:27" x14ac:dyDescent="0.25">
      <c r="A9" s="62" t="s">
        <v>139</v>
      </c>
      <c r="B9" s="62" t="s">
        <v>140</v>
      </c>
      <c r="C9" s="62" t="s">
        <v>141</v>
      </c>
      <c r="D9" s="62" t="s">
        <v>142</v>
      </c>
      <c r="E9" s="62" t="s">
        <v>143</v>
      </c>
      <c r="F9" s="62" t="s">
        <v>144</v>
      </c>
      <c r="G9" s="62"/>
      <c r="J9" s="110" t="s">
        <v>139</v>
      </c>
      <c r="K9" s="111" t="s">
        <v>140</v>
      </c>
      <c r="L9" s="111" t="s">
        <v>141</v>
      </c>
      <c r="M9" s="110" t="s">
        <v>142</v>
      </c>
      <c r="P9" s="40"/>
      <c r="Q9" s="40"/>
      <c r="R9" s="40"/>
      <c r="S9" s="40"/>
      <c r="V9" s="1"/>
      <c r="W9" s="1"/>
      <c r="X9" s="38"/>
      <c r="Y9" s="39"/>
      <c r="Z9" s="40"/>
      <c r="AA9" s="1"/>
    </row>
    <row r="10" spans="1:27" x14ac:dyDescent="0.25">
      <c r="A10" s="116" t="s">
        <v>145</v>
      </c>
      <c r="B10" s="186">
        <f>'Fac-Page 1'!E14</f>
        <v>2.7247307259015207E-2</v>
      </c>
      <c r="C10" s="187">
        <f>'Fac-Page 1'!E10</f>
        <v>2.707E-2</v>
      </c>
      <c r="D10" s="188">
        <f t="shared" ref="D10:D21" si="0">(C10-B10)</f>
        <v>-1.7730725901520666E-4</v>
      </c>
      <c r="E10" s="187">
        <f>'Fac-Page 1'!E30</f>
        <v>2.7470000000000001E-2</v>
      </c>
      <c r="F10" s="188">
        <f t="shared" ref="F10:F21" si="1">E10-B10</f>
        <v>2.2269274098479439E-4</v>
      </c>
      <c r="G10" s="62"/>
      <c r="J10" s="112" t="s">
        <v>145</v>
      </c>
      <c r="K10" s="101">
        <f>C10*100</f>
        <v>2.7069999999999999</v>
      </c>
      <c r="L10" s="102">
        <f>E10*100</f>
        <v>2.7470000000000003</v>
      </c>
      <c r="M10" s="189">
        <f t="shared" ref="M10:M21" si="2">(L10-K10)</f>
        <v>4.000000000000048E-2</v>
      </c>
      <c r="P10" s="40"/>
      <c r="Q10" s="40"/>
      <c r="R10" s="40"/>
      <c r="S10" s="40"/>
      <c r="V10" s="1"/>
      <c r="W10" s="1"/>
      <c r="X10" s="38"/>
      <c r="Y10" s="39"/>
      <c r="Z10" s="40"/>
      <c r="AA10" s="1"/>
    </row>
    <row r="11" spans="1:27" x14ac:dyDescent="0.25">
      <c r="A11" s="116" t="s">
        <v>146</v>
      </c>
      <c r="B11" s="186">
        <f>'Fac-Page 1'!F14</f>
        <v>2.7247307259015207E-2</v>
      </c>
      <c r="C11" s="187">
        <f>'Fac-Page 1'!F10</f>
        <v>2.5190000000000001E-2</v>
      </c>
      <c r="D11" s="188">
        <f t="shared" si="0"/>
        <v>-2.0573072590152064E-3</v>
      </c>
      <c r="E11" s="187">
        <f>'Fac-Page 1'!F30</f>
        <v>2.4979999999999999E-2</v>
      </c>
      <c r="F11" s="188">
        <f t="shared" si="1"/>
        <v>-2.2673072590152082E-3</v>
      </c>
      <c r="G11" s="62"/>
      <c r="J11" s="112" t="s">
        <v>146</v>
      </c>
      <c r="K11" s="101">
        <f t="shared" ref="K11:K21" si="3">C11*100</f>
        <v>2.5190000000000001</v>
      </c>
      <c r="L11" s="103">
        <f t="shared" ref="L11:L20" si="4">E11*100</f>
        <v>2.4979999999999998</v>
      </c>
      <c r="M11" s="189">
        <f t="shared" si="2"/>
        <v>-2.1000000000000352E-2</v>
      </c>
      <c r="P11" s="40"/>
      <c r="Q11" s="40"/>
      <c r="R11" s="40"/>
      <c r="S11" s="40"/>
      <c r="T11" s="48"/>
      <c r="V11" s="1"/>
      <c r="W11" s="1"/>
      <c r="X11" s="38"/>
      <c r="Y11" s="39"/>
      <c r="Z11" s="40"/>
      <c r="AA11" s="1"/>
    </row>
    <row r="12" spans="1:27" x14ac:dyDescent="0.25">
      <c r="A12" s="116" t="s">
        <v>147</v>
      </c>
      <c r="B12" s="186">
        <f>'Fac-Page 1'!G14</f>
        <v>2.7247307259015207E-2</v>
      </c>
      <c r="C12" s="187">
        <f>'Fac-Page 1'!G10</f>
        <v>2.4060000000000002E-2</v>
      </c>
      <c r="D12" s="188">
        <f t="shared" si="0"/>
        <v>-3.1873072590152055E-3</v>
      </c>
      <c r="E12" s="187">
        <f>'Fac-Page 1'!G30</f>
        <v>2.402E-2</v>
      </c>
      <c r="F12" s="188">
        <f t="shared" si="1"/>
        <v>-3.2273072590152073E-3</v>
      </c>
      <c r="G12" s="62"/>
      <c r="J12" s="112" t="s">
        <v>147</v>
      </c>
      <c r="K12" s="101">
        <f t="shared" si="3"/>
        <v>2.4060000000000001</v>
      </c>
      <c r="L12" s="103">
        <f t="shared" si="4"/>
        <v>2.4020000000000001</v>
      </c>
      <c r="M12" s="189">
        <f t="shared" si="2"/>
        <v>-4.0000000000000036E-3</v>
      </c>
      <c r="P12" s="76"/>
      <c r="Q12" s="76"/>
      <c r="R12" s="76"/>
      <c r="S12" s="76"/>
      <c r="V12" s="1"/>
      <c r="W12" s="41"/>
      <c r="X12" s="1"/>
      <c r="Y12" s="1"/>
      <c r="Z12" s="34"/>
      <c r="AA12" s="1"/>
    </row>
    <row r="13" spans="1:27" x14ac:dyDescent="0.25">
      <c r="A13" s="116" t="s">
        <v>148</v>
      </c>
      <c r="B13" s="186">
        <f>'Fac-Page 1'!H14</f>
        <v>2.7247307259015207E-2</v>
      </c>
      <c r="C13" s="187">
        <f>'Fac-Page 1'!H10</f>
        <v>2.8230000000000002E-2</v>
      </c>
      <c r="D13" s="188">
        <f t="shared" si="0"/>
        <v>9.8269274098479464E-4</v>
      </c>
      <c r="E13" s="187">
        <f>'Fac-Page 1'!H30</f>
        <v>2.845E-2</v>
      </c>
      <c r="F13" s="188">
        <f t="shared" si="1"/>
        <v>1.2026927409847926E-3</v>
      </c>
      <c r="G13" s="62"/>
      <c r="J13" s="112" t="s">
        <v>148</v>
      </c>
      <c r="K13" s="101">
        <f t="shared" si="3"/>
        <v>2.823</v>
      </c>
      <c r="L13" s="103">
        <f t="shared" si="4"/>
        <v>2.8449999999999998</v>
      </c>
      <c r="M13" s="190">
        <f t="shared" si="2"/>
        <v>2.1999999999999797E-2</v>
      </c>
      <c r="P13" s="40"/>
      <c r="Q13" s="40"/>
      <c r="R13" s="40"/>
      <c r="S13" s="40"/>
      <c r="W13" s="32"/>
      <c r="X13" s="33"/>
      <c r="Y13" s="33"/>
      <c r="Z13" s="34"/>
    </row>
    <row r="14" spans="1:27" x14ac:dyDescent="0.25">
      <c r="A14" s="116" t="s">
        <v>149</v>
      </c>
      <c r="B14" s="186">
        <f>'Fac-Page 1'!I14</f>
        <v>2.7247307259015207E-2</v>
      </c>
      <c r="C14" s="187">
        <f>'Fac-Page 1'!I10</f>
        <v>2.98E-2</v>
      </c>
      <c r="D14" s="188">
        <f t="shared" si="0"/>
        <v>2.5526927409847931E-3</v>
      </c>
      <c r="E14" s="187">
        <f>'Fac-Page 1'!I30</f>
        <v>3.0089999999999999E-2</v>
      </c>
      <c r="F14" s="188">
        <f t="shared" si="1"/>
        <v>2.8426927409847917E-3</v>
      </c>
      <c r="G14" s="62"/>
      <c r="J14" s="112" t="s">
        <v>149</v>
      </c>
      <c r="K14" s="101">
        <f t="shared" si="3"/>
        <v>2.98</v>
      </c>
      <c r="L14" s="103">
        <f t="shared" si="4"/>
        <v>3.0089999999999999</v>
      </c>
      <c r="M14" s="189">
        <f t="shared" si="2"/>
        <v>2.8999999999999915E-2</v>
      </c>
      <c r="P14" s="76"/>
      <c r="Q14" s="76"/>
      <c r="R14" s="76"/>
      <c r="S14" s="76"/>
    </row>
    <row r="15" spans="1:27" x14ac:dyDescent="0.25">
      <c r="A15" s="116" t="s">
        <v>150</v>
      </c>
      <c r="B15" s="186">
        <f>'Fac-Page 1'!J14</f>
        <v>2.7247307259015207E-2</v>
      </c>
      <c r="C15" s="187">
        <f>'Fac-Page 1'!J10</f>
        <v>3.0759999999999999E-2</v>
      </c>
      <c r="D15" s="188">
        <f t="shared" si="0"/>
        <v>3.5126927409847922E-3</v>
      </c>
      <c r="E15" s="187">
        <f>'Fac-Page 1'!J30</f>
        <v>3.0630000000000001E-2</v>
      </c>
      <c r="F15" s="188">
        <f t="shared" si="1"/>
        <v>3.382692740984794E-3</v>
      </c>
      <c r="G15" s="62"/>
      <c r="J15" s="112" t="s">
        <v>150</v>
      </c>
      <c r="K15" s="101">
        <f t="shared" si="3"/>
        <v>3.0760000000000001</v>
      </c>
      <c r="L15" s="103">
        <f t="shared" si="4"/>
        <v>3.0630000000000002</v>
      </c>
      <c r="M15" s="190">
        <f t="shared" si="2"/>
        <v>-1.2999999999999901E-2</v>
      </c>
      <c r="P15" s="40"/>
      <c r="Q15" s="40"/>
      <c r="R15" s="40"/>
      <c r="S15" s="40"/>
    </row>
    <row r="16" spans="1:27" x14ac:dyDescent="0.25">
      <c r="A16" s="116" t="s">
        <v>151</v>
      </c>
      <c r="B16" s="186">
        <f>'Fac-Page 1'!K14</f>
        <v>2.7247307259015207E-2</v>
      </c>
      <c r="C16" s="187">
        <f>'Fac-Page 1'!K10</f>
        <v>3.0949999999999998E-2</v>
      </c>
      <c r="D16" s="188">
        <f t="shared" si="0"/>
        <v>3.7026927409847914E-3</v>
      </c>
      <c r="E16" s="187">
        <f>'Fac-Page 1'!K30</f>
        <v>3.107E-2</v>
      </c>
      <c r="F16" s="188">
        <f t="shared" si="1"/>
        <v>3.8226927409847934E-3</v>
      </c>
      <c r="G16" s="62"/>
      <c r="J16" s="112" t="s">
        <v>151</v>
      </c>
      <c r="K16" s="101">
        <f t="shared" si="3"/>
        <v>3.0949999999999998</v>
      </c>
      <c r="L16" s="103">
        <f t="shared" si="4"/>
        <v>3.1070000000000002</v>
      </c>
      <c r="M16" s="189">
        <f t="shared" si="2"/>
        <v>1.2000000000000455E-2</v>
      </c>
      <c r="P16" s="40"/>
      <c r="Q16" s="40"/>
      <c r="R16" s="40"/>
      <c r="S16" s="40"/>
    </row>
    <row r="17" spans="1:31" x14ac:dyDescent="0.25">
      <c r="A17" s="116" t="s">
        <v>152</v>
      </c>
      <c r="B17" s="186">
        <f>'Fac-Page 1'!L14</f>
        <v>2.7247307259015207E-2</v>
      </c>
      <c r="C17" s="187">
        <f>'Fac-Page 1'!L10</f>
        <v>3.0700000000000002E-2</v>
      </c>
      <c r="D17" s="188">
        <f t="shared" si="0"/>
        <v>3.4526927409847946E-3</v>
      </c>
      <c r="E17" s="187">
        <f>'Fac-Page 1'!L30</f>
        <v>3.1050000000000001E-2</v>
      </c>
      <c r="F17" s="188">
        <f t="shared" si="1"/>
        <v>3.8026927409847942E-3</v>
      </c>
      <c r="G17" s="62"/>
      <c r="J17" s="112" t="s">
        <v>152</v>
      </c>
      <c r="K17" s="101">
        <f t="shared" si="3"/>
        <v>3.0700000000000003</v>
      </c>
      <c r="L17" s="103">
        <f t="shared" si="4"/>
        <v>3.105</v>
      </c>
      <c r="M17" s="189">
        <f t="shared" si="2"/>
        <v>3.4999999999999698E-2</v>
      </c>
      <c r="P17" s="40"/>
      <c r="Q17" s="40"/>
      <c r="R17" s="40"/>
      <c r="S17" s="40"/>
    </row>
    <row r="18" spans="1:31" x14ac:dyDescent="0.25">
      <c r="A18" s="116" t="s">
        <v>153</v>
      </c>
      <c r="B18" s="186">
        <f>'Fac-Page 1'!M14</f>
        <v>2.7247307259015207E-2</v>
      </c>
      <c r="C18" s="187">
        <f>'Fac-Page 1'!M10</f>
        <v>2.9610000000000001E-2</v>
      </c>
      <c r="D18" s="188">
        <f t="shared" si="0"/>
        <v>2.3626927409847939E-3</v>
      </c>
      <c r="E18" s="187">
        <f>'Fac-Page 1'!M30</f>
        <v>2.9780000000000001E-2</v>
      </c>
      <c r="F18" s="188">
        <f t="shared" si="1"/>
        <v>2.5326927409847939E-3</v>
      </c>
      <c r="G18" s="62"/>
      <c r="J18" s="112" t="s">
        <v>153</v>
      </c>
      <c r="K18" s="101">
        <f t="shared" si="3"/>
        <v>2.9610000000000003</v>
      </c>
      <c r="L18" s="103">
        <f t="shared" si="4"/>
        <v>2.9780000000000002</v>
      </c>
      <c r="M18" s="189">
        <f t="shared" si="2"/>
        <v>1.6999999999999904E-2</v>
      </c>
      <c r="N18" s="1"/>
      <c r="O18" s="1"/>
      <c r="P18" s="40"/>
      <c r="Q18" s="40"/>
      <c r="R18" s="40"/>
      <c r="S18" s="40"/>
    </row>
    <row r="19" spans="1:31" ht="14.25" customHeight="1" x14ac:dyDescent="0.25">
      <c r="A19" s="116" t="s">
        <v>154</v>
      </c>
      <c r="B19" s="186">
        <f>'Fac-Page 1'!N14</f>
        <v>2.7247307259015207E-2</v>
      </c>
      <c r="C19" s="187">
        <f>'Fac-Page 1'!N10</f>
        <v>2.828E-2</v>
      </c>
      <c r="D19" s="188">
        <f t="shared" si="0"/>
        <v>1.0326927409847926E-3</v>
      </c>
      <c r="E19" s="187">
        <f>'Fac-Page 1'!N30</f>
        <v>2.843E-2</v>
      </c>
      <c r="F19" s="188">
        <f t="shared" si="1"/>
        <v>1.1826927409847934E-3</v>
      </c>
      <c r="G19" s="62"/>
      <c r="J19" s="112" t="s">
        <v>154</v>
      </c>
      <c r="K19" s="101">
        <f t="shared" si="3"/>
        <v>2.8279999999999998</v>
      </c>
      <c r="L19" s="103">
        <f t="shared" si="4"/>
        <v>2.843</v>
      </c>
      <c r="M19" s="189">
        <f t="shared" si="2"/>
        <v>1.5000000000000124E-2</v>
      </c>
      <c r="N19" s="1"/>
      <c r="O19" s="1"/>
      <c r="P19" s="40"/>
      <c r="Q19" s="40"/>
      <c r="R19" s="40"/>
      <c r="S19" s="40"/>
      <c r="V19" s="1"/>
      <c r="W19" s="1"/>
      <c r="X19" s="38"/>
      <c r="Y19" s="39"/>
      <c r="Z19" s="40"/>
      <c r="AA19" s="1"/>
    </row>
    <row r="20" spans="1:31" ht="14.25" customHeight="1" x14ac:dyDescent="0.35">
      <c r="A20" s="117" t="s">
        <v>174</v>
      </c>
      <c r="B20" s="186">
        <f>'Fac-Page 1'!O14</f>
        <v>2.7247307259015207E-2</v>
      </c>
      <c r="C20" s="187">
        <f>'Fac-Page 1'!O10</f>
        <v>2.818E-2</v>
      </c>
      <c r="D20" s="188">
        <f t="shared" si="0"/>
        <v>9.3269274098479321E-4</v>
      </c>
      <c r="E20" s="187">
        <f>'Fac-Page 1'!O30</f>
        <v>2.802E-2</v>
      </c>
      <c r="F20" s="188">
        <f t="shared" si="1"/>
        <v>7.7269274098479279E-4</v>
      </c>
      <c r="G20" s="62"/>
      <c r="J20" s="113" t="s">
        <v>174</v>
      </c>
      <c r="K20" s="101">
        <f t="shared" si="3"/>
        <v>2.8180000000000001</v>
      </c>
      <c r="L20" s="103">
        <f t="shared" si="4"/>
        <v>2.802</v>
      </c>
      <c r="M20" s="189">
        <f t="shared" si="2"/>
        <v>-1.6000000000000014E-2</v>
      </c>
      <c r="N20" s="166"/>
      <c r="O20" s="166"/>
      <c r="P20" s="40"/>
      <c r="Q20" s="40"/>
      <c r="R20" s="40"/>
      <c r="S20" s="40"/>
      <c r="T20" s="72"/>
      <c r="V20" s="1"/>
      <c r="W20" s="1"/>
      <c r="X20" s="38"/>
      <c r="Y20" s="39"/>
      <c r="Z20" s="40"/>
      <c r="AA20" s="1"/>
    </row>
    <row r="21" spans="1:31" ht="14.25" customHeight="1" x14ac:dyDescent="0.35">
      <c r="A21" s="117" t="s">
        <v>175</v>
      </c>
      <c r="B21" s="186">
        <f>'Fac-Page 1'!P14</f>
        <v>2.7247307259015207E-2</v>
      </c>
      <c r="C21" s="187">
        <f>'Fac-Page 1'!P10</f>
        <v>2.7689999999999999E-2</v>
      </c>
      <c r="D21" s="188">
        <f t="shared" si="0"/>
        <v>4.4269274098479236E-4</v>
      </c>
      <c r="E21" s="187">
        <f>'Fac-Page 1'!P30</f>
        <v>2.7380000000000002E-2</v>
      </c>
      <c r="F21" s="188">
        <f t="shared" si="1"/>
        <v>1.3269274098479458E-4</v>
      </c>
      <c r="G21" s="62"/>
      <c r="J21" s="113" t="s">
        <v>175</v>
      </c>
      <c r="K21" s="101">
        <f t="shared" si="3"/>
        <v>2.7690000000000001</v>
      </c>
      <c r="L21" s="103">
        <f>E21*100</f>
        <v>2.738</v>
      </c>
      <c r="M21" s="189">
        <f t="shared" si="2"/>
        <v>-3.1000000000000139E-2</v>
      </c>
      <c r="N21" s="49"/>
      <c r="O21" s="49"/>
      <c r="P21" s="40"/>
      <c r="Q21" s="40"/>
      <c r="R21" s="40"/>
      <c r="S21" s="40"/>
      <c r="T21" s="73"/>
      <c r="V21" s="1"/>
      <c r="W21" s="41"/>
      <c r="X21" s="1"/>
      <c r="Y21" s="1"/>
      <c r="Z21" s="34"/>
      <c r="AA21" s="1"/>
    </row>
    <row r="22" spans="1:31" x14ac:dyDescent="0.25">
      <c r="A22" s="56"/>
      <c r="B22" s="56"/>
      <c r="C22" s="56"/>
      <c r="D22" s="56"/>
      <c r="E22" s="56"/>
      <c r="F22" s="56"/>
      <c r="G22" s="56"/>
      <c r="J22" s="77" t="s">
        <v>179</v>
      </c>
      <c r="K22" s="114"/>
      <c r="L22" s="114"/>
      <c r="M22" s="191">
        <f>AVERAGE(M10:M21)</f>
        <v>7.0833333333333304E-3</v>
      </c>
      <c r="N22" s="158"/>
      <c r="O22" s="74"/>
      <c r="P22" s="40"/>
      <c r="Q22" s="40"/>
      <c r="R22" s="40"/>
      <c r="S22" s="40"/>
      <c r="T22" s="74"/>
      <c r="W22" s="32"/>
      <c r="X22" s="33"/>
      <c r="Y22" s="33"/>
      <c r="Z22" s="34"/>
    </row>
    <row r="23" spans="1:31" x14ac:dyDescent="0.25">
      <c r="A23" s="56"/>
      <c r="B23" s="56"/>
      <c r="C23" s="56"/>
      <c r="D23" s="56"/>
      <c r="E23" s="56"/>
      <c r="F23" s="56"/>
      <c r="G23" s="56"/>
      <c r="J23" s="37"/>
      <c r="K23" s="36"/>
      <c r="L23" s="36"/>
      <c r="M23" s="147"/>
      <c r="N23" s="75"/>
      <c r="O23" s="75"/>
      <c r="P23" s="40"/>
      <c r="Q23" s="40"/>
      <c r="R23" s="40"/>
      <c r="S23" s="40"/>
      <c r="T23" s="75"/>
    </row>
    <row r="24" spans="1:31" x14ac:dyDescent="0.25">
      <c r="A24" s="56"/>
      <c r="B24" s="118">
        <f>100*B10</f>
        <v>2.7247307259015208</v>
      </c>
      <c r="C24" s="119">
        <f>100*C10</f>
        <v>2.7069999999999999</v>
      </c>
      <c r="D24" s="192">
        <f>C24-B24</f>
        <v>-1.7730725901520916E-2</v>
      </c>
      <c r="E24" s="62">
        <f>100*E10</f>
        <v>2.7470000000000003</v>
      </c>
      <c r="F24" s="193">
        <f>E24-B24</f>
        <v>2.2269274098479563E-2</v>
      </c>
      <c r="G24" s="56"/>
      <c r="J24" s="159"/>
      <c r="K24" s="160"/>
      <c r="L24" s="160"/>
      <c r="M24" s="139"/>
      <c r="N24" s="39"/>
      <c r="O24" s="40"/>
      <c r="P24" s="40"/>
      <c r="Q24" s="40"/>
      <c r="R24" s="40"/>
      <c r="S24" s="40"/>
      <c r="T24" s="40"/>
      <c r="U24" s="46"/>
    </row>
    <row r="25" spans="1:31" x14ac:dyDescent="0.25">
      <c r="A25" s="56"/>
      <c r="B25" s="118">
        <f t="shared" ref="B25:B35" si="5">100*B11</f>
        <v>2.7247307259015208</v>
      </c>
      <c r="C25" s="119">
        <f t="shared" ref="C25:C35" si="6">100*C11</f>
        <v>2.5190000000000001</v>
      </c>
      <c r="D25" s="192">
        <f t="shared" ref="D25:D35" si="7">C25-B25</f>
        <v>-0.20573072590152064</v>
      </c>
      <c r="E25" s="62">
        <f t="shared" ref="E25:E35" si="8">100*E11</f>
        <v>2.4979999999999998</v>
      </c>
      <c r="F25" s="193">
        <f t="shared" ref="F25:F35" si="9">E25-B25</f>
        <v>-0.22673072590152099</v>
      </c>
      <c r="G25" s="56"/>
      <c r="J25" s="159"/>
      <c r="K25" s="160"/>
      <c r="L25" s="160"/>
      <c r="M25" s="139"/>
      <c r="N25" s="39"/>
      <c r="O25" s="40"/>
      <c r="P25" s="40"/>
      <c r="Q25" s="40"/>
      <c r="R25" s="40"/>
      <c r="S25" s="40"/>
      <c r="T25" s="40"/>
      <c r="U25" s="46"/>
    </row>
    <row r="26" spans="1:31" x14ac:dyDescent="0.25">
      <c r="A26" s="56"/>
      <c r="B26" s="118">
        <f t="shared" si="5"/>
        <v>2.7247307259015208</v>
      </c>
      <c r="C26" s="119">
        <f t="shared" si="6"/>
        <v>2.4060000000000001</v>
      </c>
      <c r="D26" s="192">
        <f t="shared" si="7"/>
        <v>-0.31873072590152063</v>
      </c>
      <c r="E26" s="62">
        <f t="shared" si="8"/>
        <v>2.4020000000000001</v>
      </c>
      <c r="F26" s="193">
        <f t="shared" si="9"/>
        <v>-0.32273072590152063</v>
      </c>
      <c r="G26" s="56"/>
      <c r="J26" s="159"/>
      <c r="K26" s="160"/>
      <c r="L26" s="160"/>
      <c r="M26" s="139"/>
      <c r="N26" s="39"/>
      <c r="O26" s="40"/>
      <c r="P26" s="40"/>
      <c r="Q26" s="40"/>
      <c r="R26" s="40"/>
      <c r="S26" s="40"/>
      <c r="T26" s="40"/>
      <c r="U26" s="46"/>
    </row>
    <row r="27" spans="1:31" x14ac:dyDescent="0.25">
      <c r="A27" s="56"/>
      <c r="B27" s="118">
        <f t="shared" si="5"/>
        <v>2.7247307259015208</v>
      </c>
      <c r="C27" s="119">
        <f t="shared" si="6"/>
        <v>2.823</v>
      </c>
      <c r="D27" s="192">
        <f t="shared" si="7"/>
        <v>9.8269274098479187E-2</v>
      </c>
      <c r="E27" s="62">
        <f t="shared" si="8"/>
        <v>2.8449999999999998</v>
      </c>
      <c r="F27" s="193">
        <f t="shared" si="9"/>
        <v>0.12026927409847898</v>
      </c>
      <c r="G27" s="56"/>
      <c r="J27" s="159"/>
      <c r="K27" s="160"/>
      <c r="L27" s="160"/>
      <c r="M27" s="139"/>
      <c r="N27" s="39"/>
      <c r="O27" s="76"/>
      <c r="P27" s="40"/>
      <c r="Q27" s="40"/>
      <c r="R27" s="40"/>
      <c r="S27" s="40"/>
      <c r="T27" s="76"/>
      <c r="U27" s="46"/>
      <c r="V27" s="33"/>
      <c r="W27" s="138"/>
      <c r="X27" s="150"/>
      <c r="Y27" s="150"/>
      <c r="Z27" s="139"/>
      <c r="AA27" s="127"/>
      <c r="AB27" s="141"/>
      <c r="AC27" s="33"/>
      <c r="AD27" s="151"/>
      <c r="AE27" s="33"/>
    </row>
    <row r="28" spans="1:31" x14ac:dyDescent="0.25">
      <c r="A28" s="56"/>
      <c r="B28" s="118">
        <f>100*B14</f>
        <v>2.7247307259015208</v>
      </c>
      <c r="C28" s="119">
        <f t="shared" si="6"/>
        <v>2.98</v>
      </c>
      <c r="D28" s="192">
        <f t="shared" si="7"/>
        <v>0.25526927409847922</v>
      </c>
      <c r="E28" s="62">
        <f t="shared" si="8"/>
        <v>3.0089999999999999</v>
      </c>
      <c r="F28" s="193">
        <f t="shared" si="9"/>
        <v>0.28426927409847913</v>
      </c>
      <c r="G28" s="56"/>
      <c r="J28" s="159"/>
      <c r="K28" s="160"/>
      <c r="L28" s="160"/>
      <c r="M28" s="139"/>
      <c r="N28" s="39"/>
      <c r="O28" s="40"/>
      <c r="P28" s="40"/>
      <c r="Q28" s="40"/>
      <c r="R28" s="40"/>
      <c r="S28" s="40"/>
      <c r="T28" s="40"/>
      <c r="U28" s="46"/>
      <c r="V28" s="33"/>
      <c r="W28" s="138"/>
      <c r="X28" s="150"/>
      <c r="Y28" s="150"/>
      <c r="Z28" s="139"/>
      <c r="AA28" s="127"/>
      <c r="AB28" s="139"/>
      <c r="AC28" s="33"/>
      <c r="AD28" s="151"/>
      <c r="AE28" s="33"/>
    </row>
    <row r="29" spans="1:31" x14ac:dyDescent="0.25">
      <c r="A29" s="56"/>
      <c r="B29" s="118">
        <f t="shared" si="5"/>
        <v>2.7247307259015208</v>
      </c>
      <c r="C29" s="119">
        <f t="shared" si="6"/>
        <v>3.0760000000000001</v>
      </c>
      <c r="D29" s="192">
        <f t="shared" si="7"/>
        <v>0.3512692740984793</v>
      </c>
      <c r="E29" s="62">
        <f t="shared" si="8"/>
        <v>3.0630000000000002</v>
      </c>
      <c r="F29" s="193">
        <f t="shared" si="9"/>
        <v>0.3382692740984794</v>
      </c>
      <c r="G29" s="56"/>
      <c r="J29" s="159"/>
      <c r="K29" s="160"/>
      <c r="L29" s="160"/>
      <c r="M29" s="139"/>
      <c r="N29" s="39"/>
      <c r="O29" s="76"/>
      <c r="P29" s="40"/>
      <c r="Q29" s="40"/>
      <c r="R29" s="40"/>
      <c r="S29" s="40"/>
      <c r="T29" s="76"/>
      <c r="U29" s="46"/>
      <c r="V29" s="33"/>
      <c r="W29" s="138"/>
      <c r="X29" s="150"/>
      <c r="Y29" s="150"/>
      <c r="Z29" s="139"/>
      <c r="AA29" s="127"/>
      <c r="AB29" s="141"/>
      <c r="AC29" s="33"/>
      <c r="AD29" s="151"/>
      <c r="AE29" s="33"/>
    </row>
    <row r="30" spans="1:31" x14ac:dyDescent="0.25">
      <c r="A30" s="56"/>
      <c r="B30" s="118">
        <f t="shared" si="5"/>
        <v>2.7247307259015208</v>
      </c>
      <c r="C30" s="119">
        <f t="shared" si="6"/>
        <v>3.0949999999999998</v>
      </c>
      <c r="D30" s="192">
        <f t="shared" si="7"/>
        <v>0.37026927409847898</v>
      </c>
      <c r="E30" s="62">
        <f t="shared" si="8"/>
        <v>3.1070000000000002</v>
      </c>
      <c r="F30" s="193">
        <f t="shared" si="9"/>
        <v>0.38226927409847944</v>
      </c>
      <c r="G30" s="56"/>
      <c r="J30" s="161"/>
      <c r="K30" s="160"/>
      <c r="L30" s="160"/>
      <c r="M30" s="139"/>
      <c r="N30" s="39"/>
      <c r="O30" s="40"/>
      <c r="P30" s="76"/>
      <c r="Q30" s="76"/>
      <c r="R30" s="76"/>
      <c r="S30" s="76"/>
      <c r="T30" s="40"/>
      <c r="U30" s="46"/>
      <c r="V30" s="33"/>
      <c r="W30" s="140"/>
      <c r="X30" s="150"/>
      <c r="Y30" s="150"/>
      <c r="Z30" s="139"/>
      <c r="AA30" s="127"/>
      <c r="AB30" s="139"/>
      <c r="AC30" s="33"/>
      <c r="AD30" s="151"/>
      <c r="AE30" s="33"/>
    </row>
    <row r="31" spans="1:31" x14ac:dyDescent="0.25">
      <c r="A31" s="56"/>
      <c r="B31" s="118">
        <f t="shared" si="5"/>
        <v>2.7247307259015208</v>
      </c>
      <c r="C31" s="119">
        <f t="shared" si="6"/>
        <v>3.0700000000000003</v>
      </c>
      <c r="D31" s="192">
        <f t="shared" si="7"/>
        <v>0.34526927409847952</v>
      </c>
      <c r="E31" s="62">
        <f t="shared" si="8"/>
        <v>3.105</v>
      </c>
      <c r="F31" s="193">
        <f t="shared" si="9"/>
        <v>0.38026927409847922</v>
      </c>
      <c r="G31" s="56"/>
      <c r="J31" s="161"/>
      <c r="K31" s="160"/>
      <c r="L31" s="160"/>
      <c r="M31" s="139"/>
      <c r="N31" s="39"/>
      <c r="O31" s="40"/>
      <c r="P31" s="40"/>
      <c r="Q31" s="40"/>
      <c r="R31" s="40"/>
      <c r="S31" s="40"/>
      <c r="T31" s="40"/>
      <c r="U31" s="46"/>
      <c r="V31" s="33"/>
      <c r="W31" s="140"/>
      <c r="X31" s="150"/>
      <c r="Y31" s="150"/>
      <c r="Z31" s="139"/>
      <c r="AA31" s="127"/>
      <c r="AB31" s="139"/>
      <c r="AC31" s="33"/>
      <c r="AD31" s="151"/>
      <c r="AE31" s="33"/>
    </row>
    <row r="32" spans="1:31" x14ac:dyDescent="0.25">
      <c r="A32" s="56"/>
      <c r="B32" s="118">
        <f t="shared" si="5"/>
        <v>2.7247307259015208</v>
      </c>
      <c r="C32" s="119">
        <f t="shared" si="6"/>
        <v>2.9610000000000003</v>
      </c>
      <c r="D32" s="192">
        <f t="shared" si="7"/>
        <v>0.23626927409847953</v>
      </c>
      <c r="E32" s="62">
        <f t="shared" si="8"/>
        <v>2.9780000000000002</v>
      </c>
      <c r="F32" s="193">
        <f t="shared" si="9"/>
        <v>0.25326927409847944</v>
      </c>
      <c r="G32" s="56"/>
      <c r="J32" s="159"/>
      <c r="K32" s="160"/>
      <c r="L32" s="160"/>
      <c r="M32" s="139"/>
      <c r="N32" s="39"/>
      <c r="O32" s="40"/>
      <c r="P32" s="40"/>
      <c r="Q32" s="40"/>
      <c r="R32" s="40"/>
      <c r="S32" s="40"/>
      <c r="T32" s="40"/>
      <c r="U32" s="46"/>
      <c r="V32" s="33"/>
      <c r="W32" s="138"/>
      <c r="X32" s="150"/>
      <c r="Y32" s="150"/>
      <c r="Z32" s="139"/>
      <c r="AA32" s="127"/>
      <c r="AB32" s="139"/>
      <c r="AC32" s="33"/>
      <c r="AD32" s="151"/>
      <c r="AE32" s="33"/>
    </row>
    <row r="33" spans="1:31" x14ac:dyDescent="0.25">
      <c r="A33" s="56"/>
      <c r="B33" s="118">
        <f t="shared" si="5"/>
        <v>2.7247307259015208</v>
      </c>
      <c r="C33" s="119">
        <f t="shared" si="6"/>
        <v>2.8279999999999998</v>
      </c>
      <c r="D33" s="192">
        <f t="shared" si="7"/>
        <v>0.10326927409847908</v>
      </c>
      <c r="E33" s="62">
        <f t="shared" si="8"/>
        <v>2.843</v>
      </c>
      <c r="F33" s="193">
        <f t="shared" si="9"/>
        <v>0.1182692740984792</v>
      </c>
      <c r="G33" s="56"/>
      <c r="J33" s="159"/>
      <c r="K33" s="160"/>
      <c r="L33" s="160"/>
      <c r="M33" s="139"/>
      <c r="N33" s="39"/>
      <c r="O33" s="40"/>
      <c r="P33" s="162"/>
      <c r="Q33" s="44"/>
      <c r="R33" s="44"/>
      <c r="S33" s="44"/>
      <c r="T33" s="40"/>
      <c r="U33" s="46"/>
      <c r="V33" s="33"/>
      <c r="W33" s="138"/>
      <c r="X33" s="150"/>
      <c r="Y33" s="150"/>
      <c r="Z33" s="139"/>
      <c r="AA33" s="127"/>
      <c r="AB33" s="139"/>
      <c r="AC33" s="33"/>
      <c r="AD33" s="151"/>
      <c r="AE33" s="33"/>
    </row>
    <row r="34" spans="1:31" x14ac:dyDescent="0.25">
      <c r="A34" s="56"/>
      <c r="B34" s="118">
        <f t="shared" si="5"/>
        <v>2.7247307259015208</v>
      </c>
      <c r="C34" s="119">
        <f t="shared" si="6"/>
        <v>2.8180000000000001</v>
      </c>
      <c r="D34" s="192">
        <f t="shared" si="7"/>
        <v>9.3269274098479293E-2</v>
      </c>
      <c r="E34" s="62">
        <f t="shared" si="8"/>
        <v>2.802</v>
      </c>
      <c r="F34" s="193">
        <f t="shared" si="9"/>
        <v>7.7269274098479279E-2</v>
      </c>
      <c r="G34" s="56"/>
      <c r="J34" s="159"/>
      <c r="K34" s="160"/>
      <c r="L34" s="160"/>
      <c r="M34" s="139"/>
      <c r="N34" s="39"/>
      <c r="O34" s="40"/>
      <c r="P34" s="44"/>
      <c r="Q34" s="44"/>
      <c r="R34" s="44"/>
      <c r="S34" s="44"/>
      <c r="T34" s="40"/>
      <c r="U34" s="46"/>
      <c r="V34" s="33"/>
      <c r="W34" s="138"/>
      <c r="X34" s="150"/>
      <c r="Y34" s="150"/>
      <c r="Z34" s="139"/>
      <c r="AA34" s="127"/>
      <c r="AB34" s="139"/>
      <c r="AC34" s="33"/>
      <c r="AD34" s="151"/>
      <c r="AE34" s="33"/>
    </row>
    <row r="35" spans="1:31" x14ac:dyDescent="0.25">
      <c r="A35" s="56"/>
      <c r="B35" s="118">
        <f t="shared" si="5"/>
        <v>2.7247307259015208</v>
      </c>
      <c r="C35" s="119">
        <f t="shared" si="6"/>
        <v>2.7690000000000001</v>
      </c>
      <c r="D35" s="192">
        <f t="shared" si="7"/>
        <v>4.4269274098479361E-2</v>
      </c>
      <c r="E35" s="62">
        <f t="shared" si="8"/>
        <v>2.738</v>
      </c>
      <c r="F35" s="193">
        <f t="shared" si="9"/>
        <v>1.3269274098479222E-2</v>
      </c>
      <c r="G35" s="56"/>
      <c r="J35" s="159"/>
      <c r="K35" s="160"/>
      <c r="L35" s="160"/>
      <c r="M35" s="139"/>
      <c r="N35" s="39"/>
      <c r="O35" s="40"/>
      <c r="P35" s="1"/>
      <c r="Q35" s="1"/>
      <c r="R35" s="1"/>
      <c r="T35" s="40"/>
      <c r="U35" s="46"/>
      <c r="V35" s="33"/>
      <c r="W35" s="138"/>
      <c r="X35" s="150"/>
      <c r="Y35" s="150"/>
      <c r="Z35" s="139"/>
      <c r="AA35" s="127"/>
      <c r="AB35" s="139"/>
      <c r="AC35" s="33"/>
      <c r="AD35" s="151"/>
      <c r="AE35" s="33"/>
    </row>
    <row r="36" spans="1:31" x14ac:dyDescent="0.25">
      <c r="A36" s="56"/>
      <c r="B36" s="56"/>
      <c r="C36" s="56"/>
      <c r="D36" s="56"/>
      <c r="E36" s="56"/>
      <c r="F36" s="56"/>
      <c r="G36" s="56"/>
      <c r="J36" s="159"/>
      <c r="K36" s="160"/>
      <c r="L36" s="160"/>
      <c r="M36" s="152"/>
      <c r="N36" s="39"/>
      <c r="O36" s="40"/>
      <c r="P36" s="1"/>
      <c r="Q36" s="1"/>
      <c r="R36" s="1"/>
      <c r="T36" s="40"/>
      <c r="U36" s="46"/>
      <c r="V36" s="33"/>
      <c r="W36" s="138"/>
      <c r="X36" s="150"/>
      <c r="Y36" s="150"/>
      <c r="Z36" s="152"/>
      <c r="AA36" s="127"/>
      <c r="AB36" s="139"/>
      <c r="AC36" s="33"/>
      <c r="AD36" s="151"/>
      <c r="AE36" s="33"/>
    </row>
    <row r="37" spans="1:31" x14ac:dyDescent="0.25">
      <c r="J37" s="159"/>
      <c r="K37" s="160"/>
      <c r="L37" s="160"/>
      <c r="M37" s="152"/>
      <c r="N37" s="39"/>
      <c r="O37" s="40"/>
      <c r="P37" s="1"/>
      <c r="Q37" s="1"/>
      <c r="R37" s="1"/>
      <c r="T37" s="40"/>
      <c r="U37" s="46"/>
      <c r="V37" s="33"/>
      <c r="W37" s="138"/>
      <c r="X37" s="150"/>
      <c r="Y37" s="150"/>
      <c r="Z37" s="152"/>
      <c r="AA37" s="127"/>
      <c r="AB37" s="139"/>
      <c r="AC37" s="33"/>
      <c r="AD37" s="151"/>
      <c r="AE37" s="33"/>
    </row>
    <row r="38" spans="1:31" s="1" customFormat="1" x14ac:dyDescent="0.25">
      <c r="J38" s="159"/>
      <c r="K38" s="160"/>
      <c r="L38" s="160"/>
      <c r="M38" s="152"/>
      <c r="N38" s="39"/>
      <c r="O38" s="40"/>
      <c r="T38" s="40"/>
      <c r="U38" s="40"/>
      <c r="V38" s="33"/>
      <c r="W38" s="138"/>
      <c r="X38" s="150"/>
      <c r="Y38" s="150"/>
      <c r="Z38" s="152"/>
      <c r="AA38" s="127"/>
      <c r="AB38" s="139"/>
      <c r="AC38" s="33"/>
      <c r="AD38" s="151"/>
      <c r="AE38" s="33"/>
    </row>
    <row r="39" spans="1:31" s="1" customFormat="1" x14ac:dyDescent="0.25">
      <c r="A39" s="178"/>
      <c r="B39" s="178"/>
      <c r="C39" s="178"/>
      <c r="D39" s="178"/>
      <c r="E39" s="178"/>
      <c r="F39" s="178"/>
      <c r="G39" s="178"/>
      <c r="J39" s="136"/>
      <c r="K39" s="137"/>
      <c r="L39" s="137"/>
      <c r="M39" s="137"/>
      <c r="N39" s="39"/>
      <c r="O39" s="40"/>
      <c r="T39" s="40"/>
      <c r="U39" s="40"/>
      <c r="V39" s="33"/>
      <c r="W39" s="138"/>
      <c r="X39" s="150"/>
      <c r="Y39" s="150"/>
      <c r="Z39" s="152"/>
      <c r="AA39" s="127"/>
      <c r="AB39" s="139"/>
      <c r="AC39" s="33"/>
      <c r="AD39" s="151"/>
      <c r="AE39" s="33"/>
    </row>
    <row r="40" spans="1:31" s="1" customFormat="1" x14ac:dyDescent="0.25">
      <c r="A40" s="127"/>
      <c r="B40" s="127"/>
      <c r="C40" s="127"/>
      <c r="D40" s="127"/>
      <c r="E40" s="127"/>
      <c r="F40" s="127"/>
      <c r="G40" s="127"/>
      <c r="J40" s="147"/>
      <c r="K40" s="148"/>
      <c r="L40" s="148"/>
      <c r="M40" s="147"/>
      <c r="P40" s="40"/>
      <c r="Q40" s="40"/>
      <c r="R40" s="40"/>
      <c r="S40" s="40"/>
      <c r="X40" s="38"/>
      <c r="Y40" s="39"/>
      <c r="Z40" s="40"/>
    </row>
    <row r="41" spans="1:31" s="1" customFormat="1" ht="23.25" x14ac:dyDescent="0.35">
      <c r="J41" s="167"/>
      <c r="K41" s="168"/>
      <c r="L41" s="168"/>
      <c r="M41" s="169"/>
      <c r="N41" s="39"/>
      <c r="O41" s="40"/>
      <c r="P41" s="72"/>
      <c r="Q41" s="72"/>
      <c r="R41" s="72"/>
      <c r="S41" s="72"/>
      <c r="T41" s="40"/>
      <c r="U41" s="40"/>
      <c r="V41" s="33"/>
      <c r="W41" s="138"/>
      <c r="X41" s="150"/>
      <c r="Y41" s="150"/>
      <c r="Z41" s="152"/>
      <c r="AA41" s="127"/>
      <c r="AB41" s="139"/>
      <c r="AC41" s="33"/>
      <c r="AD41" s="151"/>
      <c r="AE41" s="33"/>
    </row>
    <row r="42" spans="1:31" s="1" customFormat="1" x14ac:dyDescent="0.25">
      <c r="J42" s="170"/>
      <c r="K42" s="168"/>
      <c r="L42" s="168"/>
      <c r="M42" s="171"/>
      <c r="N42" s="39"/>
      <c r="O42" s="40"/>
      <c r="P42" s="74"/>
      <c r="Q42" s="74"/>
      <c r="R42" s="74"/>
      <c r="S42" s="74"/>
      <c r="T42" s="40"/>
      <c r="U42" s="40"/>
      <c r="V42" s="33"/>
      <c r="W42" s="140"/>
      <c r="X42" s="150"/>
      <c r="Y42" s="150"/>
      <c r="Z42" s="139"/>
      <c r="AA42" s="127"/>
      <c r="AB42" s="139"/>
      <c r="AC42" s="33"/>
      <c r="AD42" s="151"/>
      <c r="AE42" s="33"/>
    </row>
    <row r="43" spans="1:31" s="1" customFormat="1" x14ac:dyDescent="0.25">
      <c r="J43" s="170"/>
      <c r="K43" s="168"/>
      <c r="L43" s="168"/>
      <c r="M43" s="171"/>
      <c r="N43" s="39"/>
      <c r="O43" s="40"/>
      <c r="P43" s="75"/>
      <c r="Q43" s="75"/>
      <c r="R43" s="75"/>
      <c r="S43" s="75"/>
      <c r="T43" s="40"/>
      <c r="U43" s="40"/>
      <c r="V43" s="33"/>
      <c r="W43" s="140"/>
      <c r="X43" s="150"/>
      <c r="Y43" s="150"/>
      <c r="Z43" s="139"/>
      <c r="AA43" s="127"/>
      <c r="AB43" s="139"/>
      <c r="AC43" s="33"/>
      <c r="AD43" s="151"/>
      <c r="AE43" s="33"/>
    </row>
    <row r="44" spans="1:31" s="1" customFormat="1" x14ac:dyDescent="0.25">
      <c r="J44" s="167"/>
      <c r="K44" s="168"/>
      <c r="L44" s="168"/>
      <c r="M44" s="171"/>
      <c r="N44" s="39"/>
      <c r="O44" s="40"/>
      <c r="P44" s="40"/>
      <c r="Q44" s="40"/>
      <c r="R44" s="40"/>
      <c r="S44" s="40"/>
      <c r="T44" s="40"/>
      <c r="U44" s="40"/>
      <c r="V44" s="33"/>
      <c r="W44" s="138"/>
      <c r="X44" s="150"/>
      <c r="Y44" s="150"/>
      <c r="Z44" s="139"/>
      <c r="AA44" s="127"/>
      <c r="AB44" s="139"/>
      <c r="AC44" s="33"/>
      <c r="AD44" s="151"/>
      <c r="AE44" s="33"/>
    </row>
    <row r="45" spans="1:31" s="1" customFormat="1" x14ac:dyDescent="0.25">
      <c r="J45" s="167"/>
      <c r="K45" s="168"/>
      <c r="L45" s="168"/>
      <c r="M45" s="171"/>
      <c r="N45" s="39"/>
      <c r="O45" s="76"/>
      <c r="P45" s="40"/>
      <c r="Q45" s="40"/>
      <c r="R45" s="40"/>
      <c r="S45" s="40"/>
      <c r="T45" s="76"/>
      <c r="U45" s="40"/>
      <c r="V45" s="33"/>
      <c r="W45" s="138"/>
      <c r="X45" s="150"/>
      <c r="Y45" s="150"/>
      <c r="Z45" s="139"/>
      <c r="AA45" s="127"/>
      <c r="AB45" s="141"/>
      <c r="AC45" s="33"/>
      <c r="AD45" s="151"/>
      <c r="AE45" s="33"/>
    </row>
    <row r="46" spans="1:31" s="1" customFormat="1" x14ac:dyDescent="0.25">
      <c r="J46" s="167"/>
      <c r="K46" s="168"/>
      <c r="L46" s="168"/>
      <c r="M46" s="171"/>
      <c r="N46" s="39"/>
      <c r="O46" s="40"/>
      <c r="P46" s="40"/>
      <c r="Q46" s="40"/>
      <c r="R46" s="40"/>
      <c r="S46" s="40"/>
      <c r="T46" s="40"/>
      <c r="U46" s="40"/>
      <c r="V46" s="33"/>
      <c r="W46" s="138"/>
      <c r="X46" s="150"/>
      <c r="Y46" s="150"/>
      <c r="Z46" s="139"/>
      <c r="AA46" s="127"/>
      <c r="AB46" s="139"/>
      <c r="AC46" s="33"/>
      <c r="AD46" s="151"/>
      <c r="AE46" s="33"/>
    </row>
    <row r="47" spans="1:31" s="1" customFormat="1" x14ac:dyDescent="0.25">
      <c r="J47" s="167"/>
      <c r="K47" s="168"/>
      <c r="L47" s="168"/>
      <c r="M47" s="171"/>
      <c r="N47" s="39"/>
      <c r="O47" s="40"/>
      <c r="P47" s="76"/>
      <c r="Q47" s="76"/>
      <c r="R47" s="76"/>
      <c r="S47" s="76"/>
      <c r="T47" s="40"/>
      <c r="U47" s="40"/>
      <c r="V47" s="33"/>
      <c r="W47" s="138"/>
      <c r="X47" s="150"/>
      <c r="Y47" s="150"/>
      <c r="Z47" s="139"/>
      <c r="AA47" s="127"/>
      <c r="AB47" s="139"/>
      <c r="AC47" s="33"/>
      <c r="AD47" s="151"/>
      <c r="AE47" s="33"/>
    </row>
    <row r="48" spans="1:31" s="1" customFormat="1" x14ac:dyDescent="0.25">
      <c r="J48" s="172"/>
      <c r="K48" s="173"/>
      <c r="L48" s="173"/>
      <c r="M48" s="171"/>
      <c r="N48" s="39"/>
      <c r="O48" s="44"/>
      <c r="P48" s="40"/>
      <c r="Q48" s="40"/>
      <c r="R48" s="40"/>
      <c r="S48" s="40"/>
      <c r="T48" s="44"/>
      <c r="V48" s="33"/>
      <c r="W48" s="153"/>
      <c r="X48" s="154"/>
      <c r="Y48" s="154"/>
      <c r="Z48" s="155"/>
      <c r="AA48" s="127"/>
      <c r="AB48" s="143"/>
      <c r="AC48" s="156"/>
      <c r="AD48" s="156"/>
      <c r="AE48" s="151"/>
    </row>
    <row r="49" spans="10:31" s="1" customFormat="1" ht="18.75" customHeight="1" x14ac:dyDescent="0.25">
      <c r="J49" s="174"/>
      <c r="K49" s="175"/>
      <c r="L49" s="175"/>
      <c r="M49" s="171"/>
      <c r="O49" s="44"/>
      <c r="P49" s="76"/>
      <c r="Q49" s="76"/>
      <c r="R49" s="76"/>
      <c r="S49" s="76"/>
      <c r="T49" s="44"/>
      <c r="V49" s="33"/>
      <c r="W49" s="200"/>
      <c r="X49" s="200"/>
      <c r="Y49" s="200"/>
      <c r="Z49" s="34"/>
      <c r="AA49" s="33"/>
      <c r="AB49" s="143"/>
      <c r="AC49" s="33"/>
      <c r="AD49" s="33"/>
      <c r="AE49" s="33"/>
    </row>
    <row r="50" spans="10:31" s="1" customFormat="1" ht="14.25" customHeight="1" x14ac:dyDescent="0.25">
      <c r="J50" s="176"/>
      <c r="K50" s="173"/>
      <c r="L50" s="173"/>
      <c r="M50" s="171"/>
      <c r="P50" s="40"/>
      <c r="Q50" s="40"/>
      <c r="R50" s="40"/>
      <c r="S50" s="40"/>
      <c r="V50" s="33"/>
      <c r="W50" s="50"/>
      <c r="X50" s="33"/>
      <c r="Y50" s="33"/>
      <c r="Z50" s="33"/>
      <c r="AA50" s="33"/>
      <c r="AB50" s="33"/>
      <c r="AC50" s="33"/>
      <c r="AD50" s="33"/>
      <c r="AE50" s="33"/>
    </row>
    <row r="51" spans="10:31" s="1" customFormat="1" x14ac:dyDescent="0.25">
      <c r="J51" s="177"/>
      <c r="K51" s="173"/>
      <c r="L51" s="173"/>
      <c r="M51" s="171"/>
      <c r="P51" s="40"/>
      <c r="Q51" s="40"/>
      <c r="R51" s="40"/>
      <c r="S51" s="40"/>
      <c r="V51" s="33"/>
      <c r="W51" s="142"/>
      <c r="X51" s="33"/>
      <c r="Y51" s="33"/>
      <c r="Z51" s="33"/>
      <c r="AA51" s="33"/>
      <c r="AB51" s="33"/>
      <c r="AC51" s="33"/>
      <c r="AD51" s="33"/>
      <c r="AE51" s="33"/>
    </row>
    <row r="52" spans="10:31" s="1" customFormat="1" x14ac:dyDescent="0.25">
      <c r="J52" s="177"/>
      <c r="K52" s="173"/>
      <c r="L52" s="173"/>
      <c r="M52" s="171"/>
      <c r="P52" s="40"/>
      <c r="Q52" s="40"/>
      <c r="R52" s="40"/>
      <c r="S52" s="40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0:31" s="1" customFormat="1" x14ac:dyDescent="0.25">
      <c r="J53" s="177"/>
      <c r="K53" s="173"/>
      <c r="L53" s="173"/>
      <c r="M53" s="171"/>
      <c r="P53" s="40"/>
      <c r="Q53" s="40"/>
      <c r="R53" s="40"/>
      <c r="S53" s="40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0:31" s="1" customFormat="1" x14ac:dyDescent="0.25">
      <c r="M54" s="33"/>
      <c r="P54" s="40"/>
      <c r="Q54" s="40"/>
      <c r="R54" s="40"/>
      <c r="S54" s="40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0:31" s="1" customFormat="1" x14ac:dyDescent="0.25">
      <c r="M55" s="33"/>
      <c r="P55" s="40"/>
      <c r="Q55" s="40"/>
      <c r="R55" s="40"/>
      <c r="S55" s="40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0:31" s="1" customFormat="1" ht="15" customHeight="1" x14ac:dyDescent="0.35">
      <c r="J56" s="202"/>
      <c r="K56" s="202"/>
      <c r="L56" s="202"/>
      <c r="M56" s="202"/>
      <c r="N56" s="202"/>
      <c r="O56" s="202"/>
      <c r="P56" s="40"/>
      <c r="Q56" s="40"/>
      <c r="R56" s="40"/>
      <c r="S56" s="40"/>
      <c r="T56" s="72"/>
      <c r="V56" s="33"/>
      <c r="W56" s="201"/>
      <c r="X56" s="201"/>
      <c r="Y56" s="201"/>
      <c r="Z56" s="201"/>
      <c r="AA56" s="201"/>
      <c r="AB56" s="201"/>
      <c r="AC56" s="33"/>
      <c r="AD56" s="33"/>
      <c r="AE56" s="33"/>
    </row>
    <row r="57" spans="10:31" s="1" customFormat="1" x14ac:dyDescent="0.25">
      <c r="J57" s="35"/>
      <c r="K57" s="158"/>
      <c r="L57" s="158"/>
      <c r="M57" s="145"/>
      <c r="N57" s="158"/>
      <c r="O57" s="74"/>
      <c r="P57" s="40"/>
      <c r="Q57" s="40"/>
      <c r="R57" s="40"/>
      <c r="S57" s="40"/>
      <c r="T57" s="74"/>
      <c r="V57" s="33"/>
      <c r="W57" s="135"/>
      <c r="X57" s="145"/>
      <c r="Y57" s="145"/>
      <c r="Z57" s="145"/>
      <c r="AA57" s="145"/>
      <c r="AB57" s="146"/>
      <c r="AC57" s="33"/>
      <c r="AD57" s="33"/>
      <c r="AE57" s="33"/>
    </row>
    <row r="58" spans="10:31" s="1" customFormat="1" x14ac:dyDescent="0.25">
      <c r="J58" s="37"/>
      <c r="K58" s="36"/>
      <c r="L58" s="36"/>
      <c r="M58" s="147"/>
      <c r="N58" s="75"/>
      <c r="O58" s="75"/>
      <c r="P58" s="40"/>
      <c r="Q58" s="40"/>
      <c r="R58" s="40"/>
      <c r="S58" s="40"/>
      <c r="T58" s="75"/>
      <c r="V58" s="33"/>
      <c r="W58" s="147"/>
      <c r="X58" s="148"/>
      <c r="Y58" s="148"/>
      <c r="Z58" s="147"/>
      <c r="AA58" s="149"/>
      <c r="AB58" s="149"/>
      <c r="AC58" s="33"/>
      <c r="AD58" s="33"/>
      <c r="AE58" s="33"/>
    </row>
    <row r="59" spans="10:31" s="1" customFormat="1" x14ac:dyDescent="0.25">
      <c r="J59" s="159"/>
      <c r="K59" s="150"/>
      <c r="L59" s="160"/>
      <c r="M59" s="152"/>
      <c r="N59" s="39"/>
      <c r="O59" s="40"/>
      <c r="P59" s="40"/>
      <c r="Q59" s="40"/>
      <c r="R59" s="40"/>
      <c r="S59" s="40"/>
      <c r="T59" s="40"/>
      <c r="V59" s="33"/>
      <c r="W59" s="138"/>
      <c r="X59" s="150"/>
      <c r="Y59" s="150"/>
      <c r="Z59" s="139"/>
      <c r="AA59" s="127"/>
      <c r="AB59" s="139"/>
      <c r="AC59" s="33"/>
      <c r="AD59" s="33"/>
      <c r="AE59" s="33"/>
    </row>
    <row r="60" spans="10:31" s="1" customFormat="1" x14ac:dyDescent="0.25">
      <c r="J60" s="159"/>
      <c r="K60" s="150"/>
      <c r="L60" s="160"/>
      <c r="M60" s="152"/>
      <c r="N60" s="39"/>
      <c r="O60" s="40"/>
      <c r="P60" s="40"/>
      <c r="Q60" s="40"/>
      <c r="R60" s="40"/>
      <c r="S60" s="40"/>
      <c r="T60" s="40"/>
      <c r="V60" s="33"/>
      <c r="W60" s="138"/>
      <c r="X60" s="150"/>
      <c r="Y60" s="150"/>
      <c r="Z60" s="139"/>
      <c r="AA60" s="127"/>
      <c r="AB60" s="139"/>
      <c r="AC60" s="33"/>
      <c r="AD60" s="33"/>
      <c r="AE60" s="33"/>
    </row>
    <row r="61" spans="10:31" s="1" customFormat="1" x14ac:dyDescent="0.25">
      <c r="J61" s="159"/>
      <c r="K61" s="150"/>
      <c r="L61" s="160"/>
      <c r="M61" s="152"/>
      <c r="N61" s="39"/>
      <c r="O61" s="40"/>
      <c r="P61" s="40"/>
      <c r="Q61" s="40"/>
      <c r="R61" s="40"/>
      <c r="S61" s="40"/>
      <c r="T61" s="40"/>
      <c r="V61" s="33"/>
      <c r="W61" s="138"/>
      <c r="X61" s="150"/>
      <c r="Y61" s="150"/>
      <c r="Z61" s="139"/>
      <c r="AA61" s="127"/>
      <c r="AB61" s="139"/>
      <c r="AC61" s="33"/>
      <c r="AD61" s="33"/>
      <c r="AE61" s="33"/>
    </row>
    <row r="62" spans="10:31" s="1" customFormat="1" x14ac:dyDescent="0.25">
      <c r="J62" s="159"/>
      <c r="K62" s="150"/>
      <c r="L62" s="160"/>
      <c r="M62" s="152"/>
      <c r="N62" s="39"/>
      <c r="O62" s="40"/>
      <c r="P62" s="40"/>
      <c r="Q62" s="40"/>
      <c r="R62" s="40"/>
      <c r="S62" s="40"/>
      <c r="T62" s="76"/>
      <c r="V62" s="33"/>
      <c r="W62" s="138"/>
      <c r="X62" s="150"/>
      <c r="Y62" s="150"/>
      <c r="Z62" s="139"/>
      <c r="AA62" s="127"/>
      <c r="AB62" s="141"/>
      <c r="AC62" s="33"/>
      <c r="AD62" s="33"/>
      <c r="AE62" s="33"/>
    </row>
    <row r="63" spans="10:31" s="1" customFormat="1" x14ac:dyDescent="0.25">
      <c r="J63" s="161"/>
      <c r="K63" s="150"/>
      <c r="L63" s="160"/>
      <c r="M63" s="139"/>
      <c r="N63" s="39"/>
      <c r="O63" s="40"/>
      <c r="P63" s="40"/>
      <c r="Q63" s="40"/>
      <c r="R63" s="40"/>
      <c r="S63" s="40"/>
      <c r="T63" s="40"/>
      <c r="V63" s="33"/>
      <c r="W63" s="138"/>
      <c r="X63" s="150"/>
      <c r="Y63" s="150"/>
      <c r="Z63" s="139"/>
      <c r="AA63" s="127"/>
      <c r="AB63" s="139"/>
      <c r="AC63" s="33"/>
      <c r="AD63" s="33"/>
      <c r="AE63" s="33"/>
    </row>
    <row r="64" spans="10:31" s="1" customFormat="1" x14ac:dyDescent="0.25">
      <c r="J64" s="161"/>
      <c r="K64" s="150"/>
      <c r="L64" s="160"/>
      <c r="M64" s="139"/>
      <c r="N64" s="39"/>
      <c r="O64" s="40"/>
      <c r="P64" s="40"/>
      <c r="Q64" s="40"/>
      <c r="R64" s="40"/>
      <c r="S64" s="40"/>
      <c r="T64" s="76"/>
      <c r="V64" s="33"/>
      <c r="W64" s="138"/>
      <c r="X64" s="150"/>
      <c r="Y64" s="150"/>
      <c r="Z64" s="139"/>
      <c r="AA64" s="127"/>
      <c r="AB64" s="141"/>
      <c r="AC64" s="33"/>
      <c r="AD64" s="33"/>
      <c r="AE64" s="33"/>
    </row>
    <row r="65" spans="10:31" s="1" customFormat="1" x14ac:dyDescent="0.25">
      <c r="J65" s="159"/>
      <c r="K65" s="150"/>
      <c r="L65" s="160"/>
      <c r="M65" s="139"/>
      <c r="N65" s="39"/>
      <c r="O65" s="40"/>
      <c r="P65" s="76"/>
      <c r="Q65" s="76"/>
      <c r="R65" s="76"/>
      <c r="S65" s="76"/>
      <c r="T65" s="40"/>
      <c r="V65" s="33"/>
      <c r="W65" s="140"/>
      <c r="X65" s="150"/>
      <c r="Y65" s="150"/>
      <c r="Z65" s="139"/>
      <c r="AA65" s="127"/>
      <c r="AB65" s="139"/>
      <c r="AC65" s="33"/>
      <c r="AD65" s="33"/>
      <c r="AE65" s="33"/>
    </row>
    <row r="66" spans="10:31" s="1" customFormat="1" x14ac:dyDescent="0.25">
      <c r="J66" s="159"/>
      <c r="K66" s="150"/>
      <c r="L66" s="160"/>
      <c r="M66" s="139"/>
      <c r="N66" s="39"/>
      <c r="O66" s="76"/>
      <c r="P66" s="40"/>
      <c r="Q66" s="40"/>
      <c r="R66" s="40"/>
      <c r="S66" s="40"/>
      <c r="T66" s="40"/>
      <c r="V66" s="33"/>
      <c r="W66" s="140"/>
      <c r="X66" s="150"/>
      <c r="Y66" s="150"/>
      <c r="Z66" s="139"/>
      <c r="AA66" s="127"/>
      <c r="AB66" s="139"/>
      <c r="AC66" s="33"/>
      <c r="AD66" s="33"/>
      <c r="AE66" s="33"/>
    </row>
    <row r="67" spans="10:31" x14ac:dyDescent="0.25">
      <c r="J67" s="159"/>
      <c r="K67" s="150"/>
      <c r="L67" s="160"/>
      <c r="M67" s="139"/>
      <c r="N67" s="39"/>
      <c r="O67" s="40"/>
      <c r="P67" s="40"/>
      <c r="Q67" s="40"/>
      <c r="R67" s="40"/>
      <c r="S67" s="40"/>
      <c r="T67" s="40"/>
      <c r="V67" s="33"/>
      <c r="W67" s="138"/>
      <c r="X67" s="150"/>
      <c r="Y67" s="150"/>
      <c r="Z67" s="139"/>
      <c r="AA67" s="127"/>
      <c r="AB67" s="139"/>
      <c r="AC67" s="33"/>
      <c r="AD67" s="33"/>
      <c r="AE67" s="33"/>
    </row>
    <row r="68" spans="10:31" x14ac:dyDescent="0.25">
      <c r="J68" s="159"/>
      <c r="K68" s="150"/>
      <c r="L68" s="160"/>
      <c r="M68" s="139"/>
      <c r="N68" s="39"/>
      <c r="O68" s="40"/>
      <c r="P68" s="44"/>
      <c r="Q68" s="44"/>
      <c r="R68" s="44"/>
      <c r="S68" s="44"/>
      <c r="T68" s="40"/>
      <c r="V68" s="33"/>
      <c r="W68" s="138"/>
      <c r="X68" s="150"/>
      <c r="Y68" s="150"/>
      <c r="Z68" s="139"/>
      <c r="AA68" s="127"/>
      <c r="AB68" s="139"/>
      <c r="AC68" s="33"/>
      <c r="AD68" s="33"/>
      <c r="AE68" s="33"/>
    </row>
    <row r="69" spans="10:31" x14ac:dyDescent="0.25">
      <c r="J69" s="163"/>
      <c r="K69" s="164"/>
      <c r="L69" s="164"/>
      <c r="M69" s="155"/>
      <c r="N69" s="39"/>
      <c r="O69" s="44"/>
      <c r="P69" s="44"/>
      <c r="Q69" s="44"/>
      <c r="R69" s="44"/>
      <c r="S69" s="44"/>
      <c r="T69" s="40"/>
      <c r="V69" s="33"/>
      <c r="W69" s="138"/>
      <c r="X69" s="150"/>
      <c r="Y69" s="150"/>
      <c r="Z69" s="139"/>
      <c r="AA69" s="127"/>
      <c r="AB69" s="139"/>
      <c r="AC69" s="33"/>
      <c r="AD69" s="33"/>
      <c r="AE69" s="33"/>
    </row>
    <row r="70" spans="10:31" x14ac:dyDescent="0.25">
      <c r="J70" s="200"/>
      <c r="K70" s="200"/>
      <c r="L70" s="200"/>
      <c r="M70" s="33"/>
      <c r="N70" s="1"/>
      <c r="O70" s="44"/>
      <c r="P70" s="1"/>
      <c r="Q70" s="1"/>
      <c r="R70" s="1"/>
      <c r="T70" s="40"/>
      <c r="V70" s="33"/>
      <c r="W70" s="138"/>
      <c r="X70" s="150"/>
      <c r="Y70" s="150"/>
      <c r="Z70" s="139"/>
      <c r="AA70" s="127"/>
      <c r="AB70" s="139"/>
      <c r="AC70" s="33"/>
      <c r="AD70" s="33"/>
      <c r="AE70" s="33"/>
    </row>
    <row r="71" spans="10:31" x14ac:dyDescent="0.25">
      <c r="J71" s="50"/>
      <c r="K71" s="1"/>
      <c r="L71" s="1"/>
      <c r="M71" s="33"/>
      <c r="N71" s="1"/>
      <c r="O71" s="1"/>
      <c r="P71" s="1"/>
      <c r="Q71" s="1"/>
      <c r="R71" s="1"/>
      <c r="T71" s="40"/>
      <c r="V71" s="33"/>
      <c r="W71" s="138"/>
      <c r="X71" s="150"/>
      <c r="Y71" s="150"/>
      <c r="Z71" s="152"/>
      <c r="AA71" s="127"/>
      <c r="AB71" s="139"/>
      <c r="AC71" s="33"/>
      <c r="AD71" s="33"/>
      <c r="AE71" s="33"/>
    </row>
    <row r="72" spans="10:31" x14ac:dyDescent="0.25">
      <c r="J72" s="165"/>
      <c r="K72" s="1"/>
      <c r="L72" s="1"/>
      <c r="M72" s="33"/>
      <c r="N72" s="1"/>
      <c r="O72" s="1"/>
      <c r="P72" s="1"/>
      <c r="Q72" s="1"/>
      <c r="R72" s="1"/>
      <c r="T72" s="40"/>
      <c r="V72" s="33"/>
      <c r="W72" s="138"/>
      <c r="X72" s="150"/>
      <c r="Y72" s="150"/>
      <c r="Z72" s="152"/>
      <c r="AA72" s="127"/>
      <c r="AB72" s="139"/>
      <c r="AC72" s="33"/>
      <c r="AD72" s="33"/>
      <c r="AE72" s="33"/>
    </row>
    <row r="73" spans="10:31" x14ac:dyDescent="0.25">
      <c r="J73" s="1"/>
      <c r="K73" s="1"/>
      <c r="L73" s="1"/>
      <c r="M73" s="33"/>
      <c r="N73" s="1"/>
      <c r="O73" s="1"/>
      <c r="P73" s="1"/>
      <c r="Q73" s="1"/>
      <c r="R73" s="1"/>
      <c r="T73" s="40"/>
      <c r="V73" s="33"/>
      <c r="W73" s="138"/>
      <c r="X73" s="150"/>
      <c r="Y73" s="150"/>
      <c r="Z73" s="152"/>
      <c r="AA73" s="127"/>
      <c r="AB73" s="139"/>
      <c r="AC73" s="33"/>
      <c r="AD73" s="33"/>
      <c r="AE73" s="33"/>
    </row>
    <row r="74" spans="10:31" x14ac:dyDescent="0.25">
      <c r="J74" s="1"/>
      <c r="K74" s="1"/>
      <c r="L74" s="1"/>
      <c r="M74" s="33"/>
      <c r="N74" s="1"/>
      <c r="O74" s="1"/>
      <c r="P74" s="1"/>
      <c r="Q74" s="1"/>
      <c r="R74" s="1"/>
      <c r="T74" s="40"/>
      <c r="V74" s="33"/>
      <c r="W74" s="138"/>
      <c r="X74" s="150"/>
      <c r="Y74" s="150"/>
      <c r="Z74" s="152"/>
      <c r="AA74" s="127"/>
      <c r="AB74" s="139"/>
      <c r="AC74" s="33"/>
      <c r="AD74" s="33"/>
      <c r="AE74" s="33"/>
    </row>
    <row r="75" spans="10:31" x14ac:dyDescent="0.25">
      <c r="J75" s="1"/>
      <c r="K75" s="1"/>
      <c r="L75" s="1"/>
      <c r="M75" s="33"/>
      <c r="N75" s="1"/>
      <c r="O75" s="1"/>
      <c r="P75" s="1"/>
      <c r="Q75" s="1"/>
      <c r="R75" s="1"/>
      <c r="T75" s="40"/>
      <c r="V75" s="33"/>
      <c r="W75" s="138"/>
      <c r="X75" s="150"/>
      <c r="Y75" s="150"/>
      <c r="Z75" s="152"/>
      <c r="AA75" s="127"/>
      <c r="AB75" s="139"/>
      <c r="AC75" s="33"/>
      <c r="AD75" s="33"/>
      <c r="AE75" s="33"/>
    </row>
    <row r="76" spans="10:31" x14ac:dyDescent="0.25">
      <c r="J76" s="1"/>
      <c r="K76" s="1"/>
      <c r="L76" s="1"/>
      <c r="M76" s="33"/>
      <c r="N76" s="1"/>
      <c r="O76" s="1"/>
      <c r="P76" s="1"/>
      <c r="Q76" s="1"/>
      <c r="R76" s="1"/>
      <c r="T76" s="40"/>
      <c r="V76" s="33"/>
      <c r="W76" s="138"/>
      <c r="X76" s="150"/>
      <c r="Y76" s="150"/>
      <c r="Z76" s="152"/>
      <c r="AA76" s="127"/>
      <c r="AB76" s="139"/>
      <c r="AC76" s="33"/>
      <c r="AD76" s="33"/>
      <c r="AE76" s="33"/>
    </row>
    <row r="77" spans="10:31" x14ac:dyDescent="0.25">
      <c r="T77" s="40"/>
      <c r="V77" s="33"/>
      <c r="W77" s="140"/>
      <c r="X77" s="150"/>
      <c r="Y77" s="150"/>
      <c r="Z77" s="139"/>
      <c r="AA77" s="127"/>
      <c r="AB77" s="139"/>
      <c r="AC77" s="33"/>
      <c r="AD77" s="33"/>
      <c r="AE77" s="33"/>
    </row>
    <row r="78" spans="10:31" x14ac:dyDescent="0.25">
      <c r="T78" s="40"/>
      <c r="V78" s="33"/>
      <c r="W78" s="140"/>
      <c r="X78" s="150"/>
      <c r="Y78" s="150"/>
      <c r="Z78" s="139"/>
      <c r="AA78" s="127"/>
      <c r="AB78" s="139"/>
      <c r="AC78" s="33"/>
      <c r="AD78" s="33"/>
      <c r="AE78" s="33"/>
    </row>
    <row r="79" spans="10:31" x14ac:dyDescent="0.25">
      <c r="T79" s="40"/>
      <c r="V79" s="33"/>
      <c r="W79" s="138"/>
      <c r="X79" s="150"/>
      <c r="Y79" s="150"/>
      <c r="Z79" s="139"/>
      <c r="AA79" s="127"/>
      <c r="AB79" s="139"/>
      <c r="AC79" s="33"/>
      <c r="AD79" s="33"/>
      <c r="AE79" s="33"/>
    </row>
    <row r="80" spans="10:31" x14ac:dyDescent="0.25">
      <c r="T80" s="76"/>
      <c r="V80" s="33"/>
      <c r="W80" s="138"/>
      <c r="X80" s="150"/>
      <c r="Y80" s="150"/>
      <c r="Z80" s="139"/>
      <c r="AA80" s="127"/>
      <c r="AB80" s="141"/>
      <c r="AC80" s="33"/>
      <c r="AD80" s="33"/>
      <c r="AE80" s="33"/>
    </row>
    <row r="81" spans="20:31" x14ac:dyDescent="0.25">
      <c r="T81" s="40"/>
      <c r="V81" s="33"/>
      <c r="W81" s="138"/>
      <c r="X81" s="150"/>
      <c r="Y81" s="150"/>
      <c r="Z81" s="139"/>
      <c r="AA81" s="127"/>
      <c r="AB81" s="139"/>
      <c r="AC81" s="33"/>
      <c r="AD81" s="33"/>
      <c r="AE81" s="33"/>
    </row>
    <row r="82" spans="20:31" x14ac:dyDescent="0.25">
      <c r="T82" s="40"/>
      <c r="V82" s="33"/>
      <c r="W82" s="138"/>
      <c r="X82" s="150"/>
      <c r="Y82" s="150"/>
      <c r="Z82" s="139"/>
      <c r="AA82" s="127"/>
      <c r="AB82" s="139"/>
      <c r="AC82" s="33"/>
      <c r="AD82" s="33"/>
      <c r="AE82" s="33"/>
    </row>
    <row r="83" spans="20:31" x14ac:dyDescent="0.25">
      <c r="T83" s="44"/>
      <c r="U83" s="66"/>
      <c r="V83" s="33"/>
      <c r="W83" s="153"/>
      <c r="X83" s="154"/>
      <c r="Y83" s="154"/>
      <c r="Z83" s="155"/>
      <c r="AA83" s="127"/>
      <c r="AB83" s="143"/>
      <c r="AC83" s="157"/>
      <c r="AD83" s="33"/>
      <c r="AE83" s="33"/>
    </row>
    <row r="84" spans="20:31" ht="15" customHeight="1" x14ac:dyDescent="0.25">
      <c r="T84" s="44"/>
      <c r="V84" s="33"/>
      <c r="W84" s="200"/>
      <c r="X84" s="200"/>
      <c r="Y84" s="200"/>
      <c r="Z84" s="144"/>
      <c r="AA84" s="33"/>
      <c r="AB84" s="143"/>
      <c r="AC84" s="33"/>
      <c r="AD84" s="33"/>
      <c r="AE84" s="33"/>
    </row>
    <row r="85" spans="20:31" ht="15" customHeight="1" x14ac:dyDescent="0.25">
      <c r="V85" s="33"/>
      <c r="W85" s="50"/>
      <c r="X85" s="33"/>
      <c r="Y85" s="33"/>
      <c r="Z85" s="33"/>
      <c r="AA85" s="33"/>
      <c r="AB85" s="33"/>
      <c r="AC85" s="33"/>
      <c r="AD85" s="33"/>
      <c r="AE85" s="33"/>
    </row>
    <row r="86" spans="20:31" x14ac:dyDescent="0.25">
      <c r="V86" s="33"/>
      <c r="W86" s="142"/>
      <c r="X86" s="33"/>
      <c r="Y86" s="33"/>
      <c r="Z86" s="33"/>
      <c r="AA86" s="33"/>
      <c r="AB86" s="33"/>
      <c r="AC86" s="33"/>
      <c r="AD86" s="33"/>
      <c r="AE86" s="33"/>
    </row>
    <row r="87" spans="20:31" x14ac:dyDescent="0.25"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20:31" x14ac:dyDescent="0.25"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20:31" x14ac:dyDescent="0.25"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</sheetData>
  <mergeCells count="6">
    <mergeCell ref="J7:M7"/>
    <mergeCell ref="J70:L70"/>
    <mergeCell ref="W56:AB56"/>
    <mergeCell ref="W84:Y84"/>
    <mergeCell ref="J56:O56"/>
    <mergeCell ref="W49:Y49"/>
  </mergeCells>
  <pageMargins left="0.25" right="0.25" top="0.75" bottom="0.75" header="0.3" footer="0.3"/>
  <pageSetup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T47"/>
  <sheetViews>
    <sheetView zoomScale="90" zoomScaleNormal="90" workbookViewId="0">
      <selection activeCell="P30" sqref="P30"/>
    </sheetView>
  </sheetViews>
  <sheetFormatPr defaultRowHeight="15" x14ac:dyDescent="0.25"/>
  <cols>
    <col min="1" max="1" width="3.28515625" customWidth="1"/>
    <col min="2" max="2" width="24.42578125" customWidth="1"/>
    <col min="3" max="12" width="19.7109375" customWidth="1"/>
    <col min="13" max="14" width="19.7109375" style="56" customWidth="1"/>
    <col min="15" max="16" width="19.7109375" customWidth="1"/>
  </cols>
  <sheetData>
    <row r="4" spans="2:18" x14ac:dyDescent="0.25">
      <c r="B4" s="10" t="s">
        <v>172</v>
      </c>
      <c r="C4" s="203" t="s">
        <v>52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t="s">
        <v>164</v>
      </c>
      <c r="P4" s="56"/>
    </row>
    <row r="5" spans="2:18" x14ac:dyDescent="0.25">
      <c r="C5" t="s">
        <v>53</v>
      </c>
      <c r="E5" s="204" t="s">
        <v>176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2:18" x14ac:dyDescent="0.25">
      <c r="C6" s="9" t="s">
        <v>0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59" t="s">
        <v>10</v>
      </c>
      <c r="N6" s="59" t="s">
        <v>11</v>
      </c>
      <c r="O6" s="51" t="s">
        <v>0</v>
      </c>
      <c r="P6" s="59" t="s">
        <v>1</v>
      </c>
      <c r="Q6" s="51"/>
      <c r="R6" s="55"/>
    </row>
    <row r="7" spans="2:18" x14ac:dyDescent="0.25">
      <c r="P7" s="56"/>
    </row>
    <row r="8" spans="2:18" x14ac:dyDescent="0.25">
      <c r="B8" s="3" t="s">
        <v>29</v>
      </c>
      <c r="C8" s="45">
        <f>'Fac-Page 2'!C16</f>
        <v>17202770.363870002</v>
      </c>
      <c r="D8" s="45">
        <f>'Fac-Page 2'!D16</f>
        <v>14448357.817600001</v>
      </c>
      <c r="E8" s="45">
        <f>'Fac-Page 2'!E16</f>
        <v>13089233.158399999</v>
      </c>
      <c r="F8" s="45">
        <f>'Fac-Page 2'!F16</f>
        <v>11047814.800550001</v>
      </c>
      <c r="G8" s="45">
        <f>'Fac-Page 2'!G16</f>
        <v>10622574.192539999</v>
      </c>
      <c r="H8" s="45">
        <f>'Fac-Page 2'!H16</f>
        <v>13366847.859890001</v>
      </c>
      <c r="I8" s="45">
        <f>'Fac-Page 2'!I16</f>
        <v>15164337.370820001</v>
      </c>
      <c r="J8" s="45">
        <f>'Fac-Page 2'!J16</f>
        <v>16631325.57227</v>
      </c>
      <c r="K8" s="45">
        <f>'Fac-Page 2'!K16</f>
        <v>14140732.66062</v>
      </c>
      <c r="L8" s="45">
        <f>'Fac-Page 2'!L16</f>
        <v>12751556.688200001</v>
      </c>
      <c r="M8" s="45">
        <f>'Fac-Page 2'!M16</f>
        <v>13793355.19853</v>
      </c>
      <c r="N8" s="45">
        <v>16154152</v>
      </c>
      <c r="O8" s="45">
        <v>15471284</v>
      </c>
      <c r="P8" s="45">
        <v>12771984</v>
      </c>
    </row>
    <row r="9" spans="2:18" x14ac:dyDescent="0.25">
      <c r="B9" s="3" t="s">
        <v>55</v>
      </c>
      <c r="C9" s="104">
        <f>'Fac-Page 4'!C20</f>
        <v>665788000</v>
      </c>
      <c r="D9" s="104">
        <f>'Fac-Page 4'!D20</f>
        <v>564781000</v>
      </c>
      <c r="E9" s="104">
        <f>'Fac-Page 4'!E20</f>
        <v>483533000</v>
      </c>
      <c r="F9" s="104">
        <f>'Fac-Page 4'!F20</f>
        <v>438583000</v>
      </c>
      <c r="G9" s="104">
        <f>'Fac-Page 4'!G20</f>
        <v>441473000</v>
      </c>
      <c r="H9" s="104">
        <f>'Fac-Page 4'!H20</f>
        <v>473438000</v>
      </c>
      <c r="I9" s="104">
        <f>'Fac-Page 4'!I20</f>
        <v>508874000</v>
      </c>
      <c r="J9" s="104">
        <f>'Fac-Page 4'!J20</f>
        <v>540609000</v>
      </c>
      <c r="K9" s="104">
        <f>'Fac-Page 4'!K20</f>
        <v>456943000</v>
      </c>
      <c r="L9" s="104">
        <f>'Fac-Page 4'!L20</f>
        <v>415353000</v>
      </c>
      <c r="M9" s="104">
        <f>'Fac-Page 4'!M20</f>
        <v>465829000</v>
      </c>
      <c r="N9" s="104">
        <f>'Fac-Page 4'!N20</f>
        <v>571200000</v>
      </c>
      <c r="O9" s="104">
        <f>'Fac-Page 4'!O20</f>
        <v>548930000</v>
      </c>
      <c r="P9" s="104">
        <f>'Fac-Page 4'!P20</f>
        <v>461262000</v>
      </c>
    </row>
    <row r="10" spans="2:18" x14ac:dyDescent="0.25">
      <c r="B10" s="3" t="s">
        <v>35</v>
      </c>
      <c r="C10" s="67">
        <f>ROUND(C8/C9,5)</f>
        <v>2.5839999999999998E-2</v>
      </c>
      <c r="D10" s="67">
        <f t="shared" ref="D10:P10" si="0">ROUND(D8/D9,5)</f>
        <v>2.5579999999999999E-2</v>
      </c>
      <c r="E10" s="67">
        <f t="shared" si="0"/>
        <v>2.707E-2</v>
      </c>
      <c r="F10" s="67">
        <f t="shared" si="0"/>
        <v>2.5190000000000001E-2</v>
      </c>
      <c r="G10" s="67">
        <f t="shared" si="0"/>
        <v>2.4060000000000002E-2</v>
      </c>
      <c r="H10" s="67">
        <f t="shared" si="0"/>
        <v>2.8230000000000002E-2</v>
      </c>
      <c r="I10" s="67">
        <f t="shared" si="0"/>
        <v>2.98E-2</v>
      </c>
      <c r="J10" s="67">
        <f t="shared" si="0"/>
        <v>3.0759999999999999E-2</v>
      </c>
      <c r="K10" s="67">
        <f t="shared" si="0"/>
        <v>3.0949999999999998E-2</v>
      </c>
      <c r="L10" s="67">
        <f t="shared" si="0"/>
        <v>3.0700000000000002E-2</v>
      </c>
      <c r="M10" s="67">
        <f t="shared" si="0"/>
        <v>2.9610000000000001E-2</v>
      </c>
      <c r="N10" s="67">
        <f t="shared" si="0"/>
        <v>2.828E-2</v>
      </c>
      <c r="O10" s="67">
        <f t="shared" si="0"/>
        <v>2.818E-2</v>
      </c>
      <c r="P10" s="67">
        <f t="shared" si="0"/>
        <v>2.7689999999999999E-2</v>
      </c>
    </row>
    <row r="11" spans="2:18" x14ac:dyDescent="0.25">
      <c r="B11" s="3"/>
      <c r="C11" s="56"/>
      <c r="D11" s="56"/>
      <c r="E11" s="56"/>
      <c r="F11" s="56"/>
      <c r="G11" s="56"/>
      <c r="H11" s="56"/>
      <c r="I11" s="56"/>
      <c r="J11" s="56"/>
      <c r="K11" s="56"/>
      <c r="L11" s="56"/>
      <c r="P11" s="56"/>
    </row>
    <row r="12" spans="2:18" x14ac:dyDescent="0.25">
      <c r="B12" s="3" t="s">
        <v>32</v>
      </c>
      <c r="C12" s="45">
        <v>12504307</v>
      </c>
      <c r="D12" s="45">
        <v>12504307</v>
      </c>
      <c r="E12" s="45">
        <v>12504307</v>
      </c>
      <c r="F12" s="45">
        <v>12504307</v>
      </c>
      <c r="G12" s="45">
        <v>12504307</v>
      </c>
      <c r="H12" s="45">
        <v>12504307</v>
      </c>
      <c r="I12" s="45">
        <v>12504307</v>
      </c>
      <c r="J12" s="45">
        <v>12504307</v>
      </c>
      <c r="K12" s="45">
        <v>12504307</v>
      </c>
      <c r="L12" s="45">
        <v>12504307</v>
      </c>
      <c r="M12" s="45">
        <v>12504307</v>
      </c>
      <c r="N12" s="45">
        <v>12504307</v>
      </c>
      <c r="O12" s="45">
        <v>12504307</v>
      </c>
      <c r="P12" s="45">
        <v>12504307</v>
      </c>
    </row>
    <row r="13" spans="2:18" x14ac:dyDescent="0.25">
      <c r="B13" s="3" t="s">
        <v>33</v>
      </c>
      <c r="C13" s="45">
        <v>458919000</v>
      </c>
      <c r="D13" s="45">
        <v>458919000</v>
      </c>
      <c r="E13" s="45">
        <v>458919000</v>
      </c>
      <c r="F13" s="45">
        <v>458919000</v>
      </c>
      <c r="G13" s="45">
        <v>458919000</v>
      </c>
      <c r="H13" s="45">
        <v>458919000</v>
      </c>
      <c r="I13" s="45">
        <v>458919000</v>
      </c>
      <c r="J13" s="45">
        <v>458919000</v>
      </c>
      <c r="K13" s="45">
        <v>458919000</v>
      </c>
      <c r="L13" s="45">
        <v>458919000</v>
      </c>
      <c r="M13" s="45">
        <v>458919000</v>
      </c>
      <c r="N13" s="45">
        <v>458919000</v>
      </c>
      <c r="O13" s="45">
        <v>458919000</v>
      </c>
      <c r="P13" s="45">
        <v>458919000</v>
      </c>
    </row>
    <row r="14" spans="2:18" x14ac:dyDescent="0.25">
      <c r="B14" s="3" t="s">
        <v>34</v>
      </c>
      <c r="C14" s="60">
        <v>2.7247307259015207E-2</v>
      </c>
      <c r="D14" s="60">
        <v>2.7247307259015207E-2</v>
      </c>
      <c r="E14" s="60">
        <v>2.7247307259015207E-2</v>
      </c>
      <c r="F14" s="60">
        <v>2.7247307259015207E-2</v>
      </c>
      <c r="G14" s="60">
        <v>2.7247307259015207E-2</v>
      </c>
      <c r="H14" s="60">
        <v>2.7247307259015207E-2</v>
      </c>
      <c r="I14" s="60">
        <v>2.7247307259015207E-2</v>
      </c>
      <c r="J14" s="60">
        <v>2.7247307259015207E-2</v>
      </c>
      <c r="K14" s="60">
        <v>2.7247307259015207E-2</v>
      </c>
      <c r="L14" s="60">
        <v>2.7247307259015207E-2</v>
      </c>
      <c r="M14" s="60">
        <v>2.7247307259015207E-2</v>
      </c>
      <c r="N14" s="60">
        <v>2.7247307259015207E-2</v>
      </c>
      <c r="O14" s="64">
        <v>2.7247307259015207E-2</v>
      </c>
      <c r="P14" s="64">
        <v>2.7247307259015207E-2</v>
      </c>
    </row>
    <row r="15" spans="2:18" x14ac:dyDescent="0.25">
      <c r="B15" s="3"/>
      <c r="P15" s="56"/>
    </row>
    <row r="16" spans="2:18" s="3" customFormat="1" x14ac:dyDescent="0.25">
      <c r="B16" s="3" t="s">
        <v>36</v>
      </c>
      <c r="C16" s="105">
        <f>ROUND(C10-C14,5)</f>
        <v>-1.41E-3</v>
      </c>
      <c r="D16" s="105">
        <f t="shared" ref="D16:P16" si="1">ROUND(D10-D14,5)</f>
        <v>-1.67E-3</v>
      </c>
      <c r="E16" s="105">
        <f t="shared" si="1"/>
        <v>-1.8000000000000001E-4</v>
      </c>
      <c r="F16" s="105">
        <f t="shared" si="1"/>
        <v>-2.0600000000000002E-3</v>
      </c>
      <c r="G16" s="105">
        <f t="shared" si="1"/>
        <v>-3.1900000000000001E-3</v>
      </c>
      <c r="H16" s="105">
        <f t="shared" si="1"/>
        <v>9.7999999999999997E-4</v>
      </c>
      <c r="I16" s="105">
        <f t="shared" si="1"/>
        <v>2.5500000000000002E-3</v>
      </c>
      <c r="J16" s="105">
        <f t="shared" si="1"/>
        <v>3.5100000000000001E-3</v>
      </c>
      <c r="K16" s="105">
        <f t="shared" si="1"/>
        <v>3.7000000000000002E-3</v>
      </c>
      <c r="L16" s="105">
        <f t="shared" si="1"/>
        <v>3.4499999999999999E-3</v>
      </c>
      <c r="M16" s="105">
        <f t="shared" si="1"/>
        <v>2.3600000000000001E-3</v>
      </c>
      <c r="N16" s="105">
        <f t="shared" si="1"/>
        <v>1.0300000000000001E-3</v>
      </c>
      <c r="O16" s="106">
        <f t="shared" si="1"/>
        <v>9.3000000000000005E-4</v>
      </c>
      <c r="P16" s="106">
        <f t="shared" si="1"/>
        <v>4.4000000000000002E-4</v>
      </c>
    </row>
    <row r="17" spans="2:20" s="3" customFormat="1" x14ac:dyDescent="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61"/>
      <c r="N17" s="61"/>
      <c r="P17" s="27"/>
    </row>
    <row r="18" spans="2:20" x14ac:dyDescent="0.25">
      <c r="C18" s="8" t="str">
        <f t="shared" ref="C18:P18" si="2">"Billed in "&amp; E6</f>
        <v>Billed in March</v>
      </c>
      <c r="D18" s="8" t="str">
        <f t="shared" si="2"/>
        <v>Billed in April</v>
      </c>
      <c r="E18" s="8" t="str">
        <f t="shared" si="2"/>
        <v>Billed in May</v>
      </c>
      <c r="F18" s="8" t="str">
        <f t="shared" si="2"/>
        <v>Billed in June</v>
      </c>
      <c r="G18" s="8" t="str">
        <f t="shared" si="2"/>
        <v>Billed in July</v>
      </c>
      <c r="H18" s="8" t="str">
        <f t="shared" si="2"/>
        <v>Billed in August</v>
      </c>
      <c r="I18" s="8" t="str">
        <f t="shared" si="2"/>
        <v>Billed in September</v>
      </c>
      <c r="J18" s="8" t="str">
        <f t="shared" si="2"/>
        <v>Billed in October</v>
      </c>
      <c r="K18" s="8" t="str">
        <f t="shared" si="2"/>
        <v>Billed in November</v>
      </c>
      <c r="L18" s="8" t="str">
        <f t="shared" si="2"/>
        <v>Billed in December</v>
      </c>
      <c r="M18" s="62" t="str">
        <f t="shared" si="2"/>
        <v>Billed in January</v>
      </c>
      <c r="N18" s="62" t="str">
        <f t="shared" si="2"/>
        <v>Billed in February</v>
      </c>
      <c r="O18" s="28" t="str">
        <f t="shared" si="2"/>
        <v xml:space="preserve">Billed in </v>
      </c>
      <c r="P18" s="62" t="str">
        <f t="shared" si="2"/>
        <v xml:space="preserve">Billed in </v>
      </c>
    </row>
    <row r="19" spans="2:20" x14ac:dyDescent="0.2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62"/>
      <c r="N19" s="62"/>
      <c r="O19" s="28"/>
      <c r="P19" s="62"/>
    </row>
    <row r="20" spans="2:20" x14ac:dyDescent="0.25">
      <c r="C20" s="94">
        <f>C16*'Fac-Page 4'!C22</f>
        <v>-925403.42385000002</v>
      </c>
      <c r="D20" s="94">
        <f>D16*'Fac-Page 4'!D22</f>
        <v>-929799.38199000002</v>
      </c>
      <c r="E20" s="94">
        <f>E16*'Fac-Page 4'!E22</f>
        <v>-85832.261640000012</v>
      </c>
      <c r="F20" s="94">
        <f>F16*'Fac-Page 4'!F22</f>
        <v>-891296.87104000011</v>
      </c>
      <c r="G20" s="94">
        <f>G16*'Fac-Page 4'!G22</f>
        <v>-1389317.9776300001</v>
      </c>
      <c r="H20" s="94">
        <f>H16*'Fac-Page 4'!H22</f>
        <v>457377.98540000001</v>
      </c>
      <c r="I20" s="94">
        <f>I16*'Fac-Page 4'!I22</f>
        <v>1278118.7877</v>
      </c>
      <c r="J20" s="94">
        <f>J16*'Fac-Page 4'!J22</f>
        <v>1869476.9897700001</v>
      </c>
      <c r="K20" s="94">
        <f>K16*'Fac-Page 4'!K22</f>
        <v>1666707.5611</v>
      </c>
      <c r="L20" s="94">
        <f>L16*'Fac-Page 4'!L22</f>
        <v>1414020.5120999999</v>
      </c>
      <c r="M20" s="94">
        <f>M16*'Fac-Page 4'!M22</f>
        <v>1084293.94768</v>
      </c>
      <c r="N20" s="94">
        <f>N16*'Fac-Page 4'!N22</f>
        <v>579994.25454000011</v>
      </c>
      <c r="O20" s="94">
        <f>O16*'Fac-Page 4'!O22</f>
        <v>503185.88277000003</v>
      </c>
      <c r="P20" s="94">
        <f>P16*'Fac-Page 4'!P22</f>
        <v>200123.86680000002</v>
      </c>
    </row>
    <row r="21" spans="2:20" x14ac:dyDescent="0.2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62"/>
      <c r="N21" s="62"/>
      <c r="O21" s="28"/>
      <c r="P21" s="62"/>
    </row>
    <row r="22" spans="2:20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20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20" x14ac:dyDescent="0.25">
      <c r="B24" s="203" t="s">
        <v>158</v>
      </c>
      <c r="C24" s="203"/>
      <c r="D24" s="203"/>
      <c r="P24" s="56"/>
    </row>
    <row r="25" spans="2:20" x14ac:dyDescent="0.25">
      <c r="P25" s="56"/>
    </row>
    <row r="26" spans="2:20" x14ac:dyDescent="0.25">
      <c r="C26" s="9" t="s">
        <v>0</v>
      </c>
      <c r="D26" s="9" t="s">
        <v>1</v>
      </c>
      <c r="E26" s="9" t="s">
        <v>2</v>
      </c>
      <c r="F26" s="9" t="s">
        <v>3</v>
      </c>
      <c r="G26" s="9" t="s">
        <v>4</v>
      </c>
      <c r="H26" s="9" t="s">
        <v>5</v>
      </c>
      <c r="I26" s="9" t="s">
        <v>6</v>
      </c>
      <c r="J26" s="9" t="s">
        <v>7</v>
      </c>
      <c r="K26" s="9" t="s">
        <v>8</v>
      </c>
      <c r="L26" s="9" t="s">
        <v>9</v>
      </c>
      <c r="M26" s="59" t="s">
        <v>10</v>
      </c>
      <c r="N26" s="59" t="s">
        <v>11</v>
      </c>
      <c r="O26" s="57" t="s">
        <v>0</v>
      </c>
      <c r="P26" s="59" t="s">
        <v>1</v>
      </c>
    </row>
    <row r="27" spans="2:20" x14ac:dyDescent="0.25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20" x14ac:dyDescent="0.25">
      <c r="B28" s="3" t="s">
        <v>29</v>
      </c>
      <c r="C28" s="45">
        <f>'Fac-Page 2'!C38</f>
        <v>16894757.989999998</v>
      </c>
      <c r="D28" s="45">
        <f>'Fac-Page 2'!D38</f>
        <v>14241192.609999999</v>
      </c>
      <c r="E28" s="45">
        <f>'Fac-Page 2'!E38</f>
        <v>13281060.9</v>
      </c>
      <c r="F28" s="45">
        <f>'Fac-Page 2'!F38</f>
        <v>10954900.23</v>
      </c>
      <c r="G28" s="45">
        <f>'Fac-Page 2'!G38</f>
        <v>10603772.35</v>
      </c>
      <c r="H28" s="45">
        <f>'Fac-Page 2'!H38</f>
        <v>13468876.109999999</v>
      </c>
      <c r="I28" s="45">
        <f>'Fac-Page 2'!I38</f>
        <v>15312314.460000001</v>
      </c>
      <c r="J28" s="45">
        <f>'Fac-Page 2'!J38</f>
        <v>16559265.630000001</v>
      </c>
      <c r="K28" s="45">
        <f>'Fac-Page 2'!K38</f>
        <v>14199033.09</v>
      </c>
      <c r="L28" s="45">
        <f>'Fac-Page 2'!L38</f>
        <v>12894718.83</v>
      </c>
      <c r="M28" s="45">
        <f>'Fac-Page 2'!M38</f>
        <v>13871809.5</v>
      </c>
      <c r="N28" s="45">
        <f>'Fac-Page 2'!N38</f>
        <v>16238570.66</v>
      </c>
      <c r="O28" s="45">
        <f>'Fac-Page 2'!O38</f>
        <v>15378994.880000001</v>
      </c>
      <c r="P28" s="45">
        <f>'Fac-Page 2'!P38</f>
        <v>12627372.82</v>
      </c>
      <c r="T28" s="56"/>
    </row>
    <row r="29" spans="2:20" x14ac:dyDescent="0.25">
      <c r="B29" s="3" t="s">
        <v>30</v>
      </c>
      <c r="C29" s="104">
        <v>665788000</v>
      </c>
      <c r="D29" s="104">
        <v>564781000</v>
      </c>
      <c r="E29" s="104">
        <v>483533000</v>
      </c>
      <c r="F29" s="104">
        <v>438583000</v>
      </c>
      <c r="G29" s="104">
        <v>441473000</v>
      </c>
      <c r="H29" s="104">
        <v>473438000</v>
      </c>
      <c r="I29" s="104">
        <v>508874000</v>
      </c>
      <c r="J29" s="104">
        <v>540609000</v>
      </c>
      <c r="K29" s="104">
        <v>456943000</v>
      </c>
      <c r="L29" s="104">
        <v>415353000</v>
      </c>
      <c r="M29" s="104">
        <v>465829000</v>
      </c>
      <c r="N29" s="104">
        <v>571200000</v>
      </c>
      <c r="O29" s="104">
        <v>548930000</v>
      </c>
      <c r="P29" s="104">
        <v>461262000</v>
      </c>
    </row>
    <row r="30" spans="2:20" x14ac:dyDescent="0.25">
      <c r="B30" s="3" t="s">
        <v>35</v>
      </c>
      <c r="C30" s="67">
        <f t="shared" ref="C30:P30" si="3">ROUND(C28/C29,5)</f>
        <v>2.538E-2</v>
      </c>
      <c r="D30" s="67">
        <f t="shared" si="3"/>
        <v>2.5219999999999999E-2</v>
      </c>
      <c r="E30" s="67">
        <f>ROUND(E28/E29,5)</f>
        <v>2.7470000000000001E-2</v>
      </c>
      <c r="F30" s="67">
        <f t="shared" si="3"/>
        <v>2.4979999999999999E-2</v>
      </c>
      <c r="G30" s="67">
        <f t="shared" si="3"/>
        <v>2.402E-2</v>
      </c>
      <c r="H30" s="67">
        <f t="shared" si="3"/>
        <v>2.845E-2</v>
      </c>
      <c r="I30" s="67">
        <f t="shared" si="3"/>
        <v>3.0089999999999999E-2</v>
      </c>
      <c r="J30" s="67">
        <f t="shared" si="3"/>
        <v>3.0630000000000001E-2</v>
      </c>
      <c r="K30" s="67">
        <f t="shared" si="3"/>
        <v>3.107E-2</v>
      </c>
      <c r="L30" s="67">
        <f t="shared" si="3"/>
        <v>3.1050000000000001E-2</v>
      </c>
      <c r="M30" s="67">
        <f t="shared" si="3"/>
        <v>2.9780000000000001E-2</v>
      </c>
      <c r="N30" s="67">
        <f t="shared" si="3"/>
        <v>2.843E-2</v>
      </c>
      <c r="O30" s="67">
        <f t="shared" si="3"/>
        <v>2.802E-2</v>
      </c>
      <c r="P30" s="67">
        <f t="shared" si="3"/>
        <v>2.7380000000000002E-2</v>
      </c>
    </row>
    <row r="31" spans="2:20" x14ac:dyDescent="0.25">
      <c r="B31" s="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20" x14ac:dyDescent="0.25">
      <c r="B32" s="3" t="s">
        <v>32</v>
      </c>
      <c r="C32" s="104">
        <v>12504307</v>
      </c>
      <c r="D32" s="104">
        <v>12504307</v>
      </c>
      <c r="E32" s="104">
        <v>12504307</v>
      </c>
      <c r="F32" s="104">
        <v>12504307</v>
      </c>
      <c r="G32" s="104">
        <v>12504307</v>
      </c>
      <c r="H32" s="104">
        <v>12504307</v>
      </c>
      <c r="I32" s="104">
        <v>12504307</v>
      </c>
      <c r="J32" s="104">
        <v>12504307</v>
      </c>
      <c r="K32" s="104">
        <v>12504307</v>
      </c>
      <c r="L32" s="104">
        <v>12504307</v>
      </c>
      <c r="M32" s="104">
        <v>12504307</v>
      </c>
      <c r="N32" s="104">
        <v>12504307</v>
      </c>
      <c r="O32" s="104">
        <v>12504307</v>
      </c>
      <c r="P32" s="104">
        <v>12504307</v>
      </c>
    </row>
    <row r="33" spans="2:16" x14ac:dyDescent="0.25">
      <c r="B33" s="3" t="s">
        <v>33</v>
      </c>
      <c r="C33" s="104">
        <v>458919000</v>
      </c>
      <c r="D33" s="104">
        <v>458919000</v>
      </c>
      <c r="E33" s="104">
        <v>458919000</v>
      </c>
      <c r="F33" s="104">
        <v>458919000</v>
      </c>
      <c r="G33" s="104">
        <v>458919000</v>
      </c>
      <c r="H33" s="104">
        <v>458919000</v>
      </c>
      <c r="I33" s="104">
        <v>458919000</v>
      </c>
      <c r="J33" s="104">
        <v>458919000</v>
      </c>
      <c r="K33" s="104">
        <v>458919000</v>
      </c>
      <c r="L33" s="104">
        <v>458919000</v>
      </c>
      <c r="M33" s="104">
        <v>458919000</v>
      </c>
      <c r="N33" s="104">
        <v>458919000</v>
      </c>
      <c r="O33" s="104">
        <v>458919000</v>
      </c>
      <c r="P33" s="104">
        <v>458919000</v>
      </c>
    </row>
    <row r="34" spans="2:16" x14ac:dyDescent="0.25">
      <c r="B34" s="3" t="s">
        <v>34</v>
      </c>
      <c r="C34" s="60">
        <f t="shared" ref="C34:N34" si="4">C32/C33</f>
        <v>2.7247307259015207E-2</v>
      </c>
      <c r="D34" s="60">
        <f t="shared" si="4"/>
        <v>2.7247307259015207E-2</v>
      </c>
      <c r="E34" s="60">
        <f t="shared" si="4"/>
        <v>2.7247307259015207E-2</v>
      </c>
      <c r="F34" s="60">
        <f t="shared" si="4"/>
        <v>2.7247307259015207E-2</v>
      </c>
      <c r="G34" s="60">
        <f t="shared" si="4"/>
        <v>2.7247307259015207E-2</v>
      </c>
      <c r="H34" s="60">
        <f t="shared" si="4"/>
        <v>2.7247307259015207E-2</v>
      </c>
      <c r="I34" s="60">
        <f t="shared" si="4"/>
        <v>2.7247307259015207E-2</v>
      </c>
      <c r="J34" s="60">
        <f t="shared" si="4"/>
        <v>2.7247307259015207E-2</v>
      </c>
      <c r="K34" s="60">
        <f t="shared" si="4"/>
        <v>2.7247307259015207E-2</v>
      </c>
      <c r="L34" s="60">
        <f t="shared" si="4"/>
        <v>2.7247307259015207E-2</v>
      </c>
      <c r="M34" s="60">
        <f t="shared" si="4"/>
        <v>2.7247307259015207E-2</v>
      </c>
      <c r="N34" s="60">
        <f t="shared" si="4"/>
        <v>2.7247307259015207E-2</v>
      </c>
      <c r="O34" s="68">
        <v>2.7247307259015207E-2</v>
      </c>
      <c r="P34" s="68">
        <v>2.7247307259015207E-2</v>
      </c>
    </row>
    <row r="35" spans="2:16" x14ac:dyDescent="0.25">
      <c r="B35" s="3"/>
      <c r="P35" s="56"/>
    </row>
    <row r="36" spans="2:16" x14ac:dyDescent="0.25">
      <c r="B36" s="30" t="s">
        <v>36</v>
      </c>
      <c r="C36" s="105">
        <f t="shared" ref="C36:E36" si="5">ROUND(C30-C34,5)</f>
        <v>-1.8699999999999999E-3</v>
      </c>
      <c r="D36" s="105">
        <f t="shared" si="5"/>
        <v>-2.0300000000000001E-3</v>
      </c>
      <c r="E36" s="105">
        <f t="shared" si="5"/>
        <v>2.2000000000000001E-4</v>
      </c>
      <c r="F36" s="105">
        <f t="shared" ref="F36:P36" si="6">ROUND(F30-F34,5)</f>
        <v>-2.2699999999999999E-3</v>
      </c>
      <c r="G36" s="105">
        <f t="shared" si="6"/>
        <v>-3.2299999999999998E-3</v>
      </c>
      <c r="H36" s="105">
        <f t="shared" si="6"/>
        <v>1.1999999999999999E-3</v>
      </c>
      <c r="I36" s="105">
        <f t="shared" si="6"/>
        <v>2.8400000000000001E-3</v>
      </c>
      <c r="J36" s="105">
        <f t="shared" si="6"/>
        <v>3.3800000000000002E-3</v>
      </c>
      <c r="K36" s="105">
        <f t="shared" si="6"/>
        <v>3.82E-3</v>
      </c>
      <c r="L36" s="105">
        <f t="shared" si="6"/>
        <v>3.8E-3</v>
      </c>
      <c r="M36" s="105">
        <f t="shared" si="6"/>
        <v>2.5300000000000001E-3</v>
      </c>
      <c r="N36" s="105">
        <f t="shared" si="6"/>
        <v>1.1800000000000001E-3</v>
      </c>
      <c r="O36" s="100">
        <f t="shared" si="6"/>
        <v>7.6999999999999996E-4</v>
      </c>
      <c r="P36" s="100">
        <f t="shared" si="6"/>
        <v>1.2999999999999999E-4</v>
      </c>
    </row>
    <row r="37" spans="2:16" x14ac:dyDescent="0.25">
      <c r="B37" s="96"/>
    </row>
    <row r="39" spans="2:16" x14ac:dyDescent="0.25">
      <c r="B39" s="3" t="s">
        <v>29</v>
      </c>
      <c r="C39" s="45">
        <f>'Fac-Page 2'!C54</f>
        <v>0</v>
      </c>
      <c r="D39" s="45">
        <f>'Fac-Page 2'!D54</f>
        <v>0</v>
      </c>
      <c r="E39" s="45">
        <f>'Fac-Page 2'!E54</f>
        <v>0</v>
      </c>
      <c r="F39" s="45">
        <f>'Fac-Page 2'!F54</f>
        <v>0</v>
      </c>
      <c r="G39" s="45">
        <f>'Fac-Page 2'!G54</f>
        <v>0</v>
      </c>
      <c r="H39" s="45">
        <f>'Fac-Page 2'!H54</f>
        <v>0</v>
      </c>
      <c r="I39" s="45">
        <f>'Fac-Page 2'!I54</f>
        <v>0</v>
      </c>
      <c r="J39" s="45">
        <f>'Fac-Page 2'!J54</f>
        <v>0</v>
      </c>
      <c r="K39" s="45">
        <f>'Fac-Page 2'!K54</f>
        <v>0</v>
      </c>
      <c r="L39" s="45">
        <f>'Fac-Page 2'!L54</f>
        <v>0</v>
      </c>
      <c r="M39" s="45">
        <f>'Fac-Page 2'!M54</f>
        <v>0</v>
      </c>
      <c r="N39" s="45">
        <f>'Fac-Page 2'!N54</f>
        <v>0</v>
      </c>
      <c r="O39" s="45">
        <f>'Fac-Page 2'!O54</f>
        <v>0</v>
      </c>
      <c r="P39" s="45">
        <f>'Fac-Page 2'!P54</f>
        <v>0</v>
      </c>
    </row>
    <row r="40" spans="2:16" x14ac:dyDescent="0.25">
      <c r="B40" s="3" t="s">
        <v>30</v>
      </c>
      <c r="C40" s="104">
        <v>665788000</v>
      </c>
      <c r="D40" s="104">
        <v>564781000</v>
      </c>
      <c r="E40" s="104">
        <v>483533000</v>
      </c>
      <c r="F40" s="104">
        <v>438583000</v>
      </c>
      <c r="G40" s="104">
        <v>441473000</v>
      </c>
      <c r="H40" s="104">
        <v>473438000</v>
      </c>
      <c r="I40" s="104">
        <v>508874000</v>
      </c>
      <c r="J40" s="104">
        <v>540609000</v>
      </c>
      <c r="K40" s="104">
        <v>456943000</v>
      </c>
      <c r="L40" s="104">
        <v>415353000</v>
      </c>
      <c r="M40" s="104">
        <v>465829000</v>
      </c>
      <c r="N40" s="104">
        <v>571200000</v>
      </c>
      <c r="O40" s="104">
        <v>548930000</v>
      </c>
      <c r="P40" s="104">
        <v>461262000</v>
      </c>
    </row>
    <row r="41" spans="2:16" x14ac:dyDescent="0.25">
      <c r="B41" s="3" t="s">
        <v>35</v>
      </c>
      <c r="C41" s="56">
        <f t="shared" ref="C41:D41" si="7">ROUND(C39/C40,5)</f>
        <v>0</v>
      </c>
      <c r="D41" s="56">
        <f t="shared" si="7"/>
        <v>0</v>
      </c>
      <c r="E41" s="56">
        <f>ROUND(E39/E40,5)</f>
        <v>0</v>
      </c>
      <c r="F41" s="56">
        <f t="shared" ref="F41:P41" si="8">ROUND(F39/F40,5)</f>
        <v>0</v>
      </c>
      <c r="G41" s="56">
        <f t="shared" si="8"/>
        <v>0</v>
      </c>
      <c r="H41" s="56">
        <f t="shared" si="8"/>
        <v>0</v>
      </c>
      <c r="I41" s="56">
        <f t="shared" si="8"/>
        <v>0</v>
      </c>
      <c r="J41" s="56">
        <f t="shared" si="8"/>
        <v>0</v>
      </c>
      <c r="K41" s="56">
        <f t="shared" si="8"/>
        <v>0</v>
      </c>
      <c r="L41" s="56">
        <f t="shared" si="8"/>
        <v>0</v>
      </c>
      <c r="M41" s="56">
        <f t="shared" si="8"/>
        <v>0</v>
      </c>
      <c r="N41" s="56">
        <f t="shared" si="8"/>
        <v>0</v>
      </c>
      <c r="O41" s="56">
        <f t="shared" si="8"/>
        <v>0</v>
      </c>
      <c r="P41" s="56">
        <f t="shared" si="8"/>
        <v>0</v>
      </c>
    </row>
    <row r="42" spans="2:16" x14ac:dyDescent="0.25">
      <c r="B42" s="3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 x14ac:dyDescent="0.25">
      <c r="B43" s="3" t="s">
        <v>32</v>
      </c>
      <c r="C43" s="104">
        <v>12504307</v>
      </c>
      <c r="D43" s="104">
        <v>12504307</v>
      </c>
      <c r="E43" s="104">
        <v>12504307</v>
      </c>
      <c r="F43" s="104">
        <v>12504307</v>
      </c>
      <c r="G43" s="104">
        <v>12504307</v>
      </c>
      <c r="H43" s="104">
        <v>12504307</v>
      </c>
      <c r="I43" s="104">
        <v>12504307</v>
      </c>
      <c r="J43" s="104">
        <v>12504307</v>
      </c>
      <c r="K43" s="104">
        <v>12504307</v>
      </c>
      <c r="L43" s="104">
        <v>12504307</v>
      </c>
      <c r="M43" s="104">
        <v>12504307</v>
      </c>
      <c r="N43" s="104">
        <v>12504307</v>
      </c>
      <c r="O43" s="104">
        <v>12504307</v>
      </c>
      <c r="P43" s="104">
        <v>12504307</v>
      </c>
    </row>
    <row r="44" spans="2:16" x14ac:dyDescent="0.25">
      <c r="B44" s="3" t="s">
        <v>33</v>
      </c>
      <c r="C44" s="104">
        <v>458919000</v>
      </c>
      <c r="D44" s="104">
        <v>458919000</v>
      </c>
      <c r="E44" s="104">
        <v>458919000</v>
      </c>
      <c r="F44" s="104">
        <v>458919000</v>
      </c>
      <c r="G44" s="104">
        <v>458919000</v>
      </c>
      <c r="H44" s="104">
        <v>458919000</v>
      </c>
      <c r="I44" s="104">
        <v>458919000</v>
      </c>
      <c r="J44" s="104">
        <v>458919000</v>
      </c>
      <c r="K44" s="104">
        <v>458919000</v>
      </c>
      <c r="L44" s="104">
        <v>458919000</v>
      </c>
      <c r="M44" s="104">
        <v>458919000</v>
      </c>
      <c r="N44" s="104">
        <v>458919000</v>
      </c>
      <c r="O44" s="104">
        <v>458919000</v>
      </c>
      <c r="P44" s="104">
        <v>458919000</v>
      </c>
    </row>
    <row r="45" spans="2:16" x14ac:dyDescent="0.25">
      <c r="B45" s="3" t="s">
        <v>34</v>
      </c>
      <c r="C45" s="60">
        <f t="shared" ref="C45:N45" si="9">C43/C44</f>
        <v>2.7247307259015207E-2</v>
      </c>
      <c r="D45" s="60">
        <f t="shared" si="9"/>
        <v>2.7247307259015207E-2</v>
      </c>
      <c r="E45" s="60">
        <f t="shared" si="9"/>
        <v>2.7247307259015207E-2</v>
      </c>
      <c r="F45" s="60">
        <f t="shared" si="9"/>
        <v>2.7247307259015207E-2</v>
      </c>
      <c r="G45" s="60">
        <f t="shared" si="9"/>
        <v>2.7247307259015207E-2</v>
      </c>
      <c r="H45" s="60">
        <f t="shared" si="9"/>
        <v>2.7247307259015207E-2</v>
      </c>
      <c r="I45" s="60">
        <f t="shared" si="9"/>
        <v>2.7247307259015207E-2</v>
      </c>
      <c r="J45" s="60">
        <f t="shared" si="9"/>
        <v>2.7247307259015207E-2</v>
      </c>
      <c r="K45" s="60">
        <f t="shared" si="9"/>
        <v>2.7247307259015207E-2</v>
      </c>
      <c r="L45" s="60">
        <f t="shared" si="9"/>
        <v>2.7247307259015207E-2</v>
      </c>
      <c r="M45" s="60">
        <f t="shared" si="9"/>
        <v>2.7247307259015207E-2</v>
      </c>
      <c r="N45" s="60">
        <f t="shared" si="9"/>
        <v>2.7247307259015207E-2</v>
      </c>
      <c r="O45" s="68">
        <v>2.7247307259015207E-2</v>
      </c>
      <c r="P45" s="68">
        <v>2.7247307259015207E-2</v>
      </c>
    </row>
    <row r="46" spans="2:16" x14ac:dyDescent="0.25">
      <c r="B46" s="3"/>
      <c r="P46" s="56"/>
    </row>
    <row r="47" spans="2:16" x14ac:dyDescent="0.25">
      <c r="B47" s="30" t="s">
        <v>36</v>
      </c>
      <c r="C47" s="105">
        <f t="shared" ref="C47:P47" si="10">ROUND(C41-C45,5)</f>
        <v>-2.725E-2</v>
      </c>
      <c r="D47" s="105">
        <f t="shared" si="10"/>
        <v>-2.725E-2</v>
      </c>
      <c r="E47" s="105">
        <f t="shared" si="10"/>
        <v>-2.725E-2</v>
      </c>
      <c r="F47" s="105">
        <f t="shared" si="10"/>
        <v>-2.725E-2</v>
      </c>
      <c r="G47" s="105">
        <f t="shared" si="10"/>
        <v>-2.725E-2</v>
      </c>
      <c r="H47" s="105">
        <f t="shared" si="10"/>
        <v>-2.725E-2</v>
      </c>
      <c r="I47" s="105">
        <f t="shared" si="10"/>
        <v>-2.725E-2</v>
      </c>
      <c r="J47" s="105">
        <f t="shared" si="10"/>
        <v>-2.725E-2</v>
      </c>
      <c r="K47" s="105">
        <f t="shared" si="10"/>
        <v>-2.725E-2</v>
      </c>
      <c r="L47" s="105">
        <f t="shared" si="10"/>
        <v>-2.725E-2</v>
      </c>
      <c r="M47" s="105">
        <f t="shared" si="10"/>
        <v>-2.725E-2</v>
      </c>
      <c r="N47" s="105">
        <f t="shared" si="10"/>
        <v>-2.725E-2</v>
      </c>
      <c r="O47" s="196">
        <f t="shared" si="10"/>
        <v>-2.725E-2</v>
      </c>
      <c r="P47" s="196">
        <f t="shared" si="10"/>
        <v>-2.725E-2</v>
      </c>
    </row>
  </sheetData>
  <mergeCells count="3">
    <mergeCell ref="C4:N4"/>
    <mergeCell ref="B24:D24"/>
    <mergeCell ref="E5:P5"/>
  </mergeCells>
  <pageMargins left="0.7" right="0.7" top="0.75" bottom="0.75" header="0.3" footer="0.3"/>
  <pageSetup paperSize="5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7"/>
  <sheetViews>
    <sheetView zoomScale="80" zoomScaleNormal="80" workbookViewId="0">
      <selection activeCell="J46" sqref="J46"/>
    </sheetView>
  </sheetViews>
  <sheetFormatPr defaultRowHeight="15" x14ac:dyDescent="0.25"/>
  <cols>
    <col min="1" max="1" width="5.42578125" customWidth="1"/>
    <col min="2" max="2" width="60" customWidth="1"/>
    <col min="3" max="12" width="13.7109375" customWidth="1"/>
    <col min="13" max="14" width="13.7109375" style="56" customWidth="1"/>
    <col min="15" max="16" width="13.7109375" customWidth="1"/>
    <col min="17" max="17" width="13.7109375" style="56" customWidth="1"/>
    <col min="18" max="16384" width="9.140625" style="56"/>
  </cols>
  <sheetData>
    <row r="1" spans="1:17" x14ac:dyDescent="0.25">
      <c r="B1" s="10" t="s">
        <v>171</v>
      </c>
      <c r="C1" s="203" t="s">
        <v>52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3" spans="1:17" x14ac:dyDescent="0.25"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59" t="s">
        <v>10</v>
      </c>
      <c r="N3" s="59" t="s">
        <v>11</v>
      </c>
      <c r="O3" s="51" t="s">
        <v>0</v>
      </c>
      <c r="P3" s="59" t="s">
        <v>1</v>
      </c>
      <c r="Q3" s="59"/>
    </row>
    <row r="4" spans="1:17" ht="15" customHeight="1" x14ac:dyDescent="0.25">
      <c r="P4" s="56"/>
    </row>
    <row r="5" spans="1:17" s="63" customFormat="1" x14ac:dyDescent="0.25">
      <c r="A5" s="7" t="s">
        <v>15</v>
      </c>
      <c r="B5" s="3" t="s">
        <v>12</v>
      </c>
      <c r="C5" s="84">
        <v>8820866</v>
      </c>
      <c r="D5" s="78">
        <v>9832712</v>
      </c>
      <c r="E5" s="84">
        <v>8428101</v>
      </c>
      <c r="F5" s="78">
        <v>5587445</v>
      </c>
      <c r="G5" s="84">
        <v>4806184</v>
      </c>
      <c r="H5" s="78">
        <v>11843717</v>
      </c>
      <c r="I5" s="84">
        <v>13194809</v>
      </c>
      <c r="J5" s="78">
        <v>12251157</v>
      </c>
      <c r="K5" s="84">
        <v>7830234</v>
      </c>
      <c r="L5" s="78">
        <v>4358443</v>
      </c>
      <c r="M5" s="84">
        <v>13797634</v>
      </c>
      <c r="N5" s="78">
        <v>11436907</v>
      </c>
      <c r="O5" s="80">
        <v>6793505</v>
      </c>
      <c r="P5" s="80">
        <v>5654760</v>
      </c>
    </row>
    <row r="6" spans="1:17" s="63" customFormat="1" x14ac:dyDescent="0.25">
      <c r="A6" s="7" t="s">
        <v>16</v>
      </c>
      <c r="B6" s="3" t="s">
        <v>13</v>
      </c>
      <c r="C6" s="84">
        <v>7538545</v>
      </c>
      <c r="D6" s="78">
        <v>4059086</v>
      </c>
      <c r="E6" s="78">
        <v>5387336</v>
      </c>
      <c r="F6" s="78">
        <v>7201921</v>
      </c>
      <c r="G6" s="78">
        <v>7247688</v>
      </c>
      <c r="H6" s="78">
        <v>5611933</v>
      </c>
      <c r="I6" s="78">
        <v>6567510</v>
      </c>
      <c r="J6" s="78">
        <v>8793557</v>
      </c>
      <c r="K6" s="78">
        <v>7270844</v>
      </c>
      <c r="L6" s="78">
        <v>9762189</v>
      </c>
      <c r="M6" s="78">
        <v>5758728</v>
      </c>
      <c r="N6" s="78">
        <v>7852262</v>
      </c>
      <c r="O6" s="78">
        <v>10104479</v>
      </c>
      <c r="P6" s="78">
        <v>7849621</v>
      </c>
    </row>
    <row r="7" spans="1:17" s="63" customFormat="1" x14ac:dyDescent="0.25">
      <c r="A7" s="7" t="s">
        <v>17</v>
      </c>
      <c r="B7" s="3" t="s">
        <v>14</v>
      </c>
      <c r="C7" s="84">
        <v>502402</v>
      </c>
      <c r="D7" s="78">
        <v>755054</v>
      </c>
      <c r="E7" s="78">
        <v>969052</v>
      </c>
      <c r="F7" s="78">
        <v>703891</v>
      </c>
      <c r="G7" s="78">
        <v>1123896</v>
      </c>
      <c r="H7" s="78">
        <v>4499777</v>
      </c>
      <c r="I7" s="78">
        <v>5975920</v>
      </c>
      <c r="J7" s="78">
        <v>5714686</v>
      </c>
      <c r="K7" s="78">
        <v>1248892</v>
      </c>
      <c r="L7" s="78">
        <v>1852540</v>
      </c>
      <c r="M7" s="78">
        <v>6414581</v>
      </c>
      <c r="N7" s="78">
        <v>3580827</v>
      </c>
      <c r="O7" s="78">
        <v>1626412</v>
      </c>
      <c r="P7" s="78">
        <v>651807</v>
      </c>
    </row>
    <row r="8" spans="1:17" s="63" customFormat="1" x14ac:dyDescent="0.25">
      <c r="A8" s="7"/>
      <c r="B8" s="3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0"/>
      <c r="P8" s="85"/>
    </row>
    <row r="9" spans="1:17" x14ac:dyDescent="0.25">
      <c r="A9" t="s">
        <v>18</v>
      </c>
      <c r="B9" s="3" t="s">
        <v>37</v>
      </c>
      <c r="C9" s="79">
        <f t="shared" ref="C9:P9" si="0">C5+C6-C7-C8</f>
        <v>15857009</v>
      </c>
      <c r="D9" s="79">
        <f t="shared" si="0"/>
        <v>13136744</v>
      </c>
      <c r="E9" s="79">
        <f t="shared" si="0"/>
        <v>12846385</v>
      </c>
      <c r="F9" s="79">
        <f t="shared" si="0"/>
        <v>12085475</v>
      </c>
      <c r="G9" s="79">
        <f t="shared" si="0"/>
        <v>10929976</v>
      </c>
      <c r="H9" s="79">
        <f t="shared" si="0"/>
        <v>12955873</v>
      </c>
      <c r="I9" s="79">
        <f t="shared" si="0"/>
        <v>13786399</v>
      </c>
      <c r="J9" s="79">
        <f t="shared" si="0"/>
        <v>15330028</v>
      </c>
      <c r="K9" s="79">
        <f t="shared" si="0"/>
        <v>13852186</v>
      </c>
      <c r="L9" s="79">
        <f t="shared" si="0"/>
        <v>12268092</v>
      </c>
      <c r="M9" s="79">
        <f t="shared" si="0"/>
        <v>13141781</v>
      </c>
      <c r="N9" s="79">
        <f t="shared" si="0"/>
        <v>15708342</v>
      </c>
      <c r="O9" s="79">
        <f t="shared" si="0"/>
        <v>15271572</v>
      </c>
      <c r="P9" s="79">
        <f t="shared" si="0"/>
        <v>12852574</v>
      </c>
    </row>
    <row r="10" spans="1:17" x14ac:dyDescent="0.25">
      <c r="A10" s="56" t="s">
        <v>19</v>
      </c>
      <c r="B10" s="27" t="s">
        <v>38</v>
      </c>
      <c r="C10" s="84">
        <v>16373912</v>
      </c>
      <c r="D10" s="78">
        <v>13298935</v>
      </c>
      <c r="E10" s="84">
        <v>11687664</v>
      </c>
      <c r="F10" s="78">
        <v>11547381</v>
      </c>
      <c r="G10" s="84">
        <v>10790095</v>
      </c>
      <c r="H10" s="78">
        <v>13458305</v>
      </c>
      <c r="I10" s="84">
        <v>14432453</v>
      </c>
      <c r="J10" s="78">
        <v>15241777</v>
      </c>
      <c r="K10" s="84">
        <v>13724872</v>
      </c>
      <c r="L10" s="78">
        <v>12267527</v>
      </c>
      <c r="M10" s="90">
        <v>13164721</v>
      </c>
      <c r="N10" s="78">
        <v>15563212</v>
      </c>
      <c r="O10" s="80">
        <v>14833214</v>
      </c>
      <c r="P10" s="80">
        <v>12610474</v>
      </c>
    </row>
    <row r="11" spans="1:17" x14ac:dyDescent="0.25">
      <c r="A11" t="s">
        <v>27</v>
      </c>
      <c r="B11" s="3" t="s">
        <v>39</v>
      </c>
      <c r="C11" s="89">
        <f>-11995226+12097103</f>
        <v>101877</v>
      </c>
      <c r="D11" s="82">
        <f t="shared" ref="D11:P11" si="1">C10-C9</f>
        <v>516903</v>
      </c>
      <c r="E11" s="82">
        <f t="shared" si="1"/>
        <v>162191</v>
      </c>
      <c r="F11" s="82">
        <f t="shared" si="1"/>
        <v>-1158721</v>
      </c>
      <c r="G11" s="82">
        <f t="shared" si="1"/>
        <v>-538094</v>
      </c>
      <c r="H11" s="82">
        <f t="shared" si="1"/>
        <v>-139881</v>
      </c>
      <c r="I11" s="82">
        <f t="shared" si="1"/>
        <v>502432</v>
      </c>
      <c r="J11" s="82">
        <f t="shared" si="1"/>
        <v>646054</v>
      </c>
      <c r="K11" s="82">
        <f t="shared" si="1"/>
        <v>-88251</v>
      </c>
      <c r="L11" s="82">
        <f t="shared" si="1"/>
        <v>-127314</v>
      </c>
      <c r="M11" s="82">
        <f t="shared" si="1"/>
        <v>-565</v>
      </c>
      <c r="N11" s="82">
        <f t="shared" si="1"/>
        <v>22940</v>
      </c>
      <c r="O11" s="82">
        <f t="shared" si="1"/>
        <v>-145130</v>
      </c>
      <c r="P11" s="82">
        <f t="shared" si="1"/>
        <v>-438358</v>
      </c>
    </row>
    <row r="12" spans="1:17" x14ac:dyDescent="0.25">
      <c r="A12" t="s">
        <v>20</v>
      </c>
      <c r="B12" s="3" t="s">
        <v>25</v>
      </c>
      <c r="C12" s="84">
        <f>'Fac-Page 4'!C26</f>
        <v>-287904.36387</v>
      </c>
      <c r="D12" s="84">
        <f>'Fac-Page 4'!D26</f>
        <v>-105653.81759999999</v>
      </c>
      <c r="E12" s="84">
        <f>'Fac-Page 4'!E26</f>
        <v>188688.84159999999</v>
      </c>
      <c r="F12" s="84">
        <f>'Fac-Page 4'!F26</f>
        <v>188882.19945000001</v>
      </c>
      <c r="G12" s="84">
        <f>'Fac-Page 4'!G26</f>
        <v>12600.80746</v>
      </c>
      <c r="H12" s="84">
        <f>'Fac-Page 4'!H26</f>
        <v>-16462.85989</v>
      </c>
      <c r="I12" s="84">
        <f>'Fac-Page 4'!I26</f>
        <v>-118183.37082000001</v>
      </c>
      <c r="J12" s="84">
        <f>'Fac-Page 4'!J26</f>
        <v>33772.427729999996</v>
      </c>
      <c r="K12" s="84">
        <f>'Fac-Page 4'!K26</f>
        <v>-13651.660619999999</v>
      </c>
      <c r="L12" s="84">
        <f>'Fac-Page 4'!L26</f>
        <v>-360489.68820000003</v>
      </c>
      <c r="M12" s="84">
        <f>'Fac-Page 4'!M26</f>
        <v>-168485.19852999999</v>
      </c>
      <c r="N12" s="84">
        <f>'Fac-Page 4'!N26</f>
        <v>416766.13804000005</v>
      </c>
      <c r="O12" s="84">
        <f>'Fac-Page 4'!O26</f>
        <v>282132.15130000003</v>
      </c>
      <c r="P12" s="84">
        <f>'Fac-Page 4'!P26</f>
        <v>-62687.653950000007</v>
      </c>
    </row>
    <row r="13" spans="1:17" x14ac:dyDescent="0.25">
      <c r="A13" t="s">
        <v>21</v>
      </c>
      <c r="B13" s="3" t="s">
        <v>31</v>
      </c>
      <c r="C13" s="81">
        <f>C9+C11-C12</f>
        <v>16246790.36387</v>
      </c>
      <c r="D13" s="87">
        <f t="shared" ref="D13:P13" si="2">D9+D11-D12</f>
        <v>13759300.817600001</v>
      </c>
      <c r="E13" s="87">
        <f t="shared" si="2"/>
        <v>12819887.158399999</v>
      </c>
      <c r="F13" s="87">
        <f t="shared" si="2"/>
        <v>10737871.800550001</v>
      </c>
      <c r="G13" s="87">
        <f>G9+G11-G12</f>
        <v>10379281.192539999</v>
      </c>
      <c r="H13" s="87">
        <f t="shared" si="2"/>
        <v>12832454.859890001</v>
      </c>
      <c r="I13" s="87">
        <f>I9+I11-I12</f>
        <v>14407014.370820001</v>
      </c>
      <c r="J13" s="87">
        <f>J9+J11-J12</f>
        <v>15942309.57227</v>
      </c>
      <c r="K13" s="87">
        <f t="shared" si="2"/>
        <v>13777586.66062</v>
      </c>
      <c r="L13" s="87">
        <f t="shared" si="2"/>
        <v>12501267.688200001</v>
      </c>
      <c r="M13" s="87">
        <f t="shared" si="2"/>
        <v>13309701.19853</v>
      </c>
      <c r="N13" s="87">
        <f>N9+N11-N12</f>
        <v>15314515.861959999</v>
      </c>
      <c r="O13" s="82">
        <f t="shared" si="2"/>
        <v>14844309.8487</v>
      </c>
      <c r="P13" s="82">
        <f t="shared" si="2"/>
        <v>12476903.65395</v>
      </c>
    </row>
    <row r="14" spans="1:17" x14ac:dyDescent="0.25">
      <c r="A14" t="s">
        <v>22</v>
      </c>
      <c r="B14" s="3" t="s">
        <v>26</v>
      </c>
      <c r="C14" s="84">
        <v>955980</v>
      </c>
      <c r="D14" s="84">
        <v>689057</v>
      </c>
      <c r="E14" s="84">
        <v>269346</v>
      </c>
      <c r="F14" s="84">
        <v>309943</v>
      </c>
      <c r="G14" s="84">
        <v>243293</v>
      </c>
      <c r="H14" s="84">
        <v>541017</v>
      </c>
      <c r="I14" s="84">
        <v>757323</v>
      </c>
      <c r="J14" s="84">
        <v>689016</v>
      </c>
      <c r="K14" s="84">
        <v>363146</v>
      </c>
      <c r="L14" s="84">
        <v>250289</v>
      </c>
      <c r="M14" s="84">
        <v>483654</v>
      </c>
      <c r="N14" s="84">
        <v>872311</v>
      </c>
      <c r="O14" s="86">
        <v>626974</v>
      </c>
      <c r="P14" s="80">
        <v>295081</v>
      </c>
    </row>
    <row r="15" spans="1:17" x14ac:dyDescent="0.25">
      <c r="A15" t="s">
        <v>23</v>
      </c>
      <c r="B15" s="3" t="s">
        <v>190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8">
        <v>6624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8">
        <v>32674</v>
      </c>
      <c r="O15" s="86">
        <v>0</v>
      </c>
      <c r="P15" s="80">
        <v>0</v>
      </c>
    </row>
    <row r="16" spans="1:17" x14ac:dyDescent="0.25">
      <c r="A16" t="s">
        <v>24</v>
      </c>
      <c r="B16" s="3" t="s">
        <v>28</v>
      </c>
      <c r="C16" s="81">
        <f>C13+C14-C15</f>
        <v>17202770.363870002</v>
      </c>
      <c r="D16" s="81">
        <f t="shared" ref="D16:P16" si="3">D13+D14-D15</f>
        <v>14448357.817600001</v>
      </c>
      <c r="E16" s="81">
        <f t="shared" si="3"/>
        <v>13089233.158399999</v>
      </c>
      <c r="F16" s="81">
        <f t="shared" si="3"/>
        <v>11047814.800550001</v>
      </c>
      <c r="G16" s="81">
        <f t="shared" si="3"/>
        <v>10622574.192539999</v>
      </c>
      <c r="H16" s="81">
        <f t="shared" si="3"/>
        <v>13366847.859890001</v>
      </c>
      <c r="I16" s="81">
        <f t="shared" si="3"/>
        <v>15164337.370820001</v>
      </c>
      <c r="J16" s="81">
        <f t="shared" si="3"/>
        <v>16631325.57227</v>
      </c>
      <c r="K16" s="81">
        <f t="shared" si="3"/>
        <v>14140732.66062</v>
      </c>
      <c r="L16" s="81">
        <f t="shared" si="3"/>
        <v>12751556.688200001</v>
      </c>
      <c r="M16" s="81">
        <f t="shared" si="3"/>
        <v>13793355.19853</v>
      </c>
      <c r="N16" s="81">
        <f t="shared" si="3"/>
        <v>16154152.861959999</v>
      </c>
      <c r="O16" s="81">
        <f t="shared" si="3"/>
        <v>15471283.8487</v>
      </c>
      <c r="P16" s="81">
        <f t="shared" si="3"/>
        <v>12771984.65395</v>
      </c>
    </row>
    <row r="17" spans="1:17" x14ac:dyDescent="0.25">
      <c r="B17" s="3"/>
      <c r="C17" s="2"/>
      <c r="O17" s="13"/>
      <c r="P17" s="45"/>
    </row>
    <row r="18" spans="1:17" x14ac:dyDescent="0.25">
      <c r="B18" s="3"/>
      <c r="O18" s="13"/>
      <c r="P18" s="45"/>
    </row>
    <row r="19" spans="1:17" x14ac:dyDescent="0.25">
      <c r="O19" s="13"/>
      <c r="P19" s="45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2"/>
      <c r="P20" s="52"/>
    </row>
    <row r="21" spans="1:1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2"/>
      <c r="P21" s="52"/>
    </row>
    <row r="22" spans="1:17" x14ac:dyDescent="0.25">
      <c r="B22" s="131" t="s">
        <v>158</v>
      </c>
      <c r="O22" s="13"/>
      <c r="P22" s="45"/>
    </row>
    <row r="23" spans="1:17" x14ac:dyDescent="0.25">
      <c r="O23" s="13"/>
      <c r="P23" s="45"/>
    </row>
    <row r="24" spans="1:17" x14ac:dyDescent="0.25">
      <c r="O24" s="13"/>
      <c r="P24" s="45"/>
    </row>
    <row r="25" spans="1:17" x14ac:dyDescent="0.25">
      <c r="C25" s="9" t="s">
        <v>0</v>
      </c>
      <c r="D25" s="9" t="s">
        <v>1</v>
      </c>
      <c r="E25" s="9" t="s">
        <v>2</v>
      </c>
      <c r="F25" s="9" t="s">
        <v>3</v>
      </c>
      <c r="G25" s="9" t="s">
        <v>4</v>
      </c>
      <c r="H25" s="9" t="s">
        <v>5</v>
      </c>
      <c r="I25" s="9" t="s">
        <v>6</v>
      </c>
      <c r="J25" s="9" t="s">
        <v>7</v>
      </c>
      <c r="K25" s="9" t="s">
        <v>8</v>
      </c>
      <c r="L25" s="9" t="s">
        <v>9</v>
      </c>
      <c r="M25" s="59" t="s">
        <v>10</v>
      </c>
      <c r="N25" s="59" t="s">
        <v>11</v>
      </c>
      <c r="O25" s="53" t="s">
        <v>0</v>
      </c>
      <c r="P25" s="69" t="s">
        <v>1</v>
      </c>
      <c r="Q25" s="59"/>
    </row>
    <row r="26" spans="1:17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7" x14ac:dyDescent="0.25">
      <c r="A27" t="s">
        <v>15</v>
      </c>
      <c r="B27" s="3" t="s">
        <v>12</v>
      </c>
      <c r="C27" s="80">
        <v>8820866</v>
      </c>
      <c r="D27" s="80">
        <v>9832712</v>
      </c>
      <c r="E27" s="80">
        <v>8428101</v>
      </c>
      <c r="F27" s="80">
        <v>5587445</v>
      </c>
      <c r="G27" s="80">
        <v>4806184</v>
      </c>
      <c r="H27" s="80">
        <v>11843717</v>
      </c>
      <c r="I27" s="80">
        <v>13194809</v>
      </c>
      <c r="J27" s="80">
        <v>12251157</v>
      </c>
      <c r="K27" s="80">
        <v>7830234</v>
      </c>
      <c r="L27" s="80">
        <v>4358443</v>
      </c>
      <c r="M27" s="80">
        <v>13797634</v>
      </c>
      <c r="N27" s="80">
        <v>11436907</v>
      </c>
      <c r="O27" s="80">
        <v>6793505</v>
      </c>
      <c r="P27" s="80">
        <v>5654760</v>
      </c>
    </row>
    <row r="28" spans="1:17" x14ac:dyDescent="0.25">
      <c r="A28" s="56" t="s">
        <v>16</v>
      </c>
      <c r="B28" s="27" t="s">
        <v>13</v>
      </c>
      <c r="C28" s="80">
        <v>7538545</v>
      </c>
      <c r="D28" s="80">
        <v>4059086</v>
      </c>
      <c r="E28" s="80">
        <v>5387336</v>
      </c>
      <c r="F28" s="80">
        <v>7201921</v>
      </c>
      <c r="G28" s="80">
        <v>7247688</v>
      </c>
      <c r="H28" s="80">
        <v>5611933</v>
      </c>
      <c r="I28" s="80">
        <v>6567510</v>
      </c>
      <c r="J28" s="80">
        <v>8793557</v>
      </c>
      <c r="K28" s="80">
        <v>7270844</v>
      </c>
      <c r="L28" s="80">
        <v>9762189</v>
      </c>
      <c r="M28" s="80">
        <v>5758728</v>
      </c>
      <c r="N28" s="80">
        <v>7852262</v>
      </c>
      <c r="O28" s="80">
        <v>10104479</v>
      </c>
      <c r="P28" s="80">
        <v>7849621</v>
      </c>
    </row>
    <row r="29" spans="1:17" x14ac:dyDescent="0.25">
      <c r="A29" t="s">
        <v>17</v>
      </c>
      <c r="B29" s="27" t="s">
        <v>14</v>
      </c>
      <c r="C29" s="80">
        <v>502402</v>
      </c>
      <c r="D29" s="80">
        <v>755054</v>
      </c>
      <c r="E29" s="80">
        <v>969052</v>
      </c>
      <c r="F29" s="80">
        <v>703891</v>
      </c>
      <c r="G29" s="80">
        <v>1123896</v>
      </c>
      <c r="H29" s="80">
        <v>4499777</v>
      </c>
      <c r="I29" s="80">
        <v>5975920</v>
      </c>
      <c r="J29" s="80">
        <v>5714686</v>
      </c>
      <c r="K29" s="80">
        <v>1248892</v>
      </c>
      <c r="L29" s="80">
        <v>1852540</v>
      </c>
      <c r="M29" s="80">
        <v>6414581</v>
      </c>
      <c r="N29" s="80">
        <v>3580827</v>
      </c>
      <c r="O29" s="80">
        <v>1626412</v>
      </c>
      <c r="P29" s="80">
        <v>651807</v>
      </c>
    </row>
    <row r="30" spans="1:17" x14ac:dyDescent="0.25">
      <c r="B30" s="3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7" x14ac:dyDescent="0.25">
      <c r="A31" s="56" t="s">
        <v>18</v>
      </c>
      <c r="B31" s="27" t="s">
        <v>37</v>
      </c>
      <c r="C31" s="82">
        <f t="shared" ref="C31:P31" si="4">C27+C28-C29-C30</f>
        <v>15857009</v>
      </c>
      <c r="D31" s="82">
        <f t="shared" si="4"/>
        <v>13136744</v>
      </c>
      <c r="E31" s="82">
        <f t="shared" si="4"/>
        <v>12846385</v>
      </c>
      <c r="F31" s="82">
        <f t="shared" si="4"/>
        <v>12085475</v>
      </c>
      <c r="G31" s="82">
        <f t="shared" si="4"/>
        <v>10929976</v>
      </c>
      <c r="H31" s="82">
        <f t="shared" si="4"/>
        <v>12955873</v>
      </c>
      <c r="I31" s="82">
        <f t="shared" si="4"/>
        <v>13786399</v>
      </c>
      <c r="J31" s="82">
        <f t="shared" si="4"/>
        <v>15330028</v>
      </c>
      <c r="K31" s="82">
        <f t="shared" si="4"/>
        <v>13852186</v>
      </c>
      <c r="L31" s="82">
        <f t="shared" si="4"/>
        <v>12268092</v>
      </c>
      <c r="M31" s="82">
        <f t="shared" si="4"/>
        <v>13141781</v>
      </c>
      <c r="N31" s="82">
        <f t="shared" si="4"/>
        <v>15708342</v>
      </c>
      <c r="O31" s="82">
        <f t="shared" si="4"/>
        <v>15271572</v>
      </c>
      <c r="P31" s="82">
        <f t="shared" si="4"/>
        <v>12852574</v>
      </c>
    </row>
    <row r="32" spans="1:17" x14ac:dyDescent="0.25">
      <c r="A32" s="56" t="s">
        <v>19</v>
      </c>
      <c r="B32" s="27" t="s">
        <v>38</v>
      </c>
      <c r="C32" s="80">
        <v>16373912</v>
      </c>
      <c r="D32" s="80">
        <v>13298935</v>
      </c>
      <c r="E32" s="80">
        <v>11687664</v>
      </c>
      <c r="F32" s="80">
        <v>11547381</v>
      </c>
      <c r="G32" s="80">
        <v>10790095</v>
      </c>
      <c r="H32" s="80">
        <v>13458305</v>
      </c>
      <c r="I32" s="80">
        <v>14432453</v>
      </c>
      <c r="J32" s="80">
        <v>15241777</v>
      </c>
      <c r="K32" s="80">
        <v>13724872</v>
      </c>
      <c r="L32" s="80">
        <v>12267527</v>
      </c>
      <c r="M32" s="80">
        <v>13164721</v>
      </c>
      <c r="N32" s="80">
        <v>15563212</v>
      </c>
      <c r="O32" s="80">
        <v>14833214</v>
      </c>
      <c r="P32" s="80">
        <v>12610474</v>
      </c>
    </row>
    <row r="33" spans="1:16" x14ac:dyDescent="0.25">
      <c r="A33" s="56" t="s">
        <v>27</v>
      </c>
      <c r="B33" s="27" t="s">
        <v>136</v>
      </c>
      <c r="C33" s="84">
        <v>101877</v>
      </c>
      <c r="D33" s="84">
        <f t="shared" ref="D33" si="5">C32-C31</f>
        <v>516903</v>
      </c>
      <c r="E33" s="84">
        <f t="shared" ref="E33" si="6">D32-D31</f>
        <v>162191</v>
      </c>
      <c r="F33" s="84">
        <f t="shared" ref="F33" si="7">E32-E31</f>
        <v>-1158721</v>
      </c>
      <c r="G33" s="84">
        <f t="shared" ref="G33" si="8">F32-F31</f>
        <v>-538094</v>
      </c>
      <c r="H33" s="84">
        <f t="shared" ref="H33" si="9">G32-G31</f>
        <v>-139881</v>
      </c>
      <c r="I33" s="84">
        <f t="shared" ref="I33" si="10">H32-H31</f>
        <v>502432</v>
      </c>
      <c r="J33" s="84">
        <f t="shared" ref="J33" si="11">I32-I31</f>
        <v>646054</v>
      </c>
      <c r="K33" s="84">
        <f t="shared" ref="K33" si="12">J32-J31</f>
        <v>-88251</v>
      </c>
      <c r="L33" s="84">
        <f t="shared" ref="L33" si="13">K32-K31</f>
        <v>-127314</v>
      </c>
      <c r="M33" s="84">
        <f t="shared" ref="M33" si="14">L32-L31</f>
        <v>-565</v>
      </c>
      <c r="N33" s="84">
        <f t="shared" ref="N33" si="15">M32-M31</f>
        <v>22940</v>
      </c>
      <c r="O33" s="84">
        <f t="shared" ref="O33" si="16">N32-N31</f>
        <v>-145130</v>
      </c>
      <c r="P33" s="84">
        <f t="shared" ref="P33" si="17">O32-O31</f>
        <v>-438358</v>
      </c>
    </row>
    <row r="34" spans="1:16" x14ac:dyDescent="0.25">
      <c r="A34" s="56" t="s">
        <v>20</v>
      </c>
      <c r="B34" s="27" t="s">
        <v>25</v>
      </c>
      <c r="C34" s="80">
        <f>'Fac-Page 4'!C57</f>
        <v>-227689</v>
      </c>
      <c r="D34" s="80">
        <f>'Fac-Page 4'!D57</f>
        <v>-63904</v>
      </c>
      <c r="E34" s="80">
        <f>'Fac-Page 4'!E57</f>
        <v>250247</v>
      </c>
      <c r="F34" s="80">
        <f>'Fac-Page 4'!F57</f>
        <v>229599</v>
      </c>
      <c r="G34" s="80">
        <f>'Fac-Page 4'!G57</f>
        <v>-15402</v>
      </c>
      <c r="H34" s="80">
        <f>'Fac-Page 4'!H57</f>
        <v>-18141</v>
      </c>
      <c r="I34" s="80">
        <f>'Fac-Page 4'!I57</f>
        <v>-119666</v>
      </c>
      <c r="J34" s="80">
        <f>'Fac-Page 4'!J57</f>
        <v>41354</v>
      </c>
      <c r="K34" s="80">
        <f>'Fac-Page 4'!K57</f>
        <v>-15204</v>
      </c>
      <c r="L34" s="80">
        <f>'Fac-Page 4'!L57</f>
        <v>-347138</v>
      </c>
      <c r="M34" s="80">
        <f>'Fac-Page 4'!M57</f>
        <v>-173949</v>
      </c>
      <c r="N34" s="80">
        <f>'Fac-Page 4'!N57</f>
        <v>459047</v>
      </c>
      <c r="O34" s="80">
        <f>'Fac-Page 4'!O57</f>
        <v>302455</v>
      </c>
      <c r="P34" s="80">
        <f>'Fac-Page 4'!P57</f>
        <v>-71816</v>
      </c>
    </row>
    <row r="35" spans="1:16" x14ac:dyDescent="0.25">
      <c r="A35" s="56" t="s">
        <v>21</v>
      </c>
      <c r="B35" s="27" t="s">
        <v>31</v>
      </c>
      <c r="C35" s="83">
        <f>C31+C33-C34</f>
        <v>16186575</v>
      </c>
      <c r="D35" s="83">
        <f t="shared" ref="D35:P35" si="18">D31+D33-D34</f>
        <v>13717551</v>
      </c>
      <c r="E35" s="83">
        <f t="shared" si="18"/>
        <v>12758329</v>
      </c>
      <c r="F35" s="83">
        <f t="shared" si="18"/>
        <v>10697155</v>
      </c>
      <c r="G35" s="83">
        <f t="shared" si="18"/>
        <v>10407284</v>
      </c>
      <c r="H35" s="83">
        <f t="shared" si="18"/>
        <v>12834133</v>
      </c>
      <c r="I35" s="83">
        <f t="shared" si="18"/>
        <v>14408497</v>
      </c>
      <c r="J35" s="83">
        <f t="shared" si="18"/>
        <v>15934728</v>
      </c>
      <c r="K35" s="83">
        <f t="shared" si="18"/>
        <v>13779139</v>
      </c>
      <c r="L35" s="83">
        <f t="shared" si="18"/>
        <v>12487916</v>
      </c>
      <c r="M35" s="83">
        <f t="shared" si="18"/>
        <v>13315165</v>
      </c>
      <c r="N35" s="83">
        <f t="shared" si="18"/>
        <v>15272235</v>
      </c>
      <c r="O35" s="83">
        <f t="shared" si="18"/>
        <v>14823987</v>
      </c>
      <c r="P35" s="83">
        <f t="shared" si="18"/>
        <v>12486032</v>
      </c>
    </row>
    <row r="36" spans="1:16" x14ac:dyDescent="0.25">
      <c r="A36" s="56" t="s">
        <v>22</v>
      </c>
      <c r="B36" s="194" t="s">
        <v>185</v>
      </c>
      <c r="C36" s="195">
        <f>BLI!$E$66+$C$14</f>
        <v>708182.98999999987</v>
      </c>
      <c r="D36" s="195">
        <f>BLI!F66+D14</f>
        <v>523641.61</v>
      </c>
      <c r="E36" s="195">
        <f>BLI!G66+E14</f>
        <v>522731.89999999991</v>
      </c>
      <c r="F36" s="195">
        <f>BLI!H66+F14</f>
        <v>257745.22999999998</v>
      </c>
      <c r="G36" s="195">
        <f>BLI!I66+G14</f>
        <v>196488.34999999983</v>
      </c>
      <c r="H36" s="195">
        <f>BLI!J66+H14</f>
        <v>641367.10999999975</v>
      </c>
      <c r="I36" s="195">
        <f>BLI!K66+I14</f>
        <v>903817.4600000002</v>
      </c>
      <c r="J36" s="195">
        <f>BLI!L66+J14</f>
        <v>624537.63000000012</v>
      </c>
      <c r="K36" s="195">
        <f>BLI!M66+K14</f>
        <v>419894.08999999997</v>
      </c>
      <c r="L36" s="195">
        <f>BLI!N66+L14</f>
        <v>406802.82999999984</v>
      </c>
      <c r="M36" s="195">
        <f>BLI!O66+M14</f>
        <v>556644.49999999977</v>
      </c>
      <c r="N36" s="195">
        <f>BLI!P66+N14</f>
        <v>999009.66000000015</v>
      </c>
      <c r="O36" s="195">
        <f>BLI!Q66+O14</f>
        <v>555007.88000000012</v>
      </c>
      <c r="P36" s="195">
        <f>BLI!R66+P14</f>
        <v>141340.81999999998</v>
      </c>
    </row>
    <row r="37" spans="1:16" x14ac:dyDescent="0.25">
      <c r="A37" s="56" t="s">
        <v>23</v>
      </c>
      <c r="B37" s="27" t="s">
        <v>190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0">
        <v>6624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0">
        <v>32674</v>
      </c>
      <c r="O37" s="80">
        <v>0</v>
      </c>
      <c r="P37" s="80">
        <v>0</v>
      </c>
    </row>
    <row r="38" spans="1:16" x14ac:dyDescent="0.25">
      <c r="A38" s="56" t="s">
        <v>24</v>
      </c>
      <c r="B38" s="27" t="s">
        <v>28</v>
      </c>
      <c r="C38" s="81">
        <f>C35+C36-C37</f>
        <v>16894757.989999998</v>
      </c>
      <c r="D38" s="81">
        <f t="shared" ref="D38:P38" si="19">D35+D36-D37</f>
        <v>14241192.609999999</v>
      </c>
      <c r="E38" s="81">
        <f t="shared" si="19"/>
        <v>13281060.9</v>
      </c>
      <c r="F38" s="81">
        <f t="shared" si="19"/>
        <v>10954900.23</v>
      </c>
      <c r="G38" s="81">
        <f t="shared" si="19"/>
        <v>10603772.35</v>
      </c>
      <c r="H38" s="81">
        <f t="shared" si="19"/>
        <v>13468876.109999999</v>
      </c>
      <c r="I38" s="81">
        <f t="shared" si="19"/>
        <v>15312314.460000001</v>
      </c>
      <c r="J38" s="81">
        <f t="shared" si="19"/>
        <v>16559265.630000001</v>
      </c>
      <c r="K38" s="81">
        <f t="shared" si="19"/>
        <v>14199033.09</v>
      </c>
      <c r="L38" s="81">
        <f t="shared" si="19"/>
        <v>12894718.83</v>
      </c>
      <c r="M38" s="81">
        <f t="shared" si="19"/>
        <v>13871809.5</v>
      </c>
      <c r="N38" s="81">
        <f t="shared" si="19"/>
        <v>16238570.66</v>
      </c>
      <c r="O38" s="81">
        <f t="shared" si="19"/>
        <v>15378994.880000001</v>
      </c>
      <c r="P38" s="81">
        <f t="shared" si="19"/>
        <v>12627372.82</v>
      </c>
    </row>
    <row r="39" spans="1:16" x14ac:dyDescent="0.25">
      <c r="B39" s="3"/>
      <c r="P39" s="13"/>
    </row>
    <row r="40" spans="1:16" x14ac:dyDescent="0.25">
      <c r="C40" s="20" t="e">
        <f>'FAC-Page 5'!B57-B31</f>
        <v>#VALUE!</v>
      </c>
      <c r="D40" s="20">
        <f>'FAC-Page 5'!C57-C31</f>
        <v>516905</v>
      </c>
      <c r="E40" s="20">
        <f>'FAC-Page 5'!D57-D31</f>
        <v>162190</v>
      </c>
      <c r="F40" s="20">
        <f>'FAC-Page 5'!E57-E31</f>
        <v>-1158720</v>
      </c>
      <c r="G40" s="20">
        <f>'FAC-Page 5'!F57-F31</f>
        <v>-538095</v>
      </c>
      <c r="H40" s="20">
        <f>'FAC-Page 5'!G57-G31</f>
        <v>-139881</v>
      </c>
      <c r="I40" s="20">
        <f>'FAC-Page 5'!H57-H31</f>
        <v>502532</v>
      </c>
      <c r="J40" s="20">
        <f>'FAC-Page 5'!I57-I31</f>
        <v>646053</v>
      </c>
      <c r="K40" s="20">
        <f>'FAC-Page 5'!J57-J31</f>
        <v>-88250</v>
      </c>
      <c r="L40" s="20">
        <f>'FAC-Page 5'!K57-K31</f>
        <v>-127314</v>
      </c>
      <c r="M40" s="21">
        <f>'FAC-Page 5'!L57-L31</f>
        <v>-566</v>
      </c>
      <c r="N40" s="21">
        <f>'FAC-Page 5'!M57-M31</f>
        <v>22939</v>
      </c>
      <c r="O40" s="20">
        <f>'FAC-Page 5'!N57-N31</f>
        <v>-145129</v>
      </c>
      <c r="P40" s="20">
        <f>'FAC-Page 5'!O57-O31</f>
        <v>-438359</v>
      </c>
    </row>
    <row r="41" spans="1:16" x14ac:dyDescent="0.25">
      <c r="A41" s="29"/>
      <c r="B41" s="3" t="s">
        <v>189</v>
      </c>
    </row>
    <row r="42" spans="1:1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O42" s="56"/>
      <c r="P42" s="56"/>
    </row>
    <row r="43" spans="1:16" x14ac:dyDescent="0.25">
      <c r="A43" s="56"/>
      <c r="B43" s="27"/>
      <c r="C43" s="84"/>
      <c r="D43" s="78"/>
      <c r="E43" s="84"/>
      <c r="F43" s="78"/>
      <c r="G43" s="84"/>
      <c r="H43" s="78"/>
      <c r="I43" s="84"/>
      <c r="J43" s="78"/>
      <c r="K43" s="84"/>
      <c r="L43" s="78"/>
      <c r="M43" s="84"/>
      <c r="N43" s="78"/>
      <c r="O43" s="80"/>
      <c r="P43" s="80"/>
    </row>
    <row r="44" spans="1:16" x14ac:dyDescent="0.25">
      <c r="A44" s="56"/>
      <c r="B44" s="27"/>
      <c r="C44" s="84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x14ac:dyDescent="0.25">
      <c r="A45" s="56"/>
      <c r="B45" s="27"/>
      <c r="C45" s="84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x14ac:dyDescent="0.25">
      <c r="A46" s="56"/>
      <c r="B46" s="27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0"/>
      <c r="P46" s="85"/>
    </row>
    <row r="47" spans="1:16" x14ac:dyDescent="0.25">
      <c r="A47" s="56"/>
      <c r="B47" s="27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" x14ac:dyDescent="0.25">
      <c r="A48" s="56"/>
      <c r="B48" s="27"/>
      <c r="C48" s="84"/>
      <c r="D48" s="78"/>
      <c r="E48" s="84"/>
      <c r="F48" s="78"/>
      <c r="G48" s="84"/>
      <c r="H48" s="78"/>
      <c r="I48" s="84"/>
      <c r="J48" s="78"/>
      <c r="K48" s="84"/>
      <c r="L48" s="78"/>
      <c r="M48" s="90"/>
      <c r="N48" s="78"/>
      <c r="O48" s="80"/>
      <c r="P48" s="80"/>
    </row>
    <row r="49" spans="1:16" x14ac:dyDescent="0.25">
      <c r="A49" s="56"/>
      <c r="B49" s="27"/>
      <c r="C49" s="8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6" x14ac:dyDescent="0.25">
      <c r="A50" s="56"/>
      <c r="B50" s="27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x14ac:dyDescent="0.25">
      <c r="A51" s="56"/>
      <c r="B51" s="27"/>
      <c r="C51" s="8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0"/>
      <c r="P51" s="80"/>
    </row>
    <row r="52" spans="1:16" x14ac:dyDescent="0.25">
      <c r="A52" s="56"/>
      <c r="B52" s="27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x14ac:dyDescent="0.25">
      <c r="A53" s="56"/>
      <c r="B53" s="2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5">
      <c r="A54" s="56"/>
      <c r="B54" s="2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5">
      <c r="A55" s="56"/>
      <c r="B55" s="27"/>
      <c r="C55" s="56"/>
      <c r="D55" s="56"/>
      <c r="E55" s="56"/>
      <c r="F55" s="56"/>
      <c r="G55" s="56"/>
      <c r="H55" s="56"/>
      <c r="I55" s="56"/>
      <c r="J55" s="56"/>
      <c r="K55" s="56"/>
      <c r="L55" s="56"/>
      <c r="O55" s="56"/>
      <c r="P55" s="56"/>
    </row>
    <row r="56" spans="1:16" x14ac:dyDescent="0.25">
      <c r="A56" s="183"/>
      <c r="B56" s="27"/>
      <c r="C56" s="56"/>
      <c r="D56" s="56"/>
      <c r="E56" s="56"/>
      <c r="F56" s="56"/>
      <c r="G56" s="56"/>
      <c r="H56" s="56"/>
      <c r="I56" s="56"/>
      <c r="J56" s="56"/>
      <c r="K56" s="56"/>
      <c r="L56" s="56"/>
      <c r="O56" s="56"/>
      <c r="P56" s="56"/>
    </row>
    <row r="57" spans="1:1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O57" s="56"/>
      <c r="P57" s="56"/>
    </row>
  </sheetData>
  <mergeCells count="1">
    <mergeCell ref="C1:N1"/>
  </mergeCells>
  <pageMargins left="0.7" right="0.7" top="0.75" bottom="0.75" header="0.3" footer="0.3"/>
  <pageSetup paperSize="5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04"/>
  <sheetViews>
    <sheetView zoomScale="90" zoomScaleNormal="90" workbookViewId="0">
      <selection activeCell="P35" sqref="P35"/>
    </sheetView>
  </sheetViews>
  <sheetFormatPr defaultRowHeight="15" customHeight="1" x14ac:dyDescent="0.25"/>
  <cols>
    <col min="1" max="1" width="6.42578125" customWidth="1"/>
    <col min="2" max="2" width="48.42578125" customWidth="1"/>
    <col min="3" max="12" width="13.7109375" customWidth="1"/>
    <col min="13" max="14" width="13.7109375" style="56" customWidth="1"/>
    <col min="15" max="16" width="13.7109375" customWidth="1"/>
  </cols>
  <sheetData>
    <row r="1" spans="1:16" ht="15" customHeight="1" x14ac:dyDescent="0.25">
      <c r="A1" s="10"/>
      <c r="B1" s="10" t="s">
        <v>170</v>
      </c>
      <c r="C1" s="207" t="s">
        <v>70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P1" s="56"/>
    </row>
    <row r="2" spans="1:16" ht="15" customHeight="1" x14ac:dyDescent="0.25">
      <c r="C2" s="17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59" t="s">
        <v>10</v>
      </c>
      <c r="N2" s="59" t="s">
        <v>11</v>
      </c>
      <c r="O2" s="51" t="s">
        <v>0</v>
      </c>
      <c r="P2" s="59" t="s">
        <v>1</v>
      </c>
    </row>
    <row r="3" spans="1:16" ht="15" customHeight="1" x14ac:dyDescent="0.25">
      <c r="P3" s="56"/>
    </row>
    <row r="4" spans="1:16" ht="15" customHeight="1" x14ac:dyDescent="0.25">
      <c r="A4" s="4">
        <v>1</v>
      </c>
      <c r="B4" s="6" t="s">
        <v>40</v>
      </c>
      <c r="C4" s="23">
        <f>-0.00306</f>
        <v>-3.0599999999999998E-3</v>
      </c>
      <c r="D4" s="23">
        <v>-1.24E-3</v>
      </c>
      <c r="E4" s="23">
        <f>'Fac-Page 1'!C16</f>
        <v>-1.41E-3</v>
      </c>
      <c r="F4" s="23">
        <f>'Fac-Page 1'!D16</f>
        <v>-1.67E-3</v>
      </c>
      <c r="G4" s="23">
        <f>'Fac-Page 1'!E16</f>
        <v>-1.8000000000000001E-4</v>
      </c>
      <c r="H4" s="23">
        <f>'Fac-Page 1'!F16</f>
        <v>-2.0600000000000002E-3</v>
      </c>
      <c r="I4" s="23">
        <f>'Fac-Page 1'!G16</f>
        <v>-3.1900000000000001E-3</v>
      </c>
      <c r="J4" s="23">
        <f>'Fac-Page 1'!H16</f>
        <v>9.7999999999999997E-4</v>
      </c>
      <c r="K4" s="23">
        <f>'Fac-Page 1'!I16</f>
        <v>2.5500000000000002E-3</v>
      </c>
      <c r="L4" s="23">
        <f>'Fac-Page 1'!J16</f>
        <v>3.5100000000000001E-3</v>
      </c>
      <c r="M4" s="23">
        <f>'Fac-Page 1'!K16</f>
        <v>3.7000000000000002E-3</v>
      </c>
      <c r="N4" s="23">
        <f>'Fac-Page 1'!L16</f>
        <v>3.4499999999999999E-3</v>
      </c>
      <c r="O4" s="23">
        <f>'Fac-Page 1'!M16</f>
        <v>2.3600000000000001E-3</v>
      </c>
      <c r="P4" s="23">
        <f>'Fac-Page 1'!N16</f>
        <v>1.0300000000000001E-3</v>
      </c>
    </row>
    <row r="5" spans="1:16" ht="15" customHeight="1" x14ac:dyDescent="0.25">
      <c r="A5" s="4"/>
      <c r="B5" s="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 customHeight="1" x14ac:dyDescent="0.25">
      <c r="A6" s="4">
        <v>2</v>
      </c>
      <c r="B6" s="6" t="s">
        <v>41</v>
      </c>
      <c r="C6" s="120">
        <v>567845023</v>
      </c>
      <c r="D6" s="120">
        <v>588442120</v>
      </c>
      <c r="E6" s="120">
        <v>524342891</v>
      </c>
      <c r="F6" s="120">
        <v>445188132</v>
      </c>
      <c r="G6" s="120">
        <v>407783644</v>
      </c>
      <c r="H6" s="120">
        <v>440546445</v>
      </c>
      <c r="I6" s="120">
        <v>472014095</v>
      </c>
      <c r="J6" s="120">
        <v>500664142</v>
      </c>
      <c r="K6" s="120">
        <v>495945424</v>
      </c>
      <c r="L6" s="120">
        <v>431269026</v>
      </c>
      <c r="M6" s="120">
        <v>405548859</v>
      </c>
      <c r="N6" s="120">
        <v>528950295</v>
      </c>
      <c r="O6" s="120">
        <v>577279581</v>
      </c>
      <c r="P6" s="120">
        <v>503088824</v>
      </c>
    </row>
    <row r="7" spans="1:16" ht="15" customHeight="1" x14ac:dyDescent="0.25">
      <c r="A7" s="4"/>
      <c r="B7" s="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" customHeight="1" x14ac:dyDescent="0.25">
      <c r="A8" s="4">
        <v>3</v>
      </c>
      <c r="B8" s="6" t="s">
        <v>42</v>
      </c>
      <c r="C8" s="91">
        <f>ROUND(C4*C6,0)</f>
        <v>-1737606</v>
      </c>
      <c r="D8" s="91">
        <f t="shared" ref="D8:P8" si="0">ROUND(D4*D6,0)</f>
        <v>-729668</v>
      </c>
      <c r="E8" s="91">
        <f t="shared" si="0"/>
        <v>-739323</v>
      </c>
      <c r="F8" s="91">
        <f t="shared" si="0"/>
        <v>-743464</v>
      </c>
      <c r="G8" s="91">
        <f t="shared" si="0"/>
        <v>-73401</v>
      </c>
      <c r="H8" s="91">
        <f t="shared" si="0"/>
        <v>-907526</v>
      </c>
      <c r="I8" s="91">
        <f t="shared" si="0"/>
        <v>-1505725</v>
      </c>
      <c r="J8" s="91">
        <f t="shared" si="0"/>
        <v>490651</v>
      </c>
      <c r="K8" s="91">
        <f t="shared" si="0"/>
        <v>1264661</v>
      </c>
      <c r="L8" s="91">
        <f t="shared" si="0"/>
        <v>1513754</v>
      </c>
      <c r="M8" s="91">
        <f t="shared" si="0"/>
        <v>1500531</v>
      </c>
      <c r="N8" s="91">
        <f t="shared" si="0"/>
        <v>1824879</v>
      </c>
      <c r="O8" s="91">
        <f t="shared" si="0"/>
        <v>1362380</v>
      </c>
      <c r="P8" s="91">
        <f t="shared" si="0"/>
        <v>518181</v>
      </c>
    </row>
    <row r="9" spans="1:16" ht="15" customHeight="1" x14ac:dyDescent="0.25">
      <c r="A9" s="4"/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45"/>
      <c r="N9" s="45"/>
      <c r="O9" s="13"/>
      <c r="P9" s="45"/>
    </row>
    <row r="10" spans="1:16" ht="15" customHeight="1" x14ac:dyDescent="0.25">
      <c r="A10" s="4">
        <v>4</v>
      </c>
      <c r="B10" s="6" t="s">
        <v>43</v>
      </c>
      <c r="C10" s="121">
        <v>481798000</v>
      </c>
      <c r="D10" s="121">
        <v>511879000</v>
      </c>
      <c r="E10" s="121">
        <v>665788000</v>
      </c>
      <c r="F10" s="121">
        <v>564781000</v>
      </c>
      <c r="G10" s="121">
        <v>483533000</v>
      </c>
      <c r="H10" s="121">
        <v>438583000</v>
      </c>
      <c r="I10" s="121">
        <v>441473000</v>
      </c>
      <c r="J10" s="121">
        <v>473438000</v>
      </c>
      <c r="K10" s="121">
        <v>508874000</v>
      </c>
      <c r="L10" s="121">
        <v>540609000</v>
      </c>
      <c r="M10" s="121">
        <v>456943000</v>
      </c>
      <c r="N10" s="121">
        <v>415353000</v>
      </c>
      <c r="O10" s="121">
        <v>465829000</v>
      </c>
      <c r="P10" s="121">
        <v>571200000</v>
      </c>
    </row>
    <row r="11" spans="1:16" ht="15" customHeight="1" x14ac:dyDescent="0.25">
      <c r="A11" s="4"/>
      <c r="B11" s="6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" customHeight="1" x14ac:dyDescent="0.25">
      <c r="A12" s="4">
        <v>5</v>
      </c>
      <c r="B12" s="6" t="s">
        <v>44</v>
      </c>
      <c r="C12" s="120">
        <v>6700799</v>
      </c>
      <c r="D12" s="120">
        <v>7432620</v>
      </c>
      <c r="E12" s="120">
        <v>9473815</v>
      </c>
      <c r="F12" s="120">
        <v>8014903</v>
      </c>
      <c r="G12" s="120">
        <v>6687102</v>
      </c>
      <c r="H12" s="120">
        <v>5914616</v>
      </c>
      <c r="I12" s="120">
        <v>5950123</v>
      </c>
      <c r="J12" s="120">
        <v>6725770</v>
      </c>
      <c r="K12" s="120">
        <v>7650946</v>
      </c>
      <c r="L12" s="120">
        <v>7994473</v>
      </c>
      <c r="M12" s="120">
        <v>6481497</v>
      </c>
      <c r="N12" s="120">
        <v>5491982</v>
      </c>
      <c r="O12" s="120">
        <v>6382412</v>
      </c>
      <c r="P12" s="120">
        <v>8098782</v>
      </c>
    </row>
    <row r="13" spans="1:16" ht="15" customHeight="1" x14ac:dyDescent="0.25">
      <c r="A13" s="4"/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5"/>
      <c r="N13" s="45"/>
      <c r="O13" s="13"/>
      <c r="P13" s="45"/>
    </row>
    <row r="14" spans="1:16" ht="15" customHeight="1" x14ac:dyDescent="0.25">
      <c r="A14" s="4">
        <v>6</v>
      </c>
      <c r="B14" s="6" t="s">
        <v>45</v>
      </c>
      <c r="C14" s="91">
        <f t="shared" ref="C14:P14" si="1">C10-C12</f>
        <v>475097201</v>
      </c>
      <c r="D14" s="91">
        <f t="shared" si="1"/>
        <v>504446380</v>
      </c>
      <c r="E14" s="91">
        <f t="shared" si="1"/>
        <v>656314185</v>
      </c>
      <c r="F14" s="91">
        <f t="shared" si="1"/>
        <v>556766097</v>
      </c>
      <c r="G14" s="91">
        <f t="shared" si="1"/>
        <v>476845898</v>
      </c>
      <c r="H14" s="91">
        <f t="shared" si="1"/>
        <v>432668384</v>
      </c>
      <c r="I14" s="91">
        <f t="shared" si="1"/>
        <v>435522877</v>
      </c>
      <c r="J14" s="91">
        <f t="shared" si="1"/>
        <v>466712230</v>
      </c>
      <c r="K14" s="91">
        <f t="shared" si="1"/>
        <v>501223054</v>
      </c>
      <c r="L14" s="91">
        <f t="shared" si="1"/>
        <v>532614527</v>
      </c>
      <c r="M14" s="91">
        <f t="shared" si="1"/>
        <v>450461503</v>
      </c>
      <c r="N14" s="91">
        <f t="shared" si="1"/>
        <v>409861018</v>
      </c>
      <c r="O14" s="91">
        <f t="shared" si="1"/>
        <v>459446588</v>
      </c>
      <c r="P14" s="91">
        <f t="shared" si="1"/>
        <v>563101218</v>
      </c>
    </row>
    <row r="15" spans="1:16" ht="15" customHeight="1" x14ac:dyDescent="0.25">
      <c r="A15" s="4"/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5"/>
      <c r="N15" s="45"/>
      <c r="O15" s="13"/>
      <c r="P15" s="45"/>
    </row>
    <row r="16" spans="1:16" ht="15" customHeight="1" x14ac:dyDescent="0.25">
      <c r="A16" s="4">
        <v>7</v>
      </c>
      <c r="B16" s="6" t="s">
        <v>46</v>
      </c>
      <c r="C16" s="92">
        <f>C4*C14</f>
        <v>-1453797.4350599998</v>
      </c>
      <c r="D16" s="92">
        <f t="shared" ref="D16:P16" si="2">D4*D14</f>
        <v>-625513.51119999995</v>
      </c>
      <c r="E16" s="92">
        <f t="shared" si="2"/>
        <v>-925403.00084999995</v>
      </c>
      <c r="F16" s="92">
        <f t="shared" si="2"/>
        <v>-929799.38199000002</v>
      </c>
      <c r="G16" s="92">
        <f t="shared" si="2"/>
        <v>-85832.261640000012</v>
      </c>
      <c r="H16" s="92">
        <f t="shared" si="2"/>
        <v>-891296.87104000011</v>
      </c>
      <c r="I16" s="92">
        <f t="shared" si="2"/>
        <v>-1389317.9776300001</v>
      </c>
      <c r="J16" s="92">
        <f t="shared" si="2"/>
        <v>457377.98540000001</v>
      </c>
      <c r="K16" s="92">
        <f t="shared" si="2"/>
        <v>1278118.7877</v>
      </c>
      <c r="L16" s="92">
        <f t="shared" si="2"/>
        <v>1869476.9897700001</v>
      </c>
      <c r="M16" s="92">
        <f t="shared" si="2"/>
        <v>1666707.5611</v>
      </c>
      <c r="N16" s="92">
        <f t="shared" si="2"/>
        <v>1414020.5120999999</v>
      </c>
      <c r="O16" s="92">
        <f t="shared" si="2"/>
        <v>1084293.94768</v>
      </c>
      <c r="P16" s="92">
        <f t="shared" si="2"/>
        <v>579994.25454000011</v>
      </c>
    </row>
    <row r="17" spans="1:16" ht="15" customHeight="1" x14ac:dyDescent="0.25">
      <c r="A17" s="4"/>
      <c r="B17" s="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5"/>
      <c r="N17" s="45"/>
      <c r="O17" s="13"/>
      <c r="P17" s="45"/>
    </row>
    <row r="18" spans="1:16" ht="15" customHeight="1" x14ac:dyDescent="0.25">
      <c r="A18" s="4">
        <v>8</v>
      </c>
      <c r="B18" s="6" t="s">
        <v>47</v>
      </c>
      <c r="C18" s="92">
        <f>ROUND(C8-C16,0)</f>
        <v>-283809</v>
      </c>
      <c r="D18" s="92">
        <f t="shared" ref="D18:P18" si="3">ROUND(D8-D16,0)</f>
        <v>-104154</v>
      </c>
      <c r="E18" s="92">
        <f t="shared" si="3"/>
        <v>186080</v>
      </c>
      <c r="F18" s="92">
        <f t="shared" si="3"/>
        <v>186335</v>
      </c>
      <c r="G18" s="92">
        <f t="shared" si="3"/>
        <v>12431</v>
      </c>
      <c r="H18" s="92">
        <f t="shared" si="3"/>
        <v>-16229</v>
      </c>
      <c r="I18" s="92">
        <f t="shared" si="3"/>
        <v>-116407</v>
      </c>
      <c r="J18" s="92">
        <f t="shared" si="3"/>
        <v>33273</v>
      </c>
      <c r="K18" s="92">
        <f t="shared" si="3"/>
        <v>-13458</v>
      </c>
      <c r="L18" s="92">
        <f t="shared" si="3"/>
        <v>-355723</v>
      </c>
      <c r="M18" s="92">
        <f t="shared" si="3"/>
        <v>-166177</v>
      </c>
      <c r="N18" s="92">
        <f t="shared" si="3"/>
        <v>410858</v>
      </c>
      <c r="O18" s="92">
        <f t="shared" si="3"/>
        <v>278086</v>
      </c>
      <c r="P18" s="92">
        <f t="shared" si="3"/>
        <v>-61813</v>
      </c>
    </row>
    <row r="19" spans="1:16" ht="15" customHeight="1" x14ac:dyDescent="0.25">
      <c r="A19" s="4"/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5"/>
      <c r="N19" s="45"/>
      <c r="O19" s="13"/>
      <c r="P19" s="45"/>
    </row>
    <row r="20" spans="1:16" ht="15" customHeight="1" x14ac:dyDescent="0.25">
      <c r="A20" s="4">
        <v>9</v>
      </c>
      <c r="B20" s="6" t="s">
        <v>48</v>
      </c>
      <c r="C20" s="121">
        <v>665788000</v>
      </c>
      <c r="D20" s="121">
        <v>564781000</v>
      </c>
      <c r="E20" s="121">
        <v>483533000</v>
      </c>
      <c r="F20" s="121">
        <v>438583000</v>
      </c>
      <c r="G20" s="121">
        <v>441473000</v>
      </c>
      <c r="H20" s="121">
        <v>473438000</v>
      </c>
      <c r="I20" s="121">
        <v>508874000</v>
      </c>
      <c r="J20" s="121">
        <v>540609000</v>
      </c>
      <c r="K20" s="121">
        <v>456943000</v>
      </c>
      <c r="L20" s="121">
        <v>415353000</v>
      </c>
      <c r="M20" s="121">
        <v>465829000</v>
      </c>
      <c r="N20" s="121">
        <v>571200000</v>
      </c>
      <c r="O20" s="121">
        <v>548930000</v>
      </c>
      <c r="P20" s="121">
        <v>461262000</v>
      </c>
    </row>
    <row r="21" spans="1:16" ht="15" customHeight="1" x14ac:dyDescent="0.25">
      <c r="A21" s="4"/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" customHeight="1" x14ac:dyDescent="0.25">
      <c r="A22" s="4">
        <v>10</v>
      </c>
      <c r="B22" s="6" t="s">
        <v>49</v>
      </c>
      <c r="C22" s="120">
        <v>656314485</v>
      </c>
      <c r="D22" s="120">
        <v>556766097</v>
      </c>
      <c r="E22" s="120">
        <v>476845898</v>
      </c>
      <c r="F22" s="120">
        <v>432668384</v>
      </c>
      <c r="G22" s="120">
        <v>435522877</v>
      </c>
      <c r="H22" s="120">
        <v>466712230</v>
      </c>
      <c r="I22" s="120">
        <v>501223054</v>
      </c>
      <c r="J22" s="120">
        <v>532614527</v>
      </c>
      <c r="K22" s="120">
        <v>450461503</v>
      </c>
      <c r="L22" s="120">
        <v>409861018</v>
      </c>
      <c r="M22" s="120">
        <v>459446588</v>
      </c>
      <c r="N22" s="120">
        <v>563101218</v>
      </c>
      <c r="O22" s="120">
        <v>541060089</v>
      </c>
      <c r="P22" s="120">
        <v>454826970</v>
      </c>
    </row>
    <row r="23" spans="1:16" ht="15" customHeight="1" x14ac:dyDescent="0.25">
      <c r="A23" s="4"/>
      <c r="B23" s="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5"/>
      <c r="N23" s="45"/>
      <c r="O23" s="13"/>
      <c r="P23" s="45"/>
    </row>
    <row r="24" spans="1:16" ht="15" customHeight="1" x14ac:dyDescent="0.25">
      <c r="A24" s="4">
        <v>11</v>
      </c>
      <c r="B24" s="6" t="s">
        <v>50</v>
      </c>
      <c r="C24" s="93">
        <f t="shared" ref="C24:P24" si="4">ROUND(C20/C22,5)</f>
        <v>1.0144299999999999</v>
      </c>
      <c r="D24" s="93">
        <f t="shared" si="4"/>
        <v>1.0144</v>
      </c>
      <c r="E24" s="93">
        <f t="shared" si="4"/>
        <v>1.0140199999999999</v>
      </c>
      <c r="F24" s="93">
        <f t="shared" si="4"/>
        <v>1.0136700000000001</v>
      </c>
      <c r="G24" s="93">
        <f t="shared" si="4"/>
        <v>1.01366</v>
      </c>
      <c r="H24" s="93">
        <f t="shared" si="4"/>
        <v>1.01441</v>
      </c>
      <c r="I24" s="93">
        <f t="shared" si="4"/>
        <v>1.0152600000000001</v>
      </c>
      <c r="J24" s="93">
        <f t="shared" si="4"/>
        <v>1.01501</v>
      </c>
      <c r="K24" s="93">
        <f t="shared" si="4"/>
        <v>1.0143899999999999</v>
      </c>
      <c r="L24" s="93">
        <f t="shared" si="4"/>
        <v>1.0134000000000001</v>
      </c>
      <c r="M24" s="93">
        <f t="shared" si="4"/>
        <v>1.01389</v>
      </c>
      <c r="N24" s="93">
        <f t="shared" si="4"/>
        <v>1.0143800000000001</v>
      </c>
      <c r="O24" s="93">
        <f t="shared" si="4"/>
        <v>1.0145500000000001</v>
      </c>
      <c r="P24" s="93">
        <f t="shared" si="4"/>
        <v>1.0141500000000001</v>
      </c>
    </row>
    <row r="25" spans="1:16" ht="15" customHeight="1" x14ac:dyDescent="0.25">
      <c r="A25" s="4"/>
      <c r="B25" s="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45"/>
      <c r="N25" s="45"/>
      <c r="O25" s="71"/>
      <c r="P25" s="45"/>
    </row>
    <row r="26" spans="1:16" ht="15" customHeight="1" thickBot="1" x14ac:dyDescent="0.3">
      <c r="A26" s="4">
        <v>12</v>
      </c>
      <c r="B26" s="6" t="s">
        <v>51</v>
      </c>
      <c r="C26" s="122">
        <f>C18*C24</f>
        <v>-287904.36387</v>
      </c>
      <c r="D26" s="122">
        <f t="shared" ref="D26:P26" si="5">D18*D24</f>
        <v>-105653.81759999999</v>
      </c>
      <c r="E26" s="122">
        <f t="shared" si="5"/>
        <v>188688.84159999999</v>
      </c>
      <c r="F26" s="122">
        <f t="shared" si="5"/>
        <v>188882.19945000001</v>
      </c>
      <c r="G26" s="122">
        <f t="shared" si="5"/>
        <v>12600.80746</v>
      </c>
      <c r="H26" s="122">
        <f t="shared" si="5"/>
        <v>-16462.85989</v>
      </c>
      <c r="I26" s="122">
        <f t="shared" si="5"/>
        <v>-118183.37082000001</v>
      </c>
      <c r="J26" s="122">
        <f t="shared" si="5"/>
        <v>33772.427729999996</v>
      </c>
      <c r="K26" s="122">
        <f t="shared" si="5"/>
        <v>-13651.660619999999</v>
      </c>
      <c r="L26" s="122">
        <f t="shared" si="5"/>
        <v>-360489.68820000003</v>
      </c>
      <c r="M26" s="122">
        <f t="shared" si="5"/>
        <v>-168485.19852999999</v>
      </c>
      <c r="N26" s="122">
        <f t="shared" si="5"/>
        <v>416766.13804000005</v>
      </c>
      <c r="O26" s="122">
        <f t="shared" si="5"/>
        <v>282132.15130000003</v>
      </c>
      <c r="P26" s="122">
        <f t="shared" si="5"/>
        <v>-62687.653950000007</v>
      </c>
    </row>
    <row r="27" spans="1:16" ht="15" customHeight="1" thickTop="1" x14ac:dyDescent="0.25">
      <c r="O27" s="13"/>
      <c r="P27" s="45"/>
    </row>
    <row r="28" spans="1:16" ht="15" customHeight="1" x14ac:dyDescent="0.25">
      <c r="O28" s="13"/>
      <c r="P28" s="45"/>
    </row>
    <row r="29" spans="1:16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2"/>
      <c r="P29" s="52"/>
    </row>
    <row r="30" spans="1:16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2"/>
      <c r="P30" s="52"/>
    </row>
    <row r="31" spans="1:16" ht="15" customHeight="1" x14ac:dyDescent="0.25">
      <c r="B31" s="129" t="s">
        <v>158</v>
      </c>
      <c r="O31" s="13"/>
      <c r="P31" s="45"/>
    </row>
    <row r="32" spans="1:16" ht="15" customHeight="1" x14ac:dyDescent="0.25">
      <c r="C32" s="207" t="s">
        <v>70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  <c r="O32" s="205" t="s">
        <v>177</v>
      </c>
      <c r="P32" s="206"/>
    </row>
    <row r="33" spans="1:16" ht="15" customHeight="1" x14ac:dyDescent="0.25">
      <c r="C33" s="17" t="s">
        <v>0</v>
      </c>
      <c r="D33" s="17" t="s">
        <v>1</v>
      </c>
      <c r="E33" s="17" t="s">
        <v>2</v>
      </c>
      <c r="F33" s="17" t="s">
        <v>3</v>
      </c>
      <c r="G33" s="17" t="s">
        <v>4</v>
      </c>
      <c r="H33" s="17" t="s">
        <v>5</v>
      </c>
      <c r="I33" s="17" t="s">
        <v>6</v>
      </c>
      <c r="J33" s="17" t="s">
        <v>7</v>
      </c>
      <c r="K33" s="17" t="s">
        <v>8</v>
      </c>
      <c r="L33" s="17" t="s">
        <v>9</v>
      </c>
      <c r="M33" s="59" t="s">
        <v>10</v>
      </c>
      <c r="N33" s="59" t="s">
        <v>11</v>
      </c>
      <c r="O33" s="53" t="s">
        <v>0</v>
      </c>
      <c r="P33" s="69" t="s">
        <v>1</v>
      </c>
    </row>
    <row r="34" spans="1:16" ht="15" customHeight="1" x14ac:dyDescent="0.2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" customHeight="1" x14ac:dyDescent="0.25">
      <c r="A35" s="4">
        <v>1</v>
      </c>
      <c r="B35" s="6" t="s">
        <v>40</v>
      </c>
      <c r="C35" s="23">
        <v>-2.4199999999999998E-3</v>
      </c>
      <c r="D35" s="23">
        <v>-7.5000000000000002E-4</v>
      </c>
      <c r="E35" s="23">
        <f>'Fac-Page 1'!C36</f>
        <v>-1.8699999999999999E-3</v>
      </c>
      <c r="F35" s="23">
        <f>'Fac-Page 1'!D36</f>
        <v>-2.0300000000000001E-3</v>
      </c>
      <c r="G35" s="23">
        <f>'Fac-Page 1'!E36</f>
        <v>2.2000000000000001E-4</v>
      </c>
      <c r="H35" s="23">
        <f>'Fac-Page 1'!F36</f>
        <v>-2.2699999999999999E-3</v>
      </c>
      <c r="I35" s="23">
        <f>'Fac-Page 1'!G36</f>
        <v>-3.2299999999999998E-3</v>
      </c>
      <c r="J35" s="23">
        <f>'Fac-Page 1'!H36</f>
        <v>1.1999999999999999E-3</v>
      </c>
      <c r="K35" s="23">
        <f>'Fac-Page 1'!I36</f>
        <v>2.8400000000000001E-3</v>
      </c>
      <c r="L35" s="23">
        <f>'Fac-Page 1'!J36</f>
        <v>3.3800000000000002E-3</v>
      </c>
      <c r="M35" s="23">
        <f>'Fac-Page 1'!K36</f>
        <v>3.82E-3</v>
      </c>
      <c r="N35" s="23">
        <f>'Fac-Page 1'!L36</f>
        <v>3.8E-3</v>
      </c>
      <c r="O35" s="23">
        <f>'Fac-Page 1'!M36</f>
        <v>2.5300000000000001E-3</v>
      </c>
      <c r="P35" s="23">
        <f>'Fac-Page 1'!N36</f>
        <v>1.1800000000000001E-3</v>
      </c>
    </row>
    <row r="36" spans="1:16" ht="15" customHeight="1" x14ac:dyDescent="0.25">
      <c r="A36" s="4"/>
      <c r="B36" s="6"/>
      <c r="C36" s="56"/>
      <c r="D36" s="56"/>
      <c r="E36" s="56"/>
      <c r="F36" s="56"/>
      <c r="G36" s="56"/>
      <c r="H36" s="56"/>
      <c r="I36" s="56"/>
      <c r="J36" s="56"/>
      <c r="K36" s="56"/>
      <c r="L36" s="56"/>
      <c r="O36" s="45"/>
      <c r="P36" s="45"/>
    </row>
    <row r="37" spans="1:16" ht="15" customHeight="1" x14ac:dyDescent="0.25">
      <c r="A37" s="4">
        <v>2</v>
      </c>
      <c r="B37" s="6" t="s">
        <v>41</v>
      </c>
      <c r="C37" s="120">
        <v>567845023</v>
      </c>
      <c r="D37" s="120">
        <v>588442120</v>
      </c>
      <c r="E37" s="120">
        <v>524342891</v>
      </c>
      <c r="F37" s="120">
        <v>445188132</v>
      </c>
      <c r="G37" s="120">
        <v>407783644</v>
      </c>
      <c r="H37" s="120">
        <v>440546445</v>
      </c>
      <c r="I37" s="120">
        <v>472014095</v>
      </c>
      <c r="J37" s="120">
        <v>500664142</v>
      </c>
      <c r="K37" s="120">
        <v>495945424</v>
      </c>
      <c r="L37" s="120">
        <v>431269026</v>
      </c>
      <c r="M37" s="120">
        <v>405548859</v>
      </c>
      <c r="N37" s="120">
        <v>528950295</v>
      </c>
      <c r="O37" s="120">
        <v>577279581</v>
      </c>
      <c r="P37" s="120">
        <v>503088824</v>
      </c>
    </row>
    <row r="38" spans="1:16" ht="15" customHeight="1" x14ac:dyDescent="0.25">
      <c r="A38" s="4"/>
      <c r="B38" s="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45"/>
      <c r="N38" s="45"/>
      <c r="O38" s="13"/>
      <c r="P38" s="70"/>
    </row>
    <row r="39" spans="1:16" ht="15" customHeight="1" x14ac:dyDescent="0.25">
      <c r="A39" s="4">
        <v>3</v>
      </c>
      <c r="B39" s="6" t="s">
        <v>42</v>
      </c>
      <c r="C39" s="91">
        <f t="shared" ref="C39:P39" si="6">ROUND(C35*C37,0)</f>
        <v>-1374185</v>
      </c>
      <c r="D39" s="91">
        <f t="shared" si="6"/>
        <v>-441332</v>
      </c>
      <c r="E39" s="91">
        <f t="shared" si="6"/>
        <v>-980521</v>
      </c>
      <c r="F39" s="91">
        <f t="shared" si="6"/>
        <v>-903732</v>
      </c>
      <c r="G39" s="91">
        <f t="shared" si="6"/>
        <v>89712</v>
      </c>
      <c r="H39" s="91">
        <f t="shared" si="6"/>
        <v>-1000040</v>
      </c>
      <c r="I39" s="91">
        <f t="shared" si="6"/>
        <v>-1524606</v>
      </c>
      <c r="J39" s="91">
        <f t="shared" si="6"/>
        <v>600797</v>
      </c>
      <c r="K39" s="91">
        <f t="shared" si="6"/>
        <v>1408485</v>
      </c>
      <c r="L39" s="91">
        <f t="shared" si="6"/>
        <v>1457689</v>
      </c>
      <c r="M39" s="91">
        <f t="shared" si="6"/>
        <v>1549197</v>
      </c>
      <c r="N39" s="91">
        <f t="shared" si="6"/>
        <v>2010011</v>
      </c>
      <c r="O39" s="91">
        <f t="shared" si="6"/>
        <v>1460517</v>
      </c>
      <c r="P39" s="91">
        <f t="shared" si="6"/>
        <v>593645</v>
      </c>
    </row>
    <row r="40" spans="1:16" ht="15" customHeight="1" x14ac:dyDescent="0.25">
      <c r="A40" s="4"/>
      <c r="B40" s="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45"/>
      <c r="N40" s="45"/>
      <c r="O40" s="13"/>
      <c r="P40" s="45"/>
    </row>
    <row r="41" spans="1:16" ht="15" customHeight="1" x14ac:dyDescent="0.25">
      <c r="A41" s="4">
        <v>4</v>
      </c>
      <c r="B41" s="6" t="s">
        <v>43</v>
      </c>
      <c r="C41" s="121">
        <v>481798000</v>
      </c>
      <c r="D41" s="121">
        <v>511879000</v>
      </c>
      <c r="E41" s="121">
        <v>665788000</v>
      </c>
      <c r="F41" s="121">
        <v>564781000</v>
      </c>
      <c r="G41" s="121">
        <v>483533000</v>
      </c>
      <c r="H41" s="121">
        <v>438583000</v>
      </c>
      <c r="I41" s="121">
        <v>441473000</v>
      </c>
      <c r="J41" s="121">
        <v>473438000</v>
      </c>
      <c r="K41" s="121">
        <v>508874000</v>
      </c>
      <c r="L41" s="121">
        <v>540609000</v>
      </c>
      <c r="M41" s="121">
        <v>456943000</v>
      </c>
      <c r="N41" s="121">
        <v>415353000</v>
      </c>
      <c r="O41" s="121">
        <v>465829000</v>
      </c>
      <c r="P41" s="121">
        <v>571200000</v>
      </c>
    </row>
    <row r="42" spans="1:16" ht="15" customHeight="1" x14ac:dyDescent="0.25">
      <c r="A42" s="4"/>
      <c r="B42" s="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5" customHeight="1" x14ac:dyDescent="0.25">
      <c r="A43" s="4">
        <v>5</v>
      </c>
      <c r="B43" s="6" t="s">
        <v>44</v>
      </c>
      <c r="C43" s="120">
        <v>6700799</v>
      </c>
      <c r="D43" s="120">
        <v>7432620</v>
      </c>
      <c r="E43" s="120">
        <v>9473815</v>
      </c>
      <c r="F43" s="120">
        <v>8014903</v>
      </c>
      <c r="G43" s="120">
        <v>6687102</v>
      </c>
      <c r="H43" s="120">
        <v>5914616</v>
      </c>
      <c r="I43" s="120">
        <v>5950123</v>
      </c>
      <c r="J43" s="120">
        <v>6725770</v>
      </c>
      <c r="K43" s="120">
        <v>7650946</v>
      </c>
      <c r="L43" s="120">
        <v>7994473</v>
      </c>
      <c r="M43" s="120">
        <v>6481497</v>
      </c>
      <c r="N43" s="120">
        <v>5491982</v>
      </c>
      <c r="O43" s="120">
        <v>6382412</v>
      </c>
      <c r="P43" s="120">
        <v>8098782</v>
      </c>
    </row>
    <row r="44" spans="1:16" ht="15" customHeight="1" x14ac:dyDescent="0.25">
      <c r="A44" s="4"/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45"/>
      <c r="N44" s="45"/>
      <c r="O44" s="13"/>
      <c r="P44" s="45"/>
    </row>
    <row r="45" spans="1:16" ht="15" customHeight="1" x14ac:dyDescent="0.25">
      <c r="A45" s="4">
        <v>6</v>
      </c>
      <c r="B45" s="6" t="s">
        <v>45</v>
      </c>
      <c r="C45" s="91">
        <f t="shared" ref="C45:P45" si="7">C41-C43</f>
        <v>475097201</v>
      </c>
      <c r="D45" s="91">
        <f t="shared" si="7"/>
        <v>504446380</v>
      </c>
      <c r="E45" s="91">
        <f t="shared" si="7"/>
        <v>656314185</v>
      </c>
      <c r="F45" s="91">
        <f t="shared" si="7"/>
        <v>556766097</v>
      </c>
      <c r="G45" s="91">
        <f t="shared" si="7"/>
        <v>476845898</v>
      </c>
      <c r="H45" s="91">
        <f t="shared" si="7"/>
        <v>432668384</v>
      </c>
      <c r="I45" s="91">
        <f t="shared" si="7"/>
        <v>435522877</v>
      </c>
      <c r="J45" s="91">
        <f t="shared" si="7"/>
        <v>466712230</v>
      </c>
      <c r="K45" s="91">
        <f t="shared" si="7"/>
        <v>501223054</v>
      </c>
      <c r="L45" s="91">
        <f t="shared" si="7"/>
        <v>532614527</v>
      </c>
      <c r="M45" s="91">
        <f t="shared" si="7"/>
        <v>450461503</v>
      </c>
      <c r="N45" s="91">
        <f t="shared" si="7"/>
        <v>409861018</v>
      </c>
      <c r="O45" s="91">
        <f t="shared" si="7"/>
        <v>459446588</v>
      </c>
      <c r="P45" s="91">
        <f t="shared" si="7"/>
        <v>563101218</v>
      </c>
    </row>
    <row r="46" spans="1:16" ht="15" customHeight="1" x14ac:dyDescent="0.25">
      <c r="A46" s="4"/>
      <c r="B46" s="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45"/>
      <c r="N46" s="45"/>
      <c r="O46" s="13"/>
      <c r="P46" s="45"/>
    </row>
    <row r="47" spans="1:16" ht="15" customHeight="1" x14ac:dyDescent="0.25">
      <c r="A47" s="4">
        <v>7</v>
      </c>
      <c r="B47" s="6" t="s">
        <v>46</v>
      </c>
      <c r="C47" s="92">
        <f>C35*C45</f>
        <v>-1149735.22642</v>
      </c>
      <c r="D47" s="92">
        <f t="shared" ref="D47:P47" si="8">D35*D45</f>
        <v>-378334.78500000003</v>
      </c>
      <c r="E47" s="92">
        <f t="shared" si="8"/>
        <v>-1227307.5259499999</v>
      </c>
      <c r="F47" s="92">
        <f t="shared" si="8"/>
        <v>-1130235.1769100002</v>
      </c>
      <c r="G47" s="92">
        <f t="shared" si="8"/>
        <v>104906.09756000001</v>
      </c>
      <c r="H47" s="92">
        <f t="shared" si="8"/>
        <v>-982157.23167999997</v>
      </c>
      <c r="I47" s="92">
        <f t="shared" si="8"/>
        <v>-1406738.8927099998</v>
      </c>
      <c r="J47" s="92">
        <f t="shared" si="8"/>
        <v>560054.67599999998</v>
      </c>
      <c r="K47" s="92">
        <f t="shared" si="8"/>
        <v>1423473.4733599999</v>
      </c>
      <c r="L47" s="92">
        <f t="shared" si="8"/>
        <v>1800237.1012600001</v>
      </c>
      <c r="M47" s="92">
        <f t="shared" si="8"/>
        <v>1720762.9414600001</v>
      </c>
      <c r="N47" s="92">
        <f t="shared" si="8"/>
        <v>1557471.8684</v>
      </c>
      <c r="O47" s="92">
        <f t="shared" si="8"/>
        <v>1162399.8676400001</v>
      </c>
      <c r="P47" s="92">
        <f t="shared" si="8"/>
        <v>664459.43724</v>
      </c>
    </row>
    <row r="48" spans="1:16" ht="15" customHeight="1" x14ac:dyDescent="0.25">
      <c r="A48" s="4"/>
      <c r="B48" s="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45"/>
      <c r="N48" s="45"/>
      <c r="O48" s="13"/>
      <c r="P48" s="45"/>
    </row>
    <row r="49" spans="1:16" ht="15" customHeight="1" x14ac:dyDescent="0.25">
      <c r="A49" s="4">
        <v>8</v>
      </c>
      <c r="B49" s="6" t="s">
        <v>47</v>
      </c>
      <c r="C49" s="92">
        <f>ROUND(C39-C47,0)</f>
        <v>-224450</v>
      </c>
      <c r="D49" s="92">
        <f>ROUND(D39-D47,0)</f>
        <v>-62997</v>
      </c>
      <c r="E49" s="92">
        <f t="shared" ref="E49:P49" si="9">ROUND(E39-E47,0)</f>
        <v>246787</v>
      </c>
      <c r="F49" s="92">
        <f t="shared" si="9"/>
        <v>226503</v>
      </c>
      <c r="G49" s="92">
        <f t="shared" si="9"/>
        <v>-15194</v>
      </c>
      <c r="H49" s="92">
        <f t="shared" si="9"/>
        <v>-17883</v>
      </c>
      <c r="I49" s="92">
        <f t="shared" si="9"/>
        <v>-117867</v>
      </c>
      <c r="J49" s="92">
        <f t="shared" si="9"/>
        <v>40742</v>
      </c>
      <c r="K49" s="92">
        <f t="shared" si="9"/>
        <v>-14988</v>
      </c>
      <c r="L49" s="92">
        <f t="shared" si="9"/>
        <v>-342548</v>
      </c>
      <c r="M49" s="92">
        <f t="shared" si="9"/>
        <v>-171566</v>
      </c>
      <c r="N49" s="92">
        <f t="shared" si="9"/>
        <v>452539</v>
      </c>
      <c r="O49" s="92">
        <f t="shared" si="9"/>
        <v>298117</v>
      </c>
      <c r="P49" s="92">
        <f t="shared" si="9"/>
        <v>-70814</v>
      </c>
    </row>
    <row r="50" spans="1:16" ht="15" customHeight="1" x14ac:dyDescent="0.25">
      <c r="A50" s="4"/>
      <c r="B50" s="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45"/>
      <c r="N50" s="45"/>
      <c r="O50" s="13"/>
      <c r="P50" s="45"/>
    </row>
    <row r="51" spans="1:16" ht="15" customHeight="1" x14ac:dyDescent="0.25">
      <c r="A51" s="4">
        <v>9</v>
      </c>
      <c r="B51" s="6" t="s">
        <v>48</v>
      </c>
      <c r="C51" s="121">
        <v>665788000</v>
      </c>
      <c r="D51" s="121">
        <v>564781000</v>
      </c>
      <c r="E51" s="121">
        <v>483533000</v>
      </c>
      <c r="F51" s="121">
        <v>438583000</v>
      </c>
      <c r="G51" s="121">
        <v>441473000</v>
      </c>
      <c r="H51" s="121">
        <v>473438000</v>
      </c>
      <c r="I51" s="121">
        <v>508874000</v>
      </c>
      <c r="J51" s="121">
        <v>540609000</v>
      </c>
      <c r="K51" s="121">
        <v>456943000</v>
      </c>
      <c r="L51" s="121">
        <v>415353000</v>
      </c>
      <c r="M51" s="121">
        <v>465829000</v>
      </c>
      <c r="N51" s="121">
        <v>571200000</v>
      </c>
      <c r="O51" s="121">
        <v>548930000</v>
      </c>
      <c r="P51" s="121">
        <v>461262000</v>
      </c>
    </row>
    <row r="52" spans="1:16" ht="15" customHeight="1" x14ac:dyDescent="0.25">
      <c r="A52" s="4"/>
      <c r="B52" s="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5" customHeight="1" x14ac:dyDescent="0.25">
      <c r="A53" s="4">
        <v>10</v>
      </c>
      <c r="B53" s="6" t="s">
        <v>49</v>
      </c>
      <c r="C53" s="120">
        <v>656314485</v>
      </c>
      <c r="D53" s="120">
        <v>556766097</v>
      </c>
      <c r="E53" s="120">
        <v>476845898</v>
      </c>
      <c r="F53" s="120">
        <v>432668384</v>
      </c>
      <c r="G53" s="120">
        <v>435522877</v>
      </c>
      <c r="H53" s="120">
        <v>466712230</v>
      </c>
      <c r="I53" s="120">
        <v>501223054</v>
      </c>
      <c r="J53" s="120">
        <v>532614527</v>
      </c>
      <c r="K53" s="120">
        <v>450461503</v>
      </c>
      <c r="L53" s="120">
        <v>409861018</v>
      </c>
      <c r="M53" s="120">
        <v>459446588</v>
      </c>
      <c r="N53" s="120">
        <v>563101218</v>
      </c>
      <c r="O53" s="120">
        <v>541060089</v>
      </c>
      <c r="P53" s="120">
        <v>454826970</v>
      </c>
    </row>
    <row r="54" spans="1:16" ht="15" customHeight="1" x14ac:dyDescent="0.25">
      <c r="A54" s="4"/>
      <c r="B54" s="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45"/>
      <c r="N54" s="45"/>
      <c r="O54" s="13"/>
      <c r="P54" s="45"/>
    </row>
    <row r="55" spans="1:16" ht="15" customHeight="1" x14ac:dyDescent="0.25">
      <c r="A55" s="4">
        <v>11</v>
      </c>
      <c r="B55" s="6" t="s">
        <v>50</v>
      </c>
      <c r="C55" s="93">
        <f t="shared" ref="C55:P55" si="10">ROUND(C51/C53,5)</f>
        <v>1.0144299999999999</v>
      </c>
      <c r="D55" s="93">
        <f t="shared" si="10"/>
        <v>1.0144</v>
      </c>
      <c r="E55" s="93">
        <f t="shared" si="10"/>
        <v>1.0140199999999999</v>
      </c>
      <c r="F55" s="93">
        <f t="shared" si="10"/>
        <v>1.0136700000000001</v>
      </c>
      <c r="G55" s="93">
        <f t="shared" si="10"/>
        <v>1.01366</v>
      </c>
      <c r="H55" s="93">
        <f t="shared" si="10"/>
        <v>1.01441</v>
      </c>
      <c r="I55" s="93">
        <f t="shared" si="10"/>
        <v>1.0152600000000001</v>
      </c>
      <c r="J55" s="93">
        <f t="shared" si="10"/>
        <v>1.01501</v>
      </c>
      <c r="K55" s="93">
        <f t="shared" si="10"/>
        <v>1.0143899999999999</v>
      </c>
      <c r="L55" s="93">
        <f t="shared" si="10"/>
        <v>1.0134000000000001</v>
      </c>
      <c r="M55" s="93">
        <f t="shared" si="10"/>
        <v>1.01389</v>
      </c>
      <c r="N55" s="93">
        <f t="shared" si="10"/>
        <v>1.0143800000000001</v>
      </c>
      <c r="O55" s="93">
        <f t="shared" si="10"/>
        <v>1.0145500000000001</v>
      </c>
      <c r="P55" s="93">
        <f t="shared" si="10"/>
        <v>1.0141500000000001</v>
      </c>
    </row>
    <row r="56" spans="1:16" ht="15" customHeight="1" x14ac:dyDescent="0.25">
      <c r="A56" s="4"/>
      <c r="B56" s="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45"/>
      <c r="N56" s="45"/>
      <c r="O56" s="71"/>
      <c r="P56" s="45"/>
    </row>
    <row r="57" spans="1:16" ht="15" customHeight="1" thickBot="1" x14ac:dyDescent="0.3">
      <c r="A57" s="4">
        <v>12</v>
      </c>
      <c r="B57" s="6" t="s">
        <v>51</v>
      </c>
      <c r="C57" s="97">
        <f>ROUND(C49*C55,0)</f>
        <v>-227689</v>
      </c>
      <c r="D57" s="97">
        <f>ROUND(D49*D55,0)</f>
        <v>-63904</v>
      </c>
      <c r="E57" s="97">
        <f t="shared" ref="E57:P57" si="11">ROUND(E49*E55,0)</f>
        <v>250247</v>
      </c>
      <c r="F57" s="97">
        <f t="shared" si="11"/>
        <v>229599</v>
      </c>
      <c r="G57" s="97">
        <f t="shared" si="11"/>
        <v>-15402</v>
      </c>
      <c r="H57" s="97">
        <f t="shared" si="11"/>
        <v>-18141</v>
      </c>
      <c r="I57" s="97">
        <f t="shared" si="11"/>
        <v>-119666</v>
      </c>
      <c r="J57" s="97">
        <f t="shared" si="11"/>
        <v>41354</v>
      </c>
      <c r="K57" s="97">
        <f t="shared" si="11"/>
        <v>-15204</v>
      </c>
      <c r="L57" s="97">
        <f t="shared" si="11"/>
        <v>-347138</v>
      </c>
      <c r="M57" s="97">
        <f t="shared" si="11"/>
        <v>-173949</v>
      </c>
      <c r="N57" s="97">
        <f t="shared" si="11"/>
        <v>459047</v>
      </c>
      <c r="O57" s="97">
        <f t="shared" si="11"/>
        <v>302455</v>
      </c>
      <c r="P57" s="97">
        <f t="shared" si="11"/>
        <v>-71816</v>
      </c>
    </row>
    <row r="58" spans="1:16" ht="15" customHeight="1" thickTop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45"/>
      <c r="N58" s="45"/>
      <c r="P58" s="56"/>
    </row>
    <row r="60" spans="1:16" s="33" customFormat="1" ht="15" customHeight="1" x14ac:dyDescent="0.25">
      <c r="A60" s="127"/>
      <c r="B60" s="128"/>
    </row>
    <row r="61" spans="1:16" s="33" customFormat="1" ht="15" customHeight="1" x14ac:dyDescent="0.25">
      <c r="A61" s="127"/>
      <c r="B61" s="128"/>
    </row>
    <row r="62" spans="1:16" s="33" customFormat="1" ht="15" customHeight="1" x14ac:dyDescent="0.25">
      <c r="A62" s="127"/>
      <c r="B62" s="128"/>
    </row>
    <row r="63" spans="1:16" s="33" customFormat="1" ht="15" customHeight="1" x14ac:dyDescent="0.25">
      <c r="A63" s="127"/>
      <c r="B63" s="128"/>
    </row>
    <row r="64" spans="1:16" s="33" customFormat="1" ht="15" customHeight="1" x14ac:dyDescent="0.25">
      <c r="A64" s="127"/>
      <c r="B64" s="128"/>
    </row>
    <row r="65" spans="1:2" s="33" customFormat="1" ht="15" customHeight="1" x14ac:dyDescent="0.25">
      <c r="A65" s="127"/>
      <c r="B65" s="128"/>
    </row>
    <row r="66" spans="1:2" s="33" customFormat="1" ht="15" customHeight="1" x14ac:dyDescent="0.25">
      <c r="A66" s="127"/>
      <c r="B66" s="128"/>
    </row>
    <row r="67" spans="1:2" s="33" customFormat="1" ht="15" customHeight="1" x14ac:dyDescent="0.25">
      <c r="A67" s="127"/>
      <c r="B67" s="128"/>
    </row>
    <row r="68" spans="1:2" s="33" customFormat="1" ht="15" customHeight="1" x14ac:dyDescent="0.25">
      <c r="A68" s="127"/>
      <c r="B68" s="128"/>
    </row>
    <row r="69" spans="1:2" s="33" customFormat="1" ht="15" customHeight="1" x14ac:dyDescent="0.25">
      <c r="A69" s="127"/>
      <c r="B69" s="128"/>
    </row>
    <row r="70" spans="1:2" s="33" customFormat="1" ht="15" customHeight="1" x14ac:dyDescent="0.25">
      <c r="A70" s="127"/>
      <c r="B70" s="128"/>
    </row>
    <row r="71" spans="1:2" s="33" customFormat="1" ht="15" customHeight="1" x14ac:dyDescent="0.25">
      <c r="A71" s="127"/>
      <c r="B71" s="128"/>
    </row>
    <row r="72" spans="1:2" s="33" customFormat="1" ht="15" customHeight="1" x14ac:dyDescent="0.25">
      <c r="A72" s="127"/>
      <c r="B72" s="128"/>
    </row>
    <row r="73" spans="1:2" s="33" customFormat="1" ht="15" customHeight="1" x14ac:dyDescent="0.25">
      <c r="A73" s="127"/>
      <c r="B73" s="128"/>
    </row>
    <row r="74" spans="1:2" s="33" customFormat="1" ht="15" customHeight="1" x14ac:dyDescent="0.25">
      <c r="A74" s="127"/>
      <c r="B74" s="128"/>
    </row>
    <row r="75" spans="1:2" s="33" customFormat="1" ht="15" customHeight="1" x14ac:dyDescent="0.25">
      <c r="A75" s="127"/>
      <c r="B75" s="128"/>
    </row>
    <row r="76" spans="1:2" s="33" customFormat="1" ht="15" customHeight="1" x14ac:dyDescent="0.25">
      <c r="A76" s="127"/>
      <c r="B76" s="128"/>
    </row>
    <row r="77" spans="1:2" s="33" customFormat="1" ht="15" customHeight="1" x14ac:dyDescent="0.25">
      <c r="A77" s="127"/>
      <c r="B77" s="128"/>
    </row>
    <row r="78" spans="1:2" s="33" customFormat="1" ht="15" customHeight="1" x14ac:dyDescent="0.25">
      <c r="A78" s="127"/>
      <c r="B78" s="128"/>
    </row>
    <row r="79" spans="1:2" s="33" customFormat="1" ht="15" customHeight="1" x14ac:dyDescent="0.25">
      <c r="A79" s="127"/>
      <c r="B79" s="128"/>
    </row>
    <row r="80" spans="1:2" s="33" customFormat="1" ht="15" customHeight="1" x14ac:dyDescent="0.25">
      <c r="A80" s="127"/>
      <c r="B80" s="128"/>
    </row>
    <row r="81" spans="1:2" s="33" customFormat="1" ht="15" customHeight="1" x14ac:dyDescent="0.25">
      <c r="A81" s="127"/>
      <c r="B81" s="128"/>
    </row>
    <row r="82" spans="1:2" s="33" customFormat="1" ht="15" customHeight="1" x14ac:dyDescent="0.25">
      <c r="A82" s="127"/>
      <c r="B82" s="128"/>
    </row>
    <row r="83" spans="1:2" s="33" customFormat="1" ht="15" customHeight="1" x14ac:dyDescent="0.25"/>
    <row r="84" spans="1:2" s="33" customFormat="1" ht="15" customHeight="1" x14ac:dyDescent="0.25"/>
    <row r="85" spans="1:2" s="33" customFormat="1" ht="15" customHeight="1" x14ac:dyDescent="0.25"/>
    <row r="86" spans="1:2" s="33" customFormat="1" ht="15" customHeight="1" x14ac:dyDescent="0.25"/>
    <row r="87" spans="1:2" s="33" customFormat="1" ht="15" customHeight="1" x14ac:dyDescent="0.25"/>
    <row r="88" spans="1:2" s="33" customFormat="1" ht="15" customHeight="1" x14ac:dyDescent="0.25"/>
    <row r="89" spans="1:2" s="33" customFormat="1" ht="15" customHeight="1" x14ac:dyDescent="0.25"/>
    <row r="90" spans="1:2" s="33" customFormat="1" ht="15" customHeight="1" x14ac:dyDescent="0.25"/>
    <row r="91" spans="1:2" s="33" customFormat="1" ht="15" customHeight="1" x14ac:dyDescent="0.25"/>
    <row r="92" spans="1:2" s="33" customFormat="1" ht="15" customHeight="1" x14ac:dyDescent="0.25"/>
    <row r="93" spans="1:2" s="33" customFormat="1" ht="15" customHeight="1" x14ac:dyDescent="0.25"/>
    <row r="94" spans="1:2" s="33" customFormat="1" ht="15" customHeight="1" x14ac:dyDescent="0.25"/>
    <row r="95" spans="1:2" s="33" customFormat="1" ht="15" customHeight="1" x14ac:dyDescent="0.25"/>
    <row r="96" spans="1:2" s="33" customFormat="1" ht="15" customHeight="1" x14ac:dyDescent="0.25"/>
    <row r="97" s="33" customFormat="1" ht="15" customHeight="1" x14ac:dyDescent="0.25"/>
    <row r="98" s="33" customFormat="1" ht="15" customHeight="1" x14ac:dyDescent="0.25"/>
    <row r="99" s="33" customFormat="1" ht="15" customHeight="1" x14ac:dyDescent="0.25"/>
    <row r="100" s="33" customFormat="1" ht="15" customHeight="1" x14ac:dyDescent="0.25"/>
    <row r="101" s="33" customFormat="1" ht="15" customHeight="1" x14ac:dyDescent="0.25"/>
    <row r="102" s="33" customFormat="1" ht="15" customHeight="1" x14ac:dyDescent="0.25"/>
    <row r="103" s="33" customFormat="1" ht="15" customHeight="1" x14ac:dyDescent="0.25"/>
    <row r="104" s="33" customFormat="1" ht="15" customHeight="1" x14ac:dyDescent="0.25"/>
  </sheetData>
  <mergeCells count="3">
    <mergeCell ref="O32:P32"/>
    <mergeCell ref="C1:N1"/>
    <mergeCell ref="C32:N32"/>
  </mergeCells>
  <pageMargins left="0.7" right="0.7" top="0.75" bottom="0.75" header="0.3" footer="0.3"/>
  <pageSetup paperSize="5" scale="36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A28" zoomScale="80" zoomScaleNormal="80" workbookViewId="0">
      <selection activeCell="G71" sqref="G71"/>
    </sheetView>
  </sheetViews>
  <sheetFormatPr defaultRowHeight="15" x14ac:dyDescent="0.25"/>
  <cols>
    <col min="1" max="1" width="5.42578125" style="11" customWidth="1"/>
    <col min="2" max="2" width="51.85546875" customWidth="1"/>
    <col min="3" max="11" width="13.7109375" customWidth="1"/>
    <col min="12" max="13" width="13.7109375" style="56" customWidth="1"/>
    <col min="14" max="15" width="13.7109375" customWidth="1"/>
    <col min="16" max="16" width="13.5703125" style="56" customWidth="1"/>
  </cols>
  <sheetData>
    <row r="1" spans="1:16" x14ac:dyDescent="0.25">
      <c r="B1" s="10" t="s">
        <v>169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O1" s="54">
        <v>2017</v>
      </c>
    </row>
    <row r="2" spans="1:16" x14ac:dyDescent="0.25">
      <c r="D2" s="56"/>
    </row>
    <row r="3" spans="1:16" x14ac:dyDescent="0.25"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59" t="s">
        <v>9</v>
      </c>
      <c r="M3" s="59" t="s">
        <v>10</v>
      </c>
      <c r="N3" s="51" t="s">
        <v>11</v>
      </c>
      <c r="O3" s="51" t="s">
        <v>0</v>
      </c>
      <c r="P3" s="59"/>
    </row>
    <row r="4" spans="1:16" x14ac:dyDescent="0.25">
      <c r="B4" s="3" t="s">
        <v>135</v>
      </c>
      <c r="C4" s="19"/>
      <c r="D4" s="19"/>
      <c r="E4" s="19"/>
      <c r="F4" s="19"/>
      <c r="G4" s="19"/>
      <c r="H4" s="19"/>
      <c r="I4" s="19"/>
      <c r="J4" s="19"/>
      <c r="K4" s="19"/>
      <c r="L4" s="65"/>
      <c r="M4" s="65"/>
    </row>
    <row r="5" spans="1:16" x14ac:dyDescent="0.25">
      <c r="A5" s="12" t="s">
        <v>15</v>
      </c>
      <c r="B5" s="18" t="s">
        <v>12</v>
      </c>
    </row>
    <row r="6" spans="1:16" x14ac:dyDescent="0.25">
      <c r="A6" s="12"/>
      <c r="B6" s="18" t="s">
        <v>56</v>
      </c>
      <c r="C6" s="20">
        <v>8646947</v>
      </c>
      <c r="D6" s="20">
        <v>9915543</v>
      </c>
      <c r="E6" s="20">
        <v>8336791</v>
      </c>
      <c r="F6" s="20">
        <v>5416082</v>
      </c>
      <c r="G6" s="20">
        <v>4598721</v>
      </c>
      <c r="H6" s="20">
        <v>10043716</v>
      </c>
      <c r="I6" s="20">
        <v>9782892</v>
      </c>
      <c r="J6" s="20">
        <v>8204102</v>
      </c>
      <c r="K6" s="20">
        <v>5062526</v>
      </c>
      <c r="L6" s="21">
        <v>2753235</v>
      </c>
      <c r="M6" s="21">
        <v>10631245</v>
      </c>
      <c r="N6" s="13">
        <v>9692450</v>
      </c>
      <c r="O6" s="13">
        <v>5123275</v>
      </c>
    </row>
    <row r="7" spans="1:16" x14ac:dyDescent="0.25">
      <c r="A7" s="12"/>
      <c r="B7" s="18" t="s">
        <v>57</v>
      </c>
      <c r="C7" s="21">
        <v>173919</v>
      </c>
      <c r="D7" s="21">
        <v>-82831</v>
      </c>
      <c r="E7" s="21">
        <v>91310</v>
      </c>
      <c r="F7" s="21">
        <v>171363</v>
      </c>
      <c r="G7" s="21">
        <v>207463</v>
      </c>
      <c r="H7" s="21">
        <v>54575</v>
      </c>
      <c r="I7" s="21">
        <v>62001</v>
      </c>
      <c r="J7" s="21">
        <v>132967</v>
      </c>
      <c r="K7" s="21">
        <v>165325</v>
      </c>
      <c r="L7" s="21">
        <v>116955</v>
      </c>
      <c r="M7" s="21">
        <v>49331</v>
      </c>
      <c r="N7" s="45">
        <v>72036</v>
      </c>
      <c r="O7" s="13">
        <v>183357</v>
      </c>
    </row>
    <row r="8" spans="1:16" x14ac:dyDescent="0.25">
      <c r="A8" s="12"/>
      <c r="B8" s="18" t="s">
        <v>58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1745525</v>
      </c>
      <c r="I8" s="21">
        <v>3349916</v>
      </c>
      <c r="J8" s="21">
        <v>3914089</v>
      </c>
      <c r="K8" s="21">
        <v>2602383</v>
      </c>
      <c r="L8" s="21">
        <v>1488253</v>
      </c>
      <c r="M8" s="21">
        <v>3117057</v>
      </c>
      <c r="N8" s="45">
        <v>1672421</v>
      </c>
      <c r="O8" s="13">
        <v>1486872</v>
      </c>
    </row>
    <row r="9" spans="1:16" x14ac:dyDescent="0.25">
      <c r="A9" s="12"/>
      <c r="B9" s="18" t="s">
        <v>59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45">
        <v>0</v>
      </c>
      <c r="O9" s="13">
        <v>0</v>
      </c>
    </row>
    <row r="10" spans="1:16" x14ac:dyDescent="0.25">
      <c r="A10" s="12"/>
      <c r="B10" s="18" t="s">
        <v>60</v>
      </c>
      <c r="C10" s="21">
        <v>285831</v>
      </c>
      <c r="D10" s="21">
        <v>0</v>
      </c>
      <c r="E10" s="21">
        <v>0</v>
      </c>
      <c r="F10" s="21">
        <v>157637</v>
      </c>
      <c r="G10" s="21">
        <v>448088</v>
      </c>
      <c r="H10" s="21">
        <v>0</v>
      </c>
      <c r="I10" s="21">
        <v>0</v>
      </c>
      <c r="J10" s="21">
        <v>351712</v>
      </c>
      <c r="K10" s="21">
        <v>960018</v>
      </c>
      <c r="L10" s="21">
        <v>0</v>
      </c>
      <c r="M10" s="21">
        <v>0</v>
      </c>
      <c r="N10" s="45">
        <v>787198</v>
      </c>
      <c r="O10" s="13">
        <v>2460421</v>
      </c>
    </row>
    <row r="11" spans="1:16" x14ac:dyDescent="0.25">
      <c r="A11" s="12"/>
      <c r="B11" s="18" t="s">
        <v>61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45">
        <v>0</v>
      </c>
      <c r="O11" s="13">
        <v>0</v>
      </c>
    </row>
    <row r="12" spans="1:16" x14ac:dyDescent="0.25">
      <c r="A12" s="12"/>
      <c r="B12" s="18" t="s">
        <v>62</v>
      </c>
      <c r="C12" s="22">
        <f t="shared" ref="C12:O12" si="0">SUM(C6:C11)</f>
        <v>9106697</v>
      </c>
      <c r="D12" s="22">
        <f t="shared" si="0"/>
        <v>9832712</v>
      </c>
      <c r="E12" s="22">
        <f t="shared" si="0"/>
        <v>8428101</v>
      </c>
      <c r="F12" s="22">
        <f t="shared" si="0"/>
        <v>5745082</v>
      </c>
      <c r="G12" s="22">
        <f t="shared" si="0"/>
        <v>5254272</v>
      </c>
      <c r="H12" s="22">
        <f t="shared" si="0"/>
        <v>11843816</v>
      </c>
      <c r="I12" s="22">
        <f t="shared" si="0"/>
        <v>13194809</v>
      </c>
      <c r="J12" s="22">
        <f t="shared" si="0"/>
        <v>12602870</v>
      </c>
      <c r="K12" s="22">
        <f t="shared" si="0"/>
        <v>8790252</v>
      </c>
      <c r="L12" s="22">
        <f t="shared" si="0"/>
        <v>4358443</v>
      </c>
      <c r="M12" s="22">
        <f t="shared" si="0"/>
        <v>13797633</v>
      </c>
      <c r="N12" s="15">
        <f t="shared" si="0"/>
        <v>12224105</v>
      </c>
      <c r="O12" s="15">
        <f t="shared" si="0"/>
        <v>9253925</v>
      </c>
    </row>
    <row r="13" spans="1:16" x14ac:dyDescent="0.25">
      <c r="A13" s="12"/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3"/>
      <c r="O13" s="13"/>
    </row>
    <row r="14" spans="1:16" x14ac:dyDescent="0.25">
      <c r="A14" s="12" t="s">
        <v>16</v>
      </c>
      <c r="B14" s="18" t="s">
        <v>13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3"/>
      <c r="O14" s="13"/>
    </row>
    <row r="15" spans="1:16" x14ac:dyDescent="0.25">
      <c r="A15" s="12"/>
      <c r="B15" s="18" t="s">
        <v>63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45">
        <v>0</v>
      </c>
      <c r="O15" s="13">
        <v>0</v>
      </c>
    </row>
    <row r="16" spans="1:16" x14ac:dyDescent="0.25">
      <c r="A16" s="12"/>
      <c r="B16" s="18" t="s">
        <v>64</v>
      </c>
      <c r="C16" s="21">
        <v>8935644</v>
      </c>
      <c r="D16" s="21">
        <v>4466806</v>
      </c>
      <c r="E16" s="21">
        <v>4233946</v>
      </c>
      <c r="F16" s="21">
        <v>6890415</v>
      </c>
      <c r="G16" s="21">
        <v>7213164</v>
      </c>
      <c r="H16" s="21">
        <v>5377896</v>
      </c>
      <c r="I16" s="21">
        <v>6586114</v>
      </c>
      <c r="J16" s="21">
        <v>8793557</v>
      </c>
      <c r="K16" s="21">
        <v>7270845</v>
      </c>
      <c r="L16" s="21">
        <v>9762188</v>
      </c>
      <c r="M16" s="21">
        <v>5758728</v>
      </c>
      <c r="N16" s="45">
        <v>7852995</v>
      </c>
      <c r="O16" s="13">
        <v>10104479</v>
      </c>
    </row>
    <row r="17" spans="1:15" x14ac:dyDescent="0.25">
      <c r="B17" s="18" t="s">
        <v>69</v>
      </c>
      <c r="C17" s="20">
        <v>355055</v>
      </c>
      <c r="D17" s="20">
        <v>0</v>
      </c>
      <c r="E17" s="20">
        <v>0</v>
      </c>
      <c r="F17" s="20">
        <v>157637</v>
      </c>
      <c r="G17" s="20">
        <v>454581</v>
      </c>
      <c r="H17" s="20">
        <v>0</v>
      </c>
      <c r="I17" s="20">
        <v>0</v>
      </c>
      <c r="J17" s="20">
        <v>461459</v>
      </c>
      <c r="K17" s="20">
        <v>991792</v>
      </c>
      <c r="L17" s="21">
        <v>0</v>
      </c>
      <c r="M17" s="21">
        <v>0</v>
      </c>
      <c r="N17" s="13">
        <v>944953</v>
      </c>
      <c r="O17" s="13">
        <v>2900034</v>
      </c>
    </row>
    <row r="18" spans="1:15" x14ac:dyDescent="0.25">
      <c r="B18" s="18" t="s">
        <v>68</v>
      </c>
      <c r="C18" s="20">
        <v>731561</v>
      </c>
      <c r="D18" s="20">
        <v>257792</v>
      </c>
      <c r="E18" s="20">
        <v>116163</v>
      </c>
      <c r="F18" s="20">
        <v>261520</v>
      </c>
      <c r="G18" s="20">
        <v>147634</v>
      </c>
      <c r="H18" s="20">
        <v>9031</v>
      </c>
      <c r="I18" s="20">
        <v>0</v>
      </c>
      <c r="J18" s="20">
        <v>16702</v>
      </c>
      <c r="K18" s="20">
        <v>75733</v>
      </c>
      <c r="L18" s="21">
        <v>0</v>
      </c>
      <c r="M18" s="21">
        <v>19</v>
      </c>
      <c r="N18" s="13">
        <v>2640</v>
      </c>
      <c r="O18" s="13">
        <v>6682</v>
      </c>
    </row>
    <row r="19" spans="1:15" x14ac:dyDescent="0.25">
      <c r="B19" s="18" t="s">
        <v>62</v>
      </c>
      <c r="C19" s="22">
        <f t="shared" ref="C19:O19" si="1">C15+C16-C17-C18</f>
        <v>7849028</v>
      </c>
      <c r="D19" s="22">
        <f t="shared" si="1"/>
        <v>4209014</v>
      </c>
      <c r="E19" s="22">
        <f t="shared" si="1"/>
        <v>4117783</v>
      </c>
      <c r="F19" s="22">
        <f t="shared" si="1"/>
        <v>6471258</v>
      </c>
      <c r="G19" s="22">
        <f t="shared" si="1"/>
        <v>6610949</v>
      </c>
      <c r="H19" s="22">
        <f t="shared" si="1"/>
        <v>5368865</v>
      </c>
      <c r="I19" s="22">
        <f t="shared" si="1"/>
        <v>6586114</v>
      </c>
      <c r="J19" s="22">
        <f t="shared" si="1"/>
        <v>8315396</v>
      </c>
      <c r="K19" s="22">
        <f t="shared" si="1"/>
        <v>6203320</v>
      </c>
      <c r="L19" s="22">
        <f t="shared" si="1"/>
        <v>9762188</v>
      </c>
      <c r="M19" s="22">
        <f t="shared" si="1"/>
        <v>5758709</v>
      </c>
      <c r="N19" s="15">
        <f t="shared" si="1"/>
        <v>6905402</v>
      </c>
      <c r="O19" s="15">
        <f t="shared" si="1"/>
        <v>7197763</v>
      </c>
    </row>
    <row r="20" spans="1:15" x14ac:dyDescent="0.25">
      <c r="A20" s="12"/>
      <c r="B20" s="18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13"/>
      <c r="O20" s="13"/>
    </row>
    <row r="21" spans="1:15" x14ac:dyDescent="0.25">
      <c r="A21" s="12" t="s">
        <v>17</v>
      </c>
      <c r="B21" s="18" t="s">
        <v>65</v>
      </c>
      <c r="C21" s="20">
        <v>581811</v>
      </c>
      <c r="D21" s="20">
        <v>742792</v>
      </c>
      <c r="E21" s="20">
        <v>858219</v>
      </c>
      <c r="F21" s="20">
        <v>668960</v>
      </c>
      <c r="G21" s="20">
        <v>1075126</v>
      </c>
      <c r="H21" s="20">
        <v>3754276</v>
      </c>
      <c r="I21" s="20">
        <v>5348471</v>
      </c>
      <c r="J21" s="20">
        <v>5676488</v>
      </c>
      <c r="K21" s="20">
        <v>1268700</v>
      </c>
      <c r="L21" s="21">
        <v>1853105</v>
      </c>
      <c r="M21" s="21">
        <v>6391622</v>
      </c>
      <c r="N21" s="13">
        <v>3566294</v>
      </c>
      <c r="O21" s="13">
        <v>1618475</v>
      </c>
    </row>
    <row r="22" spans="1:15" x14ac:dyDescent="0.25">
      <c r="A22" s="12"/>
      <c r="B22" s="18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13"/>
      <c r="O22" s="13"/>
    </row>
    <row r="23" spans="1:15" x14ac:dyDescent="0.25">
      <c r="A23" s="12"/>
      <c r="B23" s="18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13"/>
      <c r="O23" s="13"/>
    </row>
    <row r="24" spans="1:15" x14ac:dyDescent="0.25">
      <c r="A24" s="12" t="s">
        <v>18</v>
      </c>
      <c r="B24" s="18" t="s">
        <v>191</v>
      </c>
      <c r="C24" s="22">
        <f t="shared" ref="C24:O24" si="2">C12+C19-C21-C22</f>
        <v>16373914</v>
      </c>
      <c r="D24" s="22">
        <f t="shared" si="2"/>
        <v>13298934</v>
      </c>
      <c r="E24" s="22">
        <f t="shared" si="2"/>
        <v>11687665</v>
      </c>
      <c r="F24" s="22">
        <f t="shared" si="2"/>
        <v>11547380</v>
      </c>
      <c r="G24" s="22">
        <f t="shared" si="2"/>
        <v>10790095</v>
      </c>
      <c r="H24" s="22">
        <f t="shared" si="2"/>
        <v>13458405</v>
      </c>
      <c r="I24" s="22">
        <f t="shared" si="2"/>
        <v>14432452</v>
      </c>
      <c r="J24" s="22">
        <f t="shared" si="2"/>
        <v>15241778</v>
      </c>
      <c r="K24" s="22">
        <f t="shared" si="2"/>
        <v>13724872</v>
      </c>
      <c r="L24" s="22">
        <f t="shared" si="2"/>
        <v>12267526</v>
      </c>
      <c r="M24" s="22">
        <f t="shared" si="2"/>
        <v>13164720</v>
      </c>
      <c r="N24" s="15">
        <f t="shared" si="2"/>
        <v>15563213</v>
      </c>
      <c r="O24" s="15">
        <f t="shared" si="2"/>
        <v>14833213</v>
      </c>
    </row>
    <row r="25" spans="1:15" x14ac:dyDescent="0.25">
      <c r="A25" s="12"/>
      <c r="B25" s="1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3"/>
      <c r="O25" s="13"/>
    </row>
    <row r="26" spans="1:15" x14ac:dyDescent="0.25">
      <c r="A26" s="12" t="s">
        <v>19</v>
      </c>
      <c r="B26" s="18" t="s">
        <v>66</v>
      </c>
      <c r="C26" s="21">
        <v>955980</v>
      </c>
      <c r="D26" s="21">
        <v>689057</v>
      </c>
      <c r="E26" s="21">
        <v>269346</v>
      </c>
      <c r="F26" s="21">
        <v>309943</v>
      </c>
      <c r="G26" s="21">
        <v>243293</v>
      </c>
      <c r="H26" s="21">
        <v>541017</v>
      </c>
      <c r="I26" s="21">
        <v>757323</v>
      </c>
      <c r="J26" s="21">
        <v>689016</v>
      </c>
      <c r="K26" s="21">
        <v>363146</v>
      </c>
      <c r="L26" s="21">
        <v>250289</v>
      </c>
      <c r="M26" s="21">
        <v>483654</v>
      </c>
      <c r="N26" s="45">
        <v>872311</v>
      </c>
      <c r="O26" s="13">
        <v>626974</v>
      </c>
    </row>
    <row r="27" spans="1:15" x14ac:dyDescent="0.25">
      <c r="A27" s="12"/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3"/>
      <c r="O27" s="13"/>
    </row>
    <row r="28" spans="1:15" x14ac:dyDescent="0.25">
      <c r="A28" s="12" t="s">
        <v>20</v>
      </c>
      <c r="B28" s="18" t="s">
        <v>67</v>
      </c>
      <c r="C28" s="22">
        <f t="shared" ref="C28:O28" si="3">C24+C26</f>
        <v>17329894</v>
      </c>
      <c r="D28" s="22">
        <f t="shared" si="3"/>
        <v>13987991</v>
      </c>
      <c r="E28" s="22">
        <f t="shared" si="3"/>
        <v>11957011</v>
      </c>
      <c r="F28" s="22">
        <f t="shared" si="3"/>
        <v>11857323</v>
      </c>
      <c r="G28" s="22">
        <f t="shared" si="3"/>
        <v>11033388</v>
      </c>
      <c r="H28" s="22">
        <f t="shared" si="3"/>
        <v>13999422</v>
      </c>
      <c r="I28" s="22">
        <f t="shared" si="3"/>
        <v>15189775</v>
      </c>
      <c r="J28" s="22">
        <f t="shared" si="3"/>
        <v>15930794</v>
      </c>
      <c r="K28" s="22">
        <f t="shared" si="3"/>
        <v>14088018</v>
      </c>
      <c r="L28" s="22">
        <f t="shared" si="3"/>
        <v>12517815</v>
      </c>
      <c r="M28" s="22">
        <f t="shared" si="3"/>
        <v>13648374</v>
      </c>
      <c r="N28" s="15">
        <f t="shared" si="3"/>
        <v>16435524</v>
      </c>
      <c r="O28" s="15">
        <f t="shared" si="3"/>
        <v>15460187</v>
      </c>
    </row>
    <row r="29" spans="1:15" x14ac:dyDescent="0.25">
      <c r="A29" s="12"/>
      <c r="B29" s="18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13"/>
      <c r="O29" s="13"/>
    </row>
    <row r="30" spans="1:15" x14ac:dyDescent="0.25">
      <c r="A30" s="12"/>
      <c r="B30" s="18"/>
      <c r="N30" s="13"/>
      <c r="O30" s="13"/>
    </row>
    <row r="31" spans="1:15" x14ac:dyDescent="0.25">
      <c r="A31" s="25"/>
      <c r="B31" s="2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2"/>
      <c r="O31" s="52"/>
    </row>
    <row r="32" spans="1:15" x14ac:dyDescent="0.25">
      <c r="A32" s="25"/>
      <c r="B32" s="2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2"/>
      <c r="O32" s="52"/>
    </row>
    <row r="33" spans="1:15" x14ac:dyDescent="0.25">
      <c r="B33" s="203" t="s">
        <v>71</v>
      </c>
      <c r="C33" s="203"/>
      <c r="N33" s="13"/>
      <c r="O33" s="13"/>
    </row>
    <row r="34" spans="1:15" x14ac:dyDescent="0.25">
      <c r="N34" s="13"/>
      <c r="O34" s="13"/>
    </row>
    <row r="35" spans="1:15" x14ac:dyDescent="0.25">
      <c r="N35" s="13"/>
      <c r="O35" s="13"/>
    </row>
    <row r="36" spans="1:15" x14ac:dyDescent="0.25">
      <c r="A36" s="16"/>
      <c r="B36" s="30" t="s">
        <v>134</v>
      </c>
      <c r="C36" s="42" t="s">
        <v>0</v>
      </c>
      <c r="D36" s="42" t="s">
        <v>1</v>
      </c>
      <c r="E36" s="42" t="s">
        <v>2</v>
      </c>
      <c r="F36" s="42" t="s">
        <v>3</v>
      </c>
      <c r="G36" s="42" t="s">
        <v>4</v>
      </c>
      <c r="H36" s="42" t="s">
        <v>5</v>
      </c>
      <c r="I36" s="42" t="s">
        <v>6</v>
      </c>
      <c r="J36" s="42" t="s">
        <v>7</v>
      </c>
      <c r="K36" s="42" t="s">
        <v>8</v>
      </c>
      <c r="L36" s="59" t="s">
        <v>9</v>
      </c>
      <c r="M36" s="59" t="s">
        <v>10</v>
      </c>
      <c r="N36" s="53" t="s">
        <v>11</v>
      </c>
      <c r="O36" s="53" t="s">
        <v>0</v>
      </c>
    </row>
    <row r="37" spans="1:15" x14ac:dyDescent="0.25">
      <c r="A37" s="16"/>
      <c r="B37" s="3" t="s">
        <v>135</v>
      </c>
      <c r="C37" s="19"/>
      <c r="D37" s="19"/>
      <c r="E37" s="19"/>
      <c r="F37" s="19"/>
      <c r="G37" s="19"/>
      <c r="H37" s="19"/>
      <c r="I37" s="19"/>
      <c r="J37" s="19"/>
      <c r="K37" s="19"/>
      <c r="L37" s="65"/>
      <c r="M37" s="65"/>
      <c r="N37" s="13"/>
      <c r="O37" s="13"/>
    </row>
    <row r="38" spans="1:15" x14ac:dyDescent="0.25">
      <c r="A38" s="17" t="s">
        <v>15</v>
      </c>
      <c r="B38" s="18" t="s">
        <v>12</v>
      </c>
      <c r="N38" s="13"/>
      <c r="O38" s="13"/>
    </row>
    <row r="39" spans="1:15" x14ac:dyDescent="0.25">
      <c r="A39" s="17"/>
      <c r="B39" s="18" t="s">
        <v>56</v>
      </c>
      <c r="C39" s="20">
        <v>8646947</v>
      </c>
      <c r="D39" s="20">
        <v>9915543</v>
      </c>
      <c r="E39" s="20">
        <v>8336791</v>
      </c>
      <c r="F39" s="20">
        <v>5416082</v>
      </c>
      <c r="G39" s="20">
        <v>4598721</v>
      </c>
      <c r="H39" s="20">
        <v>10043716</v>
      </c>
      <c r="I39" s="20">
        <v>9782892</v>
      </c>
      <c r="J39" s="20">
        <v>8204102</v>
      </c>
      <c r="K39" s="20">
        <v>5062526</v>
      </c>
      <c r="L39" s="21">
        <v>2753235</v>
      </c>
      <c r="M39" s="21">
        <v>10631245</v>
      </c>
      <c r="N39" s="13">
        <v>9692450</v>
      </c>
      <c r="O39" s="13">
        <v>5123275</v>
      </c>
    </row>
    <row r="40" spans="1:15" x14ac:dyDescent="0.25">
      <c r="A40" s="17"/>
      <c r="B40" s="18" t="s">
        <v>57</v>
      </c>
      <c r="C40" s="21">
        <v>173919</v>
      </c>
      <c r="D40" s="21">
        <v>-82831</v>
      </c>
      <c r="E40" s="21">
        <v>91310</v>
      </c>
      <c r="F40" s="21">
        <v>171363</v>
      </c>
      <c r="G40" s="21">
        <v>207463</v>
      </c>
      <c r="H40" s="21">
        <v>54575</v>
      </c>
      <c r="I40" s="21">
        <v>62001</v>
      </c>
      <c r="J40" s="21">
        <v>132967</v>
      </c>
      <c r="K40" s="21">
        <v>165325</v>
      </c>
      <c r="L40" s="21">
        <v>116955</v>
      </c>
      <c r="M40" s="21">
        <v>49331</v>
      </c>
      <c r="N40" s="13">
        <v>72036</v>
      </c>
      <c r="O40" s="13">
        <v>183357</v>
      </c>
    </row>
    <row r="41" spans="1:15" x14ac:dyDescent="0.25">
      <c r="A41" s="17"/>
      <c r="B41" s="18" t="s">
        <v>58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1745525</v>
      </c>
      <c r="I41" s="21">
        <v>3349916</v>
      </c>
      <c r="J41" s="21">
        <v>3914089</v>
      </c>
      <c r="K41" s="21">
        <v>2602383</v>
      </c>
      <c r="L41" s="21">
        <v>1488253</v>
      </c>
      <c r="M41" s="21">
        <v>3117057</v>
      </c>
      <c r="N41" s="13">
        <v>1672421</v>
      </c>
      <c r="O41" s="13">
        <v>1486872</v>
      </c>
    </row>
    <row r="42" spans="1:15" x14ac:dyDescent="0.25">
      <c r="A42" s="17"/>
      <c r="B42" s="18" t="s">
        <v>59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13">
        <v>0</v>
      </c>
      <c r="O42" s="13">
        <v>0</v>
      </c>
    </row>
    <row r="43" spans="1:15" x14ac:dyDescent="0.25">
      <c r="A43" s="17"/>
      <c r="B43" s="18" t="s">
        <v>60</v>
      </c>
      <c r="C43" s="21">
        <v>285831</v>
      </c>
      <c r="D43" s="21">
        <v>0</v>
      </c>
      <c r="E43" s="21">
        <v>0</v>
      </c>
      <c r="F43" s="21">
        <v>157637</v>
      </c>
      <c r="G43" s="21">
        <v>448088</v>
      </c>
      <c r="H43" s="21">
        <v>0</v>
      </c>
      <c r="I43" s="21">
        <v>0</v>
      </c>
      <c r="J43" s="21">
        <v>351712</v>
      </c>
      <c r="K43" s="21">
        <v>960018</v>
      </c>
      <c r="L43" s="21">
        <v>0</v>
      </c>
      <c r="M43" s="21">
        <v>0</v>
      </c>
      <c r="N43" s="13">
        <v>787198</v>
      </c>
      <c r="O43" s="13">
        <v>2460421</v>
      </c>
    </row>
    <row r="44" spans="1:15" x14ac:dyDescent="0.25">
      <c r="A44" s="17"/>
      <c r="B44" s="18" t="s">
        <v>61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13">
        <v>0</v>
      </c>
      <c r="O44" s="13">
        <v>0</v>
      </c>
    </row>
    <row r="45" spans="1:15" x14ac:dyDescent="0.25">
      <c r="A45" s="17"/>
      <c r="B45" s="18" t="s">
        <v>62</v>
      </c>
      <c r="C45" s="22">
        <f t="shared" ref="C45:O45" si="4">SUM(C39:C44)</f>
        <v>9106697</v>
      </c>
      <c r="D45" s="22">
        <f t="shared" si="4"/>
        <v>9832712</v>
      </c>
      <c r="E45" s="22">
        <f t="shared" si="4"/>
        <v>8428101</v>
      </c>
      <c r="F45" s="22">
        <f t="shared" si="4"/>
        <v>5745082</v>
      </c>
      <c r="G45" s="22">
        <f t="shared" si="4"/>
        <v>5254272</v>
      </c>
      <c r="H45" s="22">
        <f t="shared" si="4"/>
        <v>11843816</v>
      </c>
      <c r="I45" s="22">
        <f t="shared" si="4"/>
        <v>13194809</v>
      </c>
      <c r="J45" s="22">
        <f t="shared" si="4"/>
        <v>12602870</v>
      </c>
      <c r="K45" s="22">
        <f t="shared" si="4"/>
        <v>8790252</v>
      </c>
      <c r="L45" s="22">
        <f t="shared" si="4"/>
        <v>4358443</v>
      </c>
      <c r="M45" s="22">
        <f t="shared" si="4"/>
        <v>13797633</v>
      </c>
      <c r="N45" s="15">
        <f t="shared" si="4"/>
        <v>12224105</v>
      </c>
      <c r="O45" s="15">
        <f t="shared" si="4"/>
        <v>9253925</v>
      </c>
    </row>
    <row r="46" spans="1:15" x14ac:dyDescent="0.25">
      <c r="A46" s="17"/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3"/>
      <c r="O46" s="13"/>
    </row>
    <row r="47" spans="1:15" x14ac:dyDescent="0.25">
      <c r="A47" s="17" t="s">
        <v>16</v>
      </c>
      <c r="B47" s="18" t="s">
        <v>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3"/>
      <c r="O47" s="13"/>
    </row>
    <row r="48" spans="1:15" x14ac:dyDescent="0.25">
      <c r="A48" s="17"/>
      <c r="B48" s="18" t="s">
        <v>63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13">
        <v>0</v>
      </c>
      <c r="O48" s="13">
        <v>0</v>
      </c>
    </row>
    <row r="49" spans="1:15" s="56" customFormat="1" x14ac:dyDescent="0.25">
      <c r="A49" s="59"/>
      <c r="B49" s="123" t="s">
        <v>184</v>
      </c>
      <c r="C49" s="21">
        <v>8935644</v>
      </c>
      <c r="D49" s="21">
        <v>4466806</v>
      </c>
      <c r="E49" s="21">
        <v>4233946</v>
      </c>
      <c r="F49" s="21">
        <v>6890415</v>
      </c>
      <c r="G49" s="21">
        <v>7213164</v>
      </c>
      <c r="H49" s="21">
        <v>5377896</v>
      </c>
      <c r="I49" s="21">
        <v>6586114</v>
      </c>
      <c r="J49" s="21">
        <v>8793557</v>
      </c>
      <c r="K49" s="21">
        <v>7270845</v>
      </c>
      <c r="L49" s="21">
        <v>9762188</v>
      </c>
      <c r="M49" s="21">
        <v>5758728</v>
      </c>
      <c r="N49" s="45">
        <v>7852995</v>
      </c>
      <c r="O49" s="45">
        <v>10104479</v>
      </c>
    </row>
    <row r="50" spans="1:15" x14ac:dyDescent="0.25">
      <c r="A50" s="16"/>
      <c r="B50" s="18" t="s">
        <v>69</v>
      </c>
      <c r="C50" s="20">
        <v>355055</v>
      </c>
      <c r="D50" s="20">
        <v>0</v>
      </c>
      <c r="E50" s="20">
        <v>0</v>
      </c>
      <c r="F50" s="20">
        <v>157637</v>
      </c>
      <c r="G50" s="20">
        <v>454581</v>
      </c>
      <c r="H50" s="20">
        <v>0</v>
      </c>
      <c r="I50" s="20">
        <v>0</v>
      </c>
      <c r="J50" s="20">
        <v>461459</v>
      </c>
      <c r="K50" s="20">
        <v>991792</v>
      </c>
      <c r="L50" s="21">
        <v>0</v>
      </c>
      <c r="M50" s="21">
        <v>0</v>
      </c>
      <c r="N50" s="13">
        <v>944953</v>
      </c>
      <c r="O50" s="13">
        <v>2900034</v>
      </c>
    </row>
    <row r="51" spans="1:15" x14ac:dyDescent="0.25">
      <c r="A51" s="16"/>
      <c r="B51" s="18" t="s">
        <v>68</v>
      </c>
      <c r="C51" s="20">
        <v>731561</v>
      </c>
      <c r="D51" s="20">
        <v>257792</v>
      </c>
      <c r="E51" s="20">
        <v>116163</v>
      </c>
      <c r="F51" s="20">
        <v>261520</v>
      </c>
      <c r="G51" s="20">
        <v>147634</v>
      </c>
      <c r="H51" s="20">
        <v>9031</v>
      </c>
      <c r="I51" s="20">
        <v>0</v>
      </c>
      <c r="J51" s="20">
        <v>16702</v>
      </c>
      <c r="K51" s="20">
        <v>75733</v>
      </c>
      <c r="L51" s="21">
        <v>0</v>
      </c>
      <c r="M51" s="21">
        <v>19</v>
      </c>
      <c r="N51" s="13">
        <v>2640</v>
      </c>
      <c r="O51" s="13">
        <v>6682</v>
      </c>
    </row>
    <row r="52" spans="1:15" x14ac:dyDescent="0.25">
      <c r="A52" s="16"/>
      <c r="B52" s="18" t="s">
        <v>62</v>
      </c>
      <c r="C52" s="22">
        <f t="shared" ref="C52:O52" si="5">C48+C49-C50-C51</f>
        <v>7849028</v>
      </c>
      <c r="D52" s="22">
        <f t="shared" si="5"/>
        <v>4209014</v>
      </c>
      <c r="E52" s="22">
        <f t="shared" si="5"/>
        <v>4117783</v>
      </c>
      <c r="F52" s="22">
        <f t="shared" si="5"/>
        <v>6471258</v>
      </c>
      <c r="G52" s="22">
        <f t="shared" si="5"/>
        <v>6610949</v>
      </c>
      <c r="H52" s="22">
        <f t="shared" si="5"/>
        <v>5368865</v>
      </c>
      <c r="I52" s="22">
        <f t="shared" si="5"/>
        <v>6586114</v>
      </c>
      <c r="J52" s="22">
        <f t="shared" si="5"/>
        <v>8315396</v>
      </c>
      <c r="K52" s="22">
        <f t="shared" si="5"/>
        <v>6203320</v>
      </c>
      <c r="L52" s="22">
        <f t="shared" si="5"/>
        <v>9762188</v>
      </c>
      <c r="M52" s="22">
        <f t="shared" si="5"/>
        <v>5758709</v>
      </c>
      <c r="N52" s="15">
        <f t="shared" si="5"/>
        <v>6905402</v>
      </c>
      <c r="O52" s="15">
        <f t="shared" si="5"/>
        <v>7197763</v>
      </c>
    </row>
    <row r="53" spans="1:15" x14ac:dyDescent="0.25">
      <c r="A53" s="17"/>
      <c r="B53" s="18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13"/>
      <c r="O53" s="13"/>
    </row>
    <row r="54" spans="1:15" x14ac:dyDescent="0.25">
      <c r="A54" s="17" t="s">
        <v>17</v>
      </c>
      <c r="B54" s="18" t="s">
        <v>65</v>
      </c>
      <c r="C54" s="20">
        <v>581811</v>
      </c>
      <c r="D54" s="20">
        <v>742792</v>
      </c>
      <c r="E54" s="20">
        <v>858219</v>
      </c>
      <c r="F54" s="20">
        <v>668960</v>
      </c>
      <c r="G54" s="20">
        <v>1075126</v>
      </c>
      <c r="H54" s="20">
        <v>3754276</v>
      </c>
      <c r="I54" s="20">
        <v>5348471</v>
      </c>
      <c r="J54" s="20">
        <v>5676488</v>
      </c>
      <c r="K54" s="20">
        <v>1268700</v>
      </c>
      <c r="L54" s="21">
        <v>1853105</v>
      </c>
      <c r="M54" s="21">
        <v>6391622</v>
      </c>
      <c r="N54" s="13">
        <v>3566294</v>
      </c>
      <c r="O54" s="13">
        <v>1618475</v>
      </c>
    </row>
    <row r="55" spans="1:15" x14ac:dyDescent="0.25">
      <c r="A55" s="17"/>
      <c r="B55" s="18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1"/>
      <c r="N55" s="13"/>
      <c r="O55" s="13"/>
    </row>
    <row r="56" spans="1:15" x14ac:dyDescent="0.25">
      <c r="A56" s="17"/>
      <c r="B56" s="18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13"/>
      <c r="O56" s="13"/>
    </row>
    <row r="57" spans="1:15" x14ac:dyDescent="0.25">
      <c r="A57" s="17" t="s">
        <v>18</v>
      </c>
      <c r="B57" s="18" t="s">
        <v>191</v>
      </c>
      <c r="C57" s="22">
        <f t="shared" ref="C57:O57" si="6">C45+C52-C54-C55</f>
        <v>16373914</v>
      </c>
      <c r="D57" s="22">
        <f t="shared" si="6"/>
        <v>13298934</v>
      </c>
      <c r="E57" s="22">
        <f t="shared" si="6"/>
        <v>11687665</v>
      </c>
      <c r="F57" s="22">
        <f t="shared" si="6"/>
        <v>11547380</v>
      </c>
      <c r="G57" s="22">
        <f t="shared" si="6"/>
        <v>10790095</v>
      </c>
      <c r="H57" s="22">
        <f t="shared" si="6"/>
        <v>13458405</v>
      </c>
      <c r="I57" s="22">
        <f t="shared" si="6"/>
        <v>14432452</v>
      </c>
      <c r="J57" s="22">
        <f t="shared" si="6"/>
        <v>15241778</v>
      </c>
      <c r="K57" s="22">
        <f t="shared" si="6"/>
        <v>13724872</v>
      </c>
      <c r="L57" s="22">
        <f t="shared" si="6"/>
        <v>12267526</v>
      </c>
      <c r="M57" s="22">
        <f t="shared" si="6"/>
        <v>13164720</v>
      </c>
      <c r="N57" s="15">
        <f t="shared" si="6"/>
        <v>15563213</v>
      </c>
      <c r="O57" s="15">
        <f t="shared" si="6"/>
        <v>14833213</v>
      </c>
    </row>
    <row r="58" spans="1:15" x14ac:dyDescent="0.25">
      <c r="A58" s="17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3"/>
      <c r="O58" s="13"/>
    </row>
    <row r="59" spans="1:15" s="56" customFormat="1" x14ac:dyDescent="0.25">
      <c r="A59" s="59" t="s">
        <v>19</v>
      </c>
      <c r="B59" s="124" t="s">
        <v>186</v>
      </c>
      <c r="C59" s="125">
        <f>BLI!F66+C26</f>
        <v>790564.61</v>
      </c>
      <c r="D59" s="125">
        <f>BLI!G66+D26</f>
        <v>942442.89999999991</v>
      </c>
      <c r="E59" s="125">
        <f>BLI!H66+E26</f>
        <v>217148.22999999998</v>
      </c>
      <c r="F59" s="125">
        <f>BLI!I66+F26</f>
        <v>263138.34999999986</v>
      </c>
      <c r="G59" s="125">
        <f>BLI!J66+G26</f>
        <v>343643.10999999975</v>
      </c>
      <c r="H59" s="125">
        <f>BLI!K66+H26</f>
        <v>687511.4600000002</v>
      </c>
      <c r="I59" s="125">
        <f>BLI!L66+I26</f>
        <v>692844.63000000012</v>
      </c>
      <c r="J59" s="125">
        <f>BLI!M66+J26</f>
        <v>745764.09</v>
      </c>
      <c r="K59" s="125">
        <f>BLI!N66+K26</f>
        <v>519659.82999999984</v>
      </c>
      <c r="L59" s="125">
        <f>BLI!O66+L26</f>
        <v>323279.49999999971</v>
      </c>
      <c r="M59" s="125">
        <f>BLI!P66+M26</f>
        <v>610352.66000000015</v>
      </c>
      <c r="N59" s="126">
        <f>BLI!Q66+N26</f>
        <v>800344.88000000012</v>
      </c>
      <c r="O59" s="126">
        <f>BLI!R66+O26</f>
        <v>473233.81999999995</v>
      </c>
    </row>
    <row r="60" spans="1:15" x14ac:dyDescent="0.25">
      <c r="A60" s="17"/>
      <c r="B60" s="1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3"/>
      <c r="O60" s="13"/>
    </row>
    <row r="61" spans="1:15" x14ac:dyDescent="0.25">
      <c r="A61" s="17" t="s">
        <v>20</v>
      </c>
      <c r="B61" s="18" t="s">
        <v>67</v>
      </c>
      <c r="C61" s="22">
        <f t="shared" ref="C61:O61" si="7">C57+C59</f>
        <v>17164478.609999999</v>
      </c>
      <c r="D61" s="22">
        <f t="shared" si="7"/>
        <v>14241376.9</v>
      </c>
      <c r="E61" s="22">
        <f t="shared" si="7"/>
        <v>11904813.23</v>
      </c>
      <c r="F61" s="22">
        <f t="shared" si="7"/>
        <v>11810518.35</v>
      </c>
      <c r="G61" s="22">
        <f t="shared" si="7"/>
        <v>11133738.109999999</v>
      </c>
      <c r="H61" s="22">
        <f t="shared" si="7"/>
        <v>14145916.460000001</v>
      </c>
      <c r="I61" s="22">
        <f t="shared" si="7"/>
        <v>15125296.630000001</v>
      </c>
      <c r="J61" s="22">
        <f t="shared" si="7"/>
        <v>15987542.09</v>
      </c>
      <c r="K61" s="22">
        <f t="shared" si="7"/>
        <v>14244531.83</v>
      </c>
      <c r="L61" s="22">
        <f t="shared" si="7"/>
        <v>12590805.5</v>
      </c>
      <c r="M61" s="22">
        <f t="shared" si="7"/>
        <v>13775072.66</v>
      </c>
      <c r="N61" s="15">
        <f t="shared" si="7"/>
        <v>16363557.880000001</v>
      </c>
      <c r="O61" s="15">
        <f t="shared" si="7"/>
        <v>15306446.82</v>
      </c>
    </row>
    <row r="62" spans="1:15" x14ac:dyDescent="0.25">
      <c r="A62" s="17"/>
      <c r="B62" s="18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13"/>
      <c r="O62" s="13"/>
    </row>
    <row r="63" spans="1:15" x14ac:dyDescent="0.25">
      <c r="A63" s="43"/>
      <c r="B63" s="18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13"/>
      <c r="O63" s="13"/>
    </row>
    <row r="64" spans="1:15" s="56" customFormat="1" x14ac:dyDescent="0.2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2"/>
      <c r="O64" s="52"/>
    </row>
    <row r="65" spans="3:15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1"/>
      <c r="N65" s="20"/>
      <c r="O65" s="20"/>
    </row>
    <row r="66" spans="3:15" x14ac:dyDescent="0.25">
      <c r="C66" s="184"/>
      <c r="D66" s="184"/>
      <c r="E66" s="184"/>
      <c r="F66" s="184"/>
      <c r="G66" s="184"/>
      <c r="H66" s="184"/>
      <c r="I66" s="184"/>
      <c r="J66" s="184"/>
      <c r="K66" s="184"/>
      <c r="L66" s="185"/>
      <c r="M66" s="185"/>
      <c r="N66" s="184"/>
      <c r="O66" s="184"/>
    </row>
    <row r="67" spans="3:15" x14ac:dyDescent="0.25">
      <c r="C67" s="184"/>
      <c r="D67" s="184"/>
      <c r="E67" s="184"/>
      <c r="F67" s="184"/>
      <c r="G67" s="184"/>
      <c r="H67" s="184"/>
      <c r="I67" s="184"/>
      <c r="J67" s="184"/>
      <c r="K67" s="184"/>
      <c r="L67" s="185"/>
      <c r="M67" s="185"/>
      <c r="N67" s="184"/>
      <c r="O67" s="184"/>
    </row>
    <row r="68" spans="3:15" x14ac:dyDescent="0.25">
      <c r="C68" s="184"/>
      <c r="D68" s="184"/>
      <c r="E68" s="184"/>
      <c r="F68" s="184"/>
      <c r="G68" s="184"/>
      <c r="H68" s="184"/>
      <c r="I68" s="184"/>
      <c r="J68" s="184"/>
      <c r="K68" s="184"/>
      <c r="L68" s="185"/>
      <c r="M68" s="185"/>
      <c r="N68" s="184"/>
      <c r="O68" s="184"/>
    </row>
    <row r="69" spans="3:15" x14ac:dyDescent="0.25">
      <c r="C69" s="184"/>
      <c r="D69" s="184"/>
      <c r="E69" s="184"/>
      <c r="F69" s="184"/>
      <c r="G69" s="184"/>
      <c r="H69" s="184"/>
      <c r="I69" s="184"/>
      <c r="J69" s="184"/>
      <c r="K69" s="184"/>
      <c r="L69" s="185"/>
      <c r="M69" s="185"/>
      <c r="N69" s="184"/>
      <c r="O69" s="184"/>
    </row>
    <row r="70" spans="3:15" x14ac:dyDescent="0.25">
      <c r="C70" s="184"/>
      <c r="D70" s="184"/>
      <c r="E70" s="184"/>
      <c r="F70" s="184"/>
      <c r="G70" s="184"/>
      <c r="H70" s="184"/>
      <c r="I70" s="184"/>
      <c r="J70" s="184"/>
      <c r="K70" s="184"/>
      <c r="L70" s="185"/>
      <c r="M70" s="185"/>
      <c r="N70" s="184"/>
      <c r="O70" s="184"/>
    </row>
  </sheetData>
  <mergeCells count="2">
    <mergeCell ref="C1:M1"/>
    <mergeCell ref="B33:C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workbookViewId="0">
      <selection activeCell="D6" sqref="D6"/>
    </sheetView>
  </sheetViews>
  <sheetFormatPr defaultRowHeight="15" x14ac:dyDescent="0.25"/>
  <cols>
    <col min="2" max="2" width="15.85546875" customWidth="1"/>
    <col min="3" max="3" width="9.7109375" customWidth="1"/>
    <col min="4" max="4" width="31.28515625" customWidth="1"/>
    <col min="5" max="18" width="13.42578125" bestFit="1" customWidth="1"/>
    <col min="19" max="19" width="16" bestFit="1" customWidth="1"/>
    <col min="20" max="20" width="14.7109375" customWidth="1"/>
  </cols>
  <sheetData>
    <row r="1" spans="2:19" x14ac:dyDescent="0.25">
      <c r="B1" t="s">
        <v>188</v>
      </c>
    </row>
    <row r="7" spans="2:19" x14ac:dyDescent="0.25"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9" spans="2:19" x14ac:dyDescent="0.25">
      <c r="E9" s="210">
        <v>2016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1">
        <v>2017</v>
      </c>
      <c r="R9" s="211"/>
    </row>
    <row r="10" spans="2:19" x14ac:dyDescent="0.25">
      <c r="B10" s="132" t="s">
        <v>76</v>
      </c>
      <c r="C10" s="132" t="s">
        <v>72</v>
      </c>
      <c r="D10" s="132" t="s">
        <v>75</v>
      </c>
      <c r="E10" s="133">
        <v>42370</v>
      </c>
      <c r="F10" s="133">
        <v>42401</v>
      </c>
      <c r="G10" s="133">
        <v>42430</v>
      </c>
      <c r="H10" s="133">
        <v>42461</v>
      </c>
      <c r="I10" s="133">
        <v>42491</v>
      </c>
      <c r="J10" s="133">
        <v>42522</v>
      </c>
      <c r="K10" s="133">
        <v>42552</v>
      </c>
      <c r="L10" s="133">
        <v>42583</v>
      </c>
      <c r="M10" s="133">
        <v>42614</v>
      </c>
      <c r="N10" s="133">
        <v>42644</v>
      </c>
      <c r="O10" s="133">
        <v>42675</v>
      </c>
      <c r="P10" s="133">
        <v>42705</v>
      </c>
      <c r="Q10" s="133">
        <v>42736</v>
      </c>
      <c r="R10" s="133">
        <v>42767</v>
      </c>
      <c r="S10" s="133" t="s">
        <v>74</v>
      </c>
    </row>
    <row r="11" spans="2:19" x14ac:dyDescent="0.25">
      <c r="B11" t="s">
        <v>84</v>
      </c>
      <c r="C11" t="s">
        <v>73</v>
      </c>
      <c r="D11" s="134">
        <v>1250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>
        <v>2094.21</v>
      </c>
      <c r="Q11" s="130"/>
      <c r="R11" s="130"/>
      <c r="S11" s="130">
        <f>SUM(G11:R11)</f>
        <v>2094.21</v>
      </c>
    </row>
    <row r="12" spans="2:19" x14ac:dyDescent="0.25">
      <c r="D12" t="s">
        <v>83</v>
      </c>
      <c r="E12" s="130"/>
      <c r="F12" s="130"/>
      <c r="G12" s="130"/>
      <c r="H12" s="130"/>
      <c r="I12" s="130"/>
      <c r="J12" s="130"/>
      <c r="K12" s="130"/>
      <c r="L12" s="130"/>
      <c r="M12" s="130">
        <v>-1809.69</v>
      </c>
      <c r="N12" s="130">
        <v>-7072.25</v>
      </c>
      <c r="O12" s="130">
        <v>9291.4</v>
      </c>
      <c r="P12" s="130">
        <v>-7641.68</v>
      </c>
      <c r="Q12" s="130">
        <v>-23809.87</v>
      </c>
      <c r="R12" s="130">
        <v>-58549.120000000003</v>
      </c>
      <c r="S12" s="130">
        <f>SUM(G12:R12)</f>
        <v>-89591.21</v>
      </c>
    </row>
    <row r="13" spans="2:19" x14ac:dyDescent="0.25">
      <c r="D13" t="s">
        <v>85</v>
      </c>
      <c r="E13" s="130">
        <v>10874.66</v>
      </c>
      <c r="F13" s="130">
        <v>-61217.890000000007</v>
      </c>
      <c r="G13" s="130">
        <v>-2450.5099999999998</v>
      </c>
      <c r="H13" s="130">
        <v>-50368.060000000005</v>
      </c>
      <c r="I13" s="130">
        <v>-5118.9799999999996</v>
      </c>
      <c r="J13" s="130">
        <v>1545.1</v>
      </c>
      <c r="K13" s="130">
        <v>18274.57</v>
      </c>
      <c r="L13" s="130">
        <v>334.96</v>
      </c>
      <c r="M13" s="130">
        <v>153.86000000000001</v>
      </c>
      <c r="N13" s="130">
        <v>17.64</v>
      </c>
      <c r="O13" s="130">
        <v>12891.55</v>
      </c>
      <c r="P13" s="130">
        <v>-19.04</v>
      </c>
      <c r="Q13" s="130">
        <v>-107.22</v>
      </c>
      <c r="R13" s="130">
        <v>-952.97</v>
      </c>
      <c r="S13" s="130">
        <f>SUM(G13:R13)</f>
        <v>-25799.100000000009</v>
      </c>
    </row>
    <row r="14" spans="2:19" x14ac:dyDescent="0.25">
      <c r="D14" t="s">
        <v>86</v>
      </c>
      <c r="E14" s="130">
        <v>113643.47</v>
      </c>
      <c r="F14" s="130">
        <v>-8418.7099999999991</v>
      </c>
      <c r="G14" s="130">
        <v>26553.14</v>
      </c>
      <c r="H14" s="130">
        <v>-70729.240000000005</v>
      </c>
      <c r="I14" s="130">
        <v>18228.830000000002</v>
      </c>
      <c r="J14" s="130">
        <v>16417.25</v>
      </c>
      <c r="K14" s="130">
        <v>14546.26</v>
      </c>
      <c r="L14" s="130">
        <v>8880.35</v>
      </c>
      <c r="M14" s="130">
        <v>7504.12</v>
      </c>
      <c r="N14" s="130">
        <v>-14709.89</v>
      </c>
      <c r="O14" s="130">
        <v>2180.98</v>
      </c>
      <c r="P14" s="130">
        <v>-39057.03</v>
      </c>
      <c r="Q14" s="130">
        <v>-37901.919999999998</v>
      </c>
      <c r="R14" s="130">
        <v>-141226.44</v>
      </c>
      <c r="S14" s="130">
        <f t="shared" ref="S14:S63" si="0">SUM(G14:R14)</f>
        <v>-209313.59</v>
      </c>
    </row>
    <row r="15" spans="2:19" x14ac:dyDescent="0.25">
      <c r="D15" t="s">
        <v>87</v>
      </c>
      <c r="E15" s="130">
        <v>-113996.46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>
        <f t="shared" si="0"/>
        <v>0</v>
      </c>
    </row>
    <row r="16" spans="2:19" x14ac:dyDescent="0.25">
      <c r="D16" t="s">
        <v>165</v>
      </c>
      <c r="E16" s="130"/>
      <c r="F16" s="130"/>
      <c r="G16" s="130"/>
      <c r="H16" s="130"/>
      <c r="I16" s="130"/>
      <c r="J16" s="130"/>
      <c r="K16" s="130"/>
      <c r="L16" s="130"/>
      <c r="M16" s="130">
        <v>-13603.39</v>
      </c>
      <c r="N16" s="130"/>
      <c r="O16" s="130"/>
      <c r="P16" s="130"/>
      <c r="Q16" s="130"/>
      <c r="R16" s="130"/>
      <c r="S16" s="130">
        <f t="shared" si="0"/>
        <v>-13603.39</v>
      </c>
    </row>
    <row r="17" spans="2:19" x14ac:dyDescent="0.25">
      <c r="B17" t="s">
        <v>133</v>
      </c>
      <c r="C17" t="s">
        <v>73</v>
      </c>
      <c r="D17" t="s">
        <v>125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>
        <v>26.14</v>
      </c>
      <c r="S17" s="130">
        <f t="shared" si="0"/>
        <v>26.14</v>
      </c>
    </row>
    <row r="18" spans="2:19" x14ac:dyDescent="0.25">
      <c r="B18" t="s">
        <v>81</v>
      </c>
      <c r="C18" t="s">
        <v>73</v>
      </c>
      <c r="D18" t="s">
        <v>80</v>
      </c>
      <c r="E18" s="130">
        <v>5641.9400000000005</v>
      </c>
      <c r="F18" s="130">
        <v>4633.5</v>
      </c>
      <c r="G18" s="130">
        <v>-1035.1199999999999</v>
      </c>
      <c r="H18" s="130">
        <v>3436.43</v>
      </c>
      <c r="I18" s="130">
        <v>-2254.0899999999997</v>
      </c>
      <c r="J18" s="130">
        <v>-3085.0499999999997</v>
      </c>
      <c r="K18" s="130">
        <v>-4312.0599999999995</v>
      </c>
      <c r="L18" s="130">
        <v>-6306.6900000000005</v>
      </c>
      <c r="M18" s="130">
        <v>-8392.2200000000012</v>
      </c>
      <c r="N18" s="130">
        <v>-23166.959999999995</v>
      </c>
      <c r="O18" s="130">
        <v>-8064.6500000000015</v>
      </c>
      <c r="P18" s="130">
        <v>-11713.81</v>
      </c>
      <c r="Q18" s="130">
        <v>-13155.140000000001</v>
      </c>
      <c r="R18" s="130">
        <v>-350.46999999999935</v>
      </c>
      <c r="S18" s="130">
        <f t="shared" si="0"/>
        <v>-78399.83</v>
      </c>
    </row>
    <row r="19" spans="2:19" x14ac:dyDescent="0.25">
      <c r="D19" t="s">
        <v>82</v>
      </c>
      <c r="E19" s="130"/>
      <c r="F19" s="130"/>
      <c r="G19" s="130">
        <v>-23.22</v>
      </c>
      <c r="H19" s="130">
        <v>102.08</v>
      </c>
      <c r="I19" s="130"/>
      <c r="J19" s="130"/>
      <c r="K19" s="130">
        <v>-105.87</v>
      </c>
      <c r="L19" s="130">
        <v>-116.91</v>
      </c>
      <c r="M19" s="130">
        <v>14.66</v>
      </c>
      <c r="N19" s="130"/>
      <c r="O19" s="130">
        <v>257.27999999999997</v>
      </c>
      <c r="P19" s="130">
        <v>1.19</v>
      </c>
      <c r="Q19" s="130"/>
      <c r="R19" s="130">
        <v>80.09</v>
      </c>
      <c r="S19" s="130">
        <f t="shared" si="0"/>
        <v>209.29999999999995</v>
      </c>
    </row>
    <row r="20" spans="2:19" x14ac:dyDescent="0.25">
      <c r="D20" t="s">
        <v>126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>
        <f t="shared" si="0"/>
        <v>0</v>
      </c>
    </row>
    <row r="21" spans="2:19" x14ac:dyDescent="0.25">
      <c r="B21" t="s">
        <v>132</v>
      </c>
      <c r="C21" t="s">
        <v>73</v>
      </c>
      <c r="D21" t="s">
        <v>100</v>
      </c>
      <c r="E21" s="130"/>
      <c r="F21" s="130"/>
      <c r="G21" s="130"/>
      <c r="H21" s="130"/>
      <c r="I21" s="130"/>
      <c r="J21" s="130"/>
      <c r="K21" s="130"/>
      <c r="L21" s="130">
        <v>0.28000000000000003</v>
      </c>
      <c r="M21" s="130">
        <v>0</v>
      </c>
      <c r="N21" s="130"/>
      <c r="O21" s="130">
        <v>4.41</v>
      </c>
      <c r="P21" s="130">
        <v>-4.41</v>
      </c>
      <c r="Q21" s="130"/>
      <c r="R21" s="130"/>
      <c r="S21" s="130">
        <f t="shared" si="0"/>
        <v>0.28000000000000025</v>
      </c>
    </row>
    <row r="22" spans="2:19" x14ac:dyDescent="0.25">
      <c r="B22" t="s">
        <v>89</v>
      </c>
      <c r="C22" t="s">
        <v>73</v>
      </c>
      <c r="D22" t="s">
        <v>88</v>
      </c>
      <c r="E22" s="130">
        <v>69340.509999999995</v>
      </c>
      <c r="F22" s="130">
        <v>70589.459999999992</v>
      </c>
      <c r="G22" s="130">
        <v>42015.060000000005</v>
      </c>
      <c r="H22" s="130">
        <v>64092.869999999995</v>
      </c>
      <c r="I22" s="130">
        <v>53345.080000000009</v>
      </c>
      <c r="J22" s="130">
        <v>50421.099999999991</v>
      </c>
      <c r="K22" s="130">
        <v>45668.76</v>
      </c>
      <c r="L22" s="130">
        <v>60124.67</v>
      </c>
      <c r="M22" s="130">
        <v>54733.710000000006</v>
      </c>
      <c r="N22" s="130">
        <v>46672.039999999994</v>
      </c>
      <c r="O22" s="130">
        <v>26870.299999999996</v>
      </c>
      <c r="P22" s="130">
        <v>38097.03</v>
      </c>
      <c r="Q22" s="130">
        <v>59831.67</v>
      </c>
      <c r="R22" s="130">
        <v>38148.340000000004</v>
      </c>
      <c r="S22" s="130">
        <f t="shared" si="0"/>
        <v>580020.63</v>
      </c>
    </row>
    <row r="23" spans="2:19" x14ac:dyDescent="0.25">
      <c r="D23" t="s">
        <v>90</v>
      </c>
      <c r="E23" s="130"/>
      <c r="F23" s="130">
        <v>0.02</v>
      </c>
      <c r="G23" s="130"/>
      <c r="H23" s="130"/>
      <c r="I23" s="130">
        <v>1082.8499999999999</v>
      </c>
      <c r="J23" s="130">
        <v>105.28</v>
      </c>
      <c r="K23" s="130">
        <v>790.86</v>
      </c>
      <c r="L23" s="130">
        <v>-0.05</v>
      </c>
      <c r="M23" s="130">
        <v>-0.1</v>
      </c>
      <c r="N23" s="130"/>
      <c r="O23" s="130">
        <v>0.1</v>
      </c>
      <c r="P23" s="130"/>
      <c r="Q23" s="130">
        <v>0.66</v>
      </c>
      <c r="R23" s="130">
        <v>165.14</v>
      </c>
      <c r="S23" s="130">
        <f t="shared" si="0"/>
        <v>2144.7399999999998</v>
      </c>
    </row>
    <row r="24" spans="2:19" x14ac:dyDescent="0.25">
      <c r="D24" t="s">
        <v>127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>
        <f t="shared" si="0"/>
        <v>0</v>
      </c>
    </row>
    <row r="25" spans="2:19" x14ac:dyDescent="0.25">
      <c r="B25" t="s">
        <v>106</v>
      </c>
      <c r="C25" t="s">
        <v>73</v>
      </c>
      <c r="D25" t="s">
        <v>105</v>
      </c>
      <c r="E25" s="130">
        <v>-2799.6800000000003</v>
      </c>
      <c r="F25" s="130">
        <v>-14292.39</v>
      </c>
      <c r="G25" s="130">
        <v>-3860.5200000000004</v>
      </c>
      <c r="H25" s="130">
        <v>-14194.86</v>
      </c>
      <c r="I25" s="130">
        <v>-14205.55</v>
      </c>
      <c r="J25" s="130">
        <v>-3476.4499999999989</v>
      </c>
      <c r="K25" s="130">
        <v>-4497.4799999999996</v>
      </c>
      <c r="L25" s="130">
        <v>-4919.0200000000004</v>
      </c>
      <c r="M25" s="130">
        <v>-7448.5599999999995</v>
      </c>
      <c r="N25" s="130">
        <v>-4110.8599999999997</v>
      </c>
      <c r="O25" s="130">
        <v>-13236.45</v>
      </c>
      <c r="P25" s="130">
        <v>-8396.51</v>
      </c>
      <c r="Q25" s="130">
        <v>-47614.36</v>
      </c>
      <c r="R25" s="130">
        <v>-7213.77</v>
      </c>
      <c r="S25" s="130">
        <f>SUM(G25:R25)</f>
        <v>-133174.38999999998</v>
      </c>
    </row>
    <row r="26" spans="2:19" x14ac:dyDescent="0.25">
      <c r="B26" t="s">
        <v>92</v>
      </c>
      <c r="C26" t="s">
        <v>73</v>
      </c>
      <c r="D26" t="s">
        <v>91</v>
      </c>
      <c r="E26" s="130"/>
      <c r="F26" s="130">
        <v>-31.76</v>
      </c>
      <c r="G26" s="130"/>
      <c r="H26" s="130"/>
      <c r="I26" s="130">
        <v>-50.62</v>
      </c>
      <c r="J26" s="130"/>
      <c r="K26" s="130"/>
      <c r="L26" s="130"/>
      <c r="M26" s="130"/>
      <c r="N26" s="130"/>
      <c r="O26" s="130"/>
      <c r="P26" s="130">
        <v>2.4</v>
      </c>
      <c r="Q26" s="130"/>
      <c r="R26" s="130"/>
      <c r="S26" s="130">
        <f t="shared" si="0"/>
        <v>-48.22</v>
      </c>
    </row>
    <row r="27" spans="2:19" x14ac:dyDescent="0.25">
      <c r="D27" t="s">
        <v>93</v>
      </c>
      <c r="E27" s="130">
        <v>30329.61</v>
      </c>
      <c r="F27" s="130">
        <v>7156.25</v>
      </c>
      <c r="G27" s="130">
        <v>19676.650000000001</v>
      </c>
      <c r="H27" s="130">
        <v>35038.5</v>
      </c>
      <c r="I27" s="130">
        <v>9797.75</v>
      </c>
      <c r="J27" s="130">
        <v>20581.939999999999</v>
      </c>
      <c r="K27" s="130">
        <v>18436.02</v>
      </c>
      <c r="L27" s="130">
        <v>34575.42</v>
      </c>
      <c r="M27" s="130">
        <v>26888.7</v>
      </c>
      <c r="N27" s="130">
        <v>22886.490000000005</v>
      </c>
      <c r="O27" s="130">
        <v>14015.079999999998</v>
      </c>
      <c r="P27" s="130">
        <v>19597.900000000001</v>
      </c>
      <c r="Q27" s="130">
        <v>25400.489999999998</v>
      </c>
      <c r="R27" s="130">
        <v>10793.310000000001</v>
      </c>
      <c r="S27" s="130">
        <f t="shared" si="0"/>
        <v>257688.25</v>
      </c>
    </row>
    <row r="28" spans="2:19" x14ac:dyDescent="0.25">
      <c r="D28" t="s">
        <v>94</v>
      </c>
      <c r="E28" s="130"/>
      <c r="F28" s="130"/>
      <c r="G28" s="130"/>
      <c r="H28" s="130"/>
      <c r="I28" s="130">
        <v>-0.74</v>
      </c>
      <c r="J28" s="130"/>
      <c r="K28" s="130">
        <v>-277.49</v>
      </c>
      <c r="L28" s="130"/>
      <c r="M28" s="130"/>
      <c r="N28" s="130">
        <v>3.74</v>
      </c>
      <c r="O28" s="130">
        <v>-15.96</v>
      </c>
      <c r="P28" s="130">
        <v>-0.48</v>
      </c>
      <c r="Q28" s="130"/>
      <c r="R28" s="130">
        <v>0.5</v>
      </c>
      <c r="S28" s="130">
        <f t="shared" si="0"/>
        <v>-290.43</v>
      </c>
    </row>
    <row r="29" spans="2:19" x14ac:dyDescent="0.25">
      <c r="D29" t="s">
        <v>166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>
        <f t="shared" si="0"/>
        <v>0</v>
      </c>
    </row>
    <row r="30" spans="2:19" x14ac:dyDescent="0.25">
      <c r="D30" t="s">
        <v>118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>
        <f t="shared" si="0"/>
        <v>0</v>
      </c>
    </row>
    <row r="31" spans="2:19" x14ac:dyDescent="0.25">
      <c r="D31" t="s">
        <v>119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>
        <f t="shared" si="0"/>
        <v>0</v>
      </c>
    </row>
    <row r="32" spans="2:19" x14ac:dyDescent="0.25">
      <c r="D32" t="s">
        <v>120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>
        <f t="shared" si="0"/>
        <v>0</v>
      </c>
    </row>
    <row r="33" spans="2:19" x14ac:dyDescent="0.25">
      <c r="D33" t="s">
        <v>121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>
        <f t="shared" si="0"/>
        <v>0</v>
      </c>
    </row>
    <row r="34" spans="2:19" x14ac:dyDescent="0.25">
      <c r="D34" t="s">
        <v>122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>
        <f t="shared" si="0"/>
        <v>0</v>
      </c>
    </row>
    <row r="35" spans="2:19" x14ac:dyDescent="0.25">
      <c r="D35" t="s">
        <v>123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>
        <f t="shared" si="0"/>
        <v>0</v>
      </c>
    </row>
    <row r="36" spans="2:19" x14ac:dyDescent="0.25">
      <c r="B36" t="s">
        <v>108</v>
      </c>
      <c r="C36" t="s">
        <v>73</v>
      </c>
      <c r="D36" t="s">
        <v>167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>
        <f t="shared" si="0"/>
        <v>0</v>
      </c>
    </row>
    <row r="37" spans="2:19" x14ac:dyDescent="0.25">
      <c r="D37" t="s">
        <v>107</v>
      </c>
      <c r="E37" s="130">
        <v>-21238.27</v>
      </c>
      <c r="F37" s="130">
        <v>-3981.9699999999975</v>
      </c>
      <c r="G37" s="130">
        <v>-5235.13</v>
      </c>
      <c r="H37" s="130">
        <v>-6332.13</v>
      </c>
      <c r="I37" s="130">
        <v>-4250.88</v>
      </c>
      <c r="J37" s="130">
        <v>-5423.79</v>
      </c>
      <c r="K37" s="130">
        <v>-2913.2999999999997</v>
      </c>
      <c r="L37" s="130">
        <v>-6179.74</v>
      </c>
      <c r="M37" s="130">
        <v>-879.50000000000045</v>
      </c>
      <c r="N37" s="130">
        <v>-3096.61</v>
      </c>
      <c r="O37" s="130">
        <v>-2318.1200000000003</v>
      </c>
      <c r="P37" s="130">
        <v>-3397.3999999999996</v>
      </c>
      <c r="Q37" s="130">
        <v>-7574.3600000000006</v>
      </c>
      <c r="R37" s="130">
        <v>-698.24</v>
      </c>
      <c r="S37" s="130">
        <f t="shared" si="0"/>
        <v>-48299.200000000004</v>
      </c>
    </row>
    <row r="38" spans="2:19" x14ac:dyDescent="0.25">
      <c r="D38" t="s">
        <v>130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>
        <f t="shared" si="0"/>
        <v>0</v>
      </c>
    </row>
    <row r="39" spans="2:19" x14ac:dyDescent="0.25">
      <c r="B39" t="s">
        <v>96</v>
      </c>
      <c r="C39" t="s">
        <v>73</v>
      </c>
      <c r="D39" t="s">
        <v>95</v>
      </c>
      <c r="E39" s="130">
        <v>61607.399999999994</v>
      </c>
      <c r="F39" s="130">
        <v>63958.080000000002</v>
      </c>
      <c r="G39" s="130">
        <v>46691.32</v>
      </c>
      <c r="H39" s="130">
        <v>23997.78</v>
      </c>
      <c r="I39" s="130">
        <v>19388.53</v>
      </c>
      <c r="J39" s="130">
        <v>24308.409999999996</v>
      </c>
      <c r="K39" s="130">
        <v>19118.95</v>
      </c>
      <c r="L39" s="130">
        <v>12524.050000000001</v>
      </c>
      <c r="M39" s="130">
        <v>17463.29</v>
      </c>
      <c r="N39" s="130">
        <v>20128.940000000002</v>
      </c>
      <c r="O39" s="130">
        <v>31395.120000000003</v>
      </c>
      <c r="P39" s="130">
        <v>50036.31</v>
      </c>
      <c r="Q39" s="130">
        <v>21331.21</v>
      </c>
      <c r="R39" s="130">
        <v>14856.310000000001</v>
      </c>
      <c r="S39" s="130">
        <f t="shared" si="0"/>
        <v>301240.22000000003</v>
      </c>
    </row>
    <row r="40" spans="2:19" x14ac:dyDescent="0.25">
      <c r="D40" t="s">
        <v>97</v>
      </c>
      <c r="E40" s="130">
        <v>53.22</v>
      </c>
      <c r="F40" s="130">
        <v>158.15</v>
      </c>
      <c r="G40" s="130"/>
      <c r="H40" s="130">
        <v>44.43</v>
      </c>
      <c r="I40" s="130"/>
      <c r="J40" s="130"/>
      <c r="K40" s="130"/>
      <c r="L40" s="130"/>
      <c r="M40" s="130"/>
      <c r="N40" s="130">
        <v>10.119999999999999</v>
      </c>
      <c r="O40" s="130">
        <v>-31.84</v>
      </c>
      <c r="P40" s="130"/>
      <c r="Q40" s="130"/>
      <c r="R40" s="130">
        <v>-0.49</v>
      </c>
      <c r="S40" s="130">
        <f t="shared" si="0"/>
        <v>22.22</v>
      </c>
    </row>
    <row r="41" spans="2:19" x14ac:dyDescent="0.25">
      <c r="D41" t="s">
        <v>98</v>
      </c>
      <c r="E41" s="130">
        <v>24047.41</v>
      </c>
      <c r="F41" s="130">
        <v>20196.47</v>
      </c>
      <c r="G41" s="130">
        <v>16156.549999999996</v>
      </c>
      <c r="H41" s="130">
        <v>20879.830000000002</v>
      </c>
      <c r="I41" s="130">
        <v>5781.68</v>
      </c>
      <c r="J41" s="130">
        <v>22905.449999999997</v>
      </c>
      <c r="K41" s="130">
        <v>28803.349999999995</v>
      </c>
      <c r="L41" s="130">
        <v>53057.869999999988</v>
      </c>
      <c r="M41" s="130">
        <v>28227.32</v>
      </c>
      <c r="N41" s="130">
        <v>27479.749999999996</v>
      </c>
      <c r="O41" s="130">
        <v>9647.8999999999978</v>
      </c>
      <c r="P41" s="130">
        <v>17451.149999999998</v>
      </c>
      <c r="Q41" s="130">
        <v>49883.249999999993</v>
      </c>
      <c r="R41" s="130">
        <v>5545.1300000000074</v>
      </c>
      <c r="S41" s="130">
        <f t="shared" si="0"/>
        <v>285819.23</v>
      </c>
    </row>
    <row r="42" spans="2:19" x14ac:dyDescent="0.25">
      <c r="D42" t="s">
        <v>99</v>
      </c>
      <c r="E42" s="130">
        <v>-66.22</v>
      </c>
      <c r="F42" s="130">
        <v>-1388.39</v>
      </c>
      <c r="G42" s="130">
        <v>7849.42</v>
      </c>
      <c r="H42" s="130">
        <v>2813.1699999999996</v>
      </c>
      <c r="I42" s="130">
        <v>1909.23</v>
      </c>
      <c r="J42" s="130">
        <v>646.34</v>
      </c>
      <c r="K42" s="130">
        <v>407.27</v>
      </c>
      <c r="L42" s="130">
        <v>44.22</v>
      </c>
      <c r="M42" s="130">
        <v>-144.76999999999998</v>
      </c>
      <c r="N42" s="130">
        <v>590.09999999999991</v>
      </c>
      <c r="O42" s="130">
        <v>-682.25</v>
      </c>
      <c r="P42" s="130">
        <v>203.87</v>
      </c>
      <c r="Q42" s="130">
        <v>-591.90000000000009</v>
      </c>
      <c r="R42" s="130">
        <v>-200.54</v>
      </c>
      <c r="S42" s="130">
        <f t="shared" si="0"/>
        <v>12844.16</v>
      </c>
    </row>
    <row r="43" spans="2:19" x14ac:dyDescent="0.25">
      <c r="D43" t="s">
        <v>124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>
        <f t="shared" si="0"/>
        <v>0</v>
      </c>
    </row>
    <row r="44" spans="2:19" x14ac:dyDescent="0.25">
      <c r="D44" t="s">
        <v>101</v>
      </c>
      <c r="E44" s="130">
        <v>111.69</v>
      </c>
      <c r="F44" s="130">
        <v>698.76</v>
      </c>
      <c r="G44" s="130">
        <v>0</v>
      </c>
      <c r="H44" s="130"/>
      <c r="I44" s="130"/>
      <c r="J44" s="130"/>
      <c r="K44" s="130"/>
      <c r="L44" s="130"/>
      <c r="M44" s="130">
        <v>1009.21</v>
      </c>
      <c r="N44" s="130">
        <v>16.900000000000091</v>
      </c>
      <c r="O44" s="130">
        <v>646.08000000000004</v>
      </c>
      <c r="P44" s="130">
        <v>665.32999999999993</v>
      </c>
      <c r="Q44" s="130">
        <v>1427.5</v>
      </c>
      <c r="R44" s="130">
        <v>1764.38</v>
      </c>
      <c r="S44" s="130">
        <f t="shared" si="0"/>
        <v>5529.4</v>
      </c>
    </row>
    <row r="45" spans="2:19" x14ac:dyDescent="0.25">
      <c r="D45" t="s">
        <v>102</v>
      </c>
      <c r="E45" s="130"/>
      <c r="F45" s="130">
        <v>147.08000000000001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>
        <f t="shared" si="0"/>
        <v>0</v>
      </c>
    </row>
    <row r="46" spans="2:19" x14ac:dyDescent="0.25">
      <c r="D46" t="s">
        <v>128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>
        <f t="shared" si="0"/>
        <v>0</v>
      </c>
    </row>
    <row r="47" spans="2:19" x14ac:dyDescent="0.25">
      <c r="D47" t="s">
        <v>129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>
        <f t="shared" si="0"/>
        <v>0</v>
      </c>
    </row>
    <row r="48" spans="2:19" x14ac:dyDescent="0.25">
      <c r="B48" t="s">
        <v>78</v>
      </c>
      <c r="C48" t="s">
        <v>73</v>
      </c>
      <c r="D48" t="s">
        <v>77</v>
      </c>
      <c r="E48" s="130">
        <v>-45580.180000000051</v>
      </c>
      <c r="F48" s="130">
        <v>-29736.799999999999</v>
      </c>
      <c r="G48" s="130">
        <v>340426.51</v>
      </c>
      <c r="H48" s="130">
        <v>278041.93</v>
      </c>
      <c r="I48" s="130">
        <v>80903.22000000003</v>
      </c>
      <c r="J48" s="130">
        <v>150827.09999999998</v>
      </c>
      <c r="K48" s="130">
        <v>120738.98000000004</v>
      </c>
      <c r="L48" s="130">
        <v>362236.48</v>
      </c>
      <c r="M48" s="130">
        <v>314589.78999999998</v>
      </c>
      <c r="N48" s="130">
        <v>549074.93000000017</v>
      </c>
      <c r="O48" s="130">
        <v>186363.26</v>
      </c>
      <c r="P48" s="130">
        <v>348055.89</v>
      </c>
      <c r="Q48" s="130">
        <v>268247.78999999998</v>
      </c>
      <c r="R48" s="130">
        <v>213442.00000000003</v>
      </c>
      <c r="S48" s="130">
        <f t="shared" si="0"/>
        <v>3212947.8800000004</v>
      </c>
    </row>
    <row r="49" spans="2:19" x14ac:dyDescent="0.25">
      <c r="D49" t="s">
        <v>117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>
        <v>4107.8999999999996</v>
      </c>
      <c r="P49" s="130">
        <v>-4107.8999999999996</v>
      </c>
      <c r="Q49" s="130"/>
      <c r="R49" s="130"/>
      <c r="S49" s="130">
        <f t="shared" si="0"/>
        <v>0</v>
      </c>
    </row>
    <row r="50" spans="2:19" x14ac:dyDescent="0.25">
      <c r="D50" t="s">
        <v>79</v>
      </c>
      <c r="E50" s="130">
        <v>-7355.9000000000015</v>
      </c>
      <c r="F50" s="130">
        <v>-34466.06</v>
      </c>
      <c r="G50" s="130">
        <v>-52918.380000000005</v>
      </c>
      <c r="H50" s="130">
        <v>-19180.849999999999</v>
      </c>
      <c r="I50" s="130">
        <v>21929.820000000003</v>
      </c>
      <c r="J50" s="130">
        <v>-6318.6499999999978</v>
      </c>
      <c r="K50" s="130">
        <v>-102.77000000000044</v>
      </c>
      <c r="L50" s="130">
        <v>-376745.74</v>
      </c>
      <c r="M50" s="130">
        <v>-116907.33999999997</v>
      </c>
      <c r="N50" s="130">
        <v>-44432.66</v>
      </c>
      <c r="O50" s="130">
        <v>6871.1300000000119</v>
      </c>
      <c r="P50" s="130">
        <v>40273.53</v>
      </c>
      <c r="Q50" s="130">
        <v>-49597.87</v>
      </c>
      <c r="R50" s="130">
        <v>-6756.9599999999964</v>
      </c>
      <c r="S50" s="130">
        <f t="shared" si="0"/>
        <v>-603886.73999999987</v>
      </c>
    </row>
    <row r="51" spans="2:19" x14ac:dyDescent="0.25">
      <c r="D51" t="s">
        <v>103</v>
      </c>
      <c r="E51" s="130"/>
      <c r="F51" s="130"/>
      <c r="G51" s="130"/>
      <c r="H51" s="130"/>
      <c r="I51" s="130"/>
      <c r="J51" s="130"/>
      <c r="K51" s="130"/>
      <c r="L51" s="130"/>
      <c r="M51" s="130">
        <v>-0.53</v>
      </c>
      <c r="N51" s="130">
        <v>0.24</v>
      </c>
      <c r="O51" s="130">
        <v>0</v>
      </c>
      <c r="P51" s="130">
        <v>-7.0000000000000007E-2</v>
      </c>
      <c r="Q51" s="130">
        <v>0</v>
      </c>
      <c r="R51" s="130">
        <v>1.36</v>
      </c>
      <c r="S51" s="130">
        <f t="shared" si="0"/>
        <v>1</v>
      </c>
    </row>
    <row r="52" spans="2:19" x14ac:dyDescent="0.25">
      <c r="D52" t="s">
        <v>104</v>
      </c>
      <c r="E52" s="130">
        <v>0.28999999999999998</v>
      </c>
      <c r="F52" s="130"/>
      <c r="G52" s="130"/>
      <c r="H52" s="130"/>
      <c r="I52" s="130"/>
      <c r="J52" s="130"/>
      <c r="K52" s="130">
        <v>-0.06</v>
      </c>
      <c r="L52" s="130"/>
      <c r="M52" s="130"/>
      <c r="N52" s="130"/>
      <c r="O52" s="130"/>
      <c r="P52" s="130"/>
      <c r="Q52" s="130"/>
      <c r="R52" s="130"/>
      <c r="S52" s="130">
        <f t="shared" si="0"/>
        <v>-0.06</v>
      </c>
    </row>
    <row r="53" spans="2:19" x14ac:dyDescent="0.25">
      <c r="D53" t="s">
        <v>129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>
        <f t="shared" si="0"/>
        <v>0</v>
      </c>
    </row>
    <row r="54" spans="2:19" x14ac:dyDescent="0.25">
      <c r="B54" t="s">
        <v>163</v>
      </c>
      <c r="C54" t="s">
        <v>73</v>
      </c>
      <c r="D54" t="s">
        <v>113</v>
      </c>
      <c r="E54" s="130">
        <v>624855.22</v>
      </c>
      <c r="F54" s="130">
        <v>584541.98</v>
      </c>
      <c r="G54" s="130">
        <v>624855.22</v>
      </c>
      <c r="H54" s="130">
        <v>544228.74</v>
      </c>
      <c r="I54" s="130">
        <v>685325.07999999984</v>
      </c>
      <c r="J54" s="130">
        <v>574138.19999999995</v>
      </c>
      <c r="K54" s="130">
        <v>593276.14</v>
      </c>
      <c r="L54" s="130">
        <v>593276.14</v>
      </c>
      <c r="M54" s="130">
        <v>574138.19999999995</v>
      </c>
      <c r="N54" s="130">
        <v>593276.1399999999</v>
      </c>
      <c r="O54" s="130">
        <v>574138.19999999984</v>
      </c>
      <c r="P54" s="130">
        <v>593276.14</v>
      </c>
      <c r="Q54" s="130">
        <v>593276.14</v>
      </c>
      <c r="R54" s="130">
        <v>535862.31999999995</v>
      </c>
      <c r="S54" s="130">
        <f>SUM(G54:R54)</f>
        <v>7079066.6599999992</v>
      </c>
    </row>
    <row r="55" spans="2:19" x14ac:dyDescent="0.25">
      <c r="D55" t="s">
        <v>114</v>
      </c>
      <c r="E55" s="130">
        <v>-19813.18</v>
      </c>
      <c r="F55" s="130">
        <v>-15346.24</v>
      </c>
      <c r="G55" s="130">
        <v>-18124.399999999998</v>
      </c>
      <c r="H55" s="130">
        <v>-62732.34</v>
      </c>
      <c r="I55" s="130">
        <v>-13771.129999999997</v>
      </c>
      <c r="J55" s="130">
        <v>-10553.529999999999</v>
      </c>
      <c r="K55" s="130">
        <v>-4140.9799999999996</v>
      </c>
      <c r="L55" s="130">
        <v>-4528.01</v>
      </c>
      <c r="M55" s="130">
        <v>-24179.37</v>
      </c>
      <c r="N55" s="130">
        <v>-31693.1</v>
      </c>
      <c r="O55" s="130">
        <v>-14538.720000000005</v>
      </c>
      <c r="P55" s="130">
        <v>-15614.130000000001</v>
      </c>
      <c r="Q55" s="130">
        <v>-12268.91</v>
      </c>
      <c r="R55" s="130">
        <v>-31301.53</v>
      </c>
      <c r="S55" s="130">
        <f t="shared" si="0"/>
        <v>-243446.15</v>
      </c>
    </row>
    <row r="56" spans="2:19" x14ac:dyDescent="0.25">
      <c r="D56" t="s">
        <v>115</v>
      </c>
      <c r="E56" s="130">
        <v>-351763.05000000005</v>
      </c>
      <c r="F56" s="130">
        <v>-163701.99</v>
      </c>
      <c r="G56" s="130">
        <v>-159895.03</v>
      </c>
      <c r="H56" s="130">
        <v>-255472.55000000002</v>
      </c>
      <c r="I56" s="130">
        <v>-88726.37</v>
      </c>
      <c r="J56" s="130">
        <v>-153035.14000000001</v>
      </c>
      <c r="K56" s="130">
        <v>-99256.18</v>
      </c>
      <c r="L56" s="130">
        <v>-124162.93</v>
      </c>
      <c r="M56" s="130">
        <v>-205748.52000000002</v>
      </c>
      <c r="N56" s="130">
        <v>-339501.25</v>
      </c>
      <c r="O56" s="130">
        <v>-212474.09000000008</v>
      </c>
      <c r="P56" s="130">
        <v>-289255.23</v>
      </c>
      <c r="Q56" s="130">
        <v>-301576.13</v>
      </c>
      <c r="R56" s="130">
        <v>-184117.34</v>
      </c>
      <c r="S56" s="130">
        <f t="shared" si="0"/>
        <v>-2413220.7599999998</v>
      </c>
    </row>
    <row r="57" spans="2:19" x14ac:dyDescent="0.25">
      <c r="D57" t="s">
        <v>160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>
        <f t="shared" si="0"/>
        <v>0</v>
      </c>
    </row>
    <row r="58" spans="2:19" x14ac:dyDescent="0.25">
      <c r="D58" t="s">
        <v>161</v>
      </c>
      <c r="E58" s="130"/>
      <c r="F58" s="130"/>
      <c r="G58" s="130"/>
      <c r="H58" s="130"/>
      <c r="I58" s="130">
        <v>-129330.34</v>
      </c>
      <c r="J58" s="130">
        <v>3320.0899999999965</v>
      </c>
      <c r="K58" s="130"/>
      <c r="L58" s="130"/>
      <c r="M58" s="130"/>
      <c r="N58" s="130"/>
      <c r="O58" s="130"/>
      <c r="P58" s="130"/>
      <c r="Q58" s="130"/>
      <c r="R58" s="130"/>
      <c r="S58" s="130">
        <f t="shared" si="0"/>
        <v>-126010.25</v>
      </c>
    </row>
    <row r="59" spans="2:19" x14ac:dyDescent="0.25">
      <c r="D59" t="s">
        <v>162</v>
      </c>
      <c r="E59" s="130"/>
      <c r="F59" s="130"/>
      <c r="G59" s="130"/>
      <c r="H59" s="130"/>
      <c r="I59" s="130"/>
      <c r="J59" s="130"/>
      <c r="K59" s="130">
        <v>568.39</v>
      </c>
      <c r="L59" s="130"/>
      <c r="M59" s="130"/>
      <c r="N59" s="130"/>
      <c r="O59" s="130"/>
      <c r="P59" s="130"/>
      <c r="Q59" s="130"/>
      <c r="R59" s="130"/>
      <c r="S59" s="130">
        <f t="shared" si="0"/>
        <v>568.39</v>
      </c>
    </row>
    <row r="60" spans="2:19" x14ac:dyDescent="0.25">
      <c r="D60" t="s">
        <v>116</v>
      </c>
      <c r="E60" s="130">
        <v>-625689.49</v>
      </c>
      <c r="F60" s="130">
        <v>-583708.31000000006</v>
      </c>
      <c r="G60" s="130">
        <v>-624855.53</v>
      </c>
      <c r="H60" s="130">
        <v>-544229.01</v>
      </c>
      <c r="I60" s="130">
        <v>-685325.42000000016</v>
      </c>
      <c r="J60" s="130">
        <v>-574137.90000000014</v>
      </c>
      <c r="K60" s="130">
        <v>-593275.82999999996</v>
      </c>
      <c r="L60" s="130">
        <v>-594343.78</v>
      </c>
      <c r="M60" s="130">
        <v>-574137.9</v>
      </c>
      <c r="N60" s="130">
        <v>-603961.22000000009</v>
      </c>
      <c r="O60" s="130">
        <v>-574137.90000000014</v>
      </c>
      <c r="P60" s="130">
        <v>-593275.82999999996</v>
      </c>
      <c r="Q60" s="130">
        <v>-593275.82999999996</v>
      </c>
      <c r="R60" s="130">
        <v>-535862.04</v>
      </c>
      <c r="S60" s="130">
        <f>SUM(G60:R60)</f>
        <v>-7090818.1900000013</v>
      </c>
    </row>
    <row r="61" spans="2:19" x14ac:dyDescent="0.25">
      <c r="D61" t="s">
        <v>168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>
        <f t="shared" si="0"/>
        <v>0</v>
      </c>
    </row>
    <row r="62" spans="2:19" x14ac:dyDescent="0.25">
      <c r="D62" t="s">
        <v>131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>
        <f t="shared" si="0"/>
        <v>0</v>
      </c>
    </row>
    <row r="63" spans="2:19" x14ac:dyDescent="0.25">
      <c r="B63" t="s">
        <v>110</v>
      </c>
      <c r="C63" t="s">
        <v>73</v>
      </c>
      <c r="D63" t="s">
        <v>109</v>
      </c>
      <c r="E63" s="130"/>
      <c r="F63" s="130">
        <v>-1204.6300000000001</v>
      </c>
      <c r="G63" s="130">
        <v>0</v>
      </c>
      <c r="H63" s="130">
        <v>-0.64000000000032742</v>
      </c>
      <c r="I63" s="130">
        <v>-1462.6099999999997</v>
      </c>
      <c r="J63" s="130">
        <v>-3799.1800000000003</v>
      </c>
      <c r="K63" s="130">
        <v>-5253.07</v>
      </c>
      <c r="L63" s="130">
        <v>0</v>
      </c>
      <c r="M63" s="130">
        <v>-4410.46</v>
      </c>
      <c r="N63" s="130">
        <v>-4106.53</v>
      </c>
      <c r="O63" s="130">
        <v>-5354.2300000000005</v>
      </c>
      <c r="P63" s="130">
        <v>-982.13000000000011</v>
      </c>
      <c r="Q63" s="130">
        <v>-12574.79</v>
      </c>
      <c r="R63" s="130">
        <v>-1613.6599999999999</v>
      </c>
      <c r="S63" s="130">
        <f t="shared" si="0"/>
        <v>-39557.300000000003</v>
      </c>
    </row>
    <row r="64" spans="2:19" x14ac:dyDescent="0.25">
      <c r="D64" t="s">
        <v>111</v>
      </c>
      <c r="E64" s="130"/>
      <c r="F64" s="130"/>
      <c r="G64" s="130">
        <v>-2438.96</v>
      </c>
      <c r="H64" s="130">
        <v>-1633.8500000000008</v>
      </c>
      <c r="I64" s="130">
        <v>9.9999999947613105E-3</v>
      </c>
      <c r="J64" s="130">
        <v>-5036.46</v>
      </c>
      <c r="K64" s="130">
        <v>0</v>
      </c>
      <c r="L64" s="130">
        <v>-72229.94</v>
      </c>
      <c r="M64" s="130">
        <v>-10312.419999999998</v>
      </c>
      <c r="N64" s="130">
        <v>-27791.869999999995</v>
      </c>
      <c r="O64" s="130">
        <v>25164.02</v>
      </c>
      <c r="P64" s="130">
        <v>-9590.64</v>
      </c>
      <c r="Q64" s="130">
        <v>8683.4699999999993</v>
      </c>
      <c r="R64" s="130">
        <v>-5581.63</v>
      </c>
      <c r="S64" s="130">
        <f>SUM(G64:R64)</f>
        <v>-100768.27</v>
      </c>
    </row>
    <row r="65" spans="2:20" ht="15.75" thickBot="1" x14ac:dyDescent="0.3">
      <c r="D65" s="179" t="s">
        <v>112</v>
      </c>
      <c r="E65" s="180"/>
      <c r="F65" s="180"/>
      <c r="G65" s="180">
        <v>-1.17</v>
      </c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>
        <f>SUM(G65:R65)</f>
        <v>-1.17</v>
      </c>
    </row>
    <row r="66" spans="2:20" ht="15.75" thickTop="1" x14ac:dyDescent="0.25">
      <c r="B66" t="s">
        <v>74</v>
      </c>
      <c r="E66" s="130">
        <f t="shared" ref="E66:O66" si="1">SUM(E12:E65)</f>
        <v>-247797.01000000013</v>
      </c>
      <c r="F66" s="130">
        <f t="shared" si="1"/>
        <v>-165415.39000000001</v>
      </c>
      <c r="G66" s="130">
        <f t="shared" si="1"/>
        <v>253385.89999999991</v>
      </c>
      <c r="H66" s="130">
        <f t="shared" si="1"/>
        <v>-52197.770000000026</v>
      </c>
      <c r="I66" s="130">
        <f t="shared" si="1"/>
        <v>-46804.650000000169</v>
      </c>
      <c r="J66" s="130">
        <f t="shared" si="1"/>
        <v>100350.10999999977</v>
      </c>
      <c r="K66" s="130">
        <f t="shared" si="1"/>
        <v>146494.46000000025</v>
      </c>
      <c r="L66" s="130">
        <f t="shared" si="1"/>
        <v>-64478.369999999937</v>
      </c>
      <c r="M66" s="130">
        <f t="shared" si="1"/>
        <v>56748.089999999967</v>
      </c>
      <c r="N66" s="130">
        <f t="shared" si="1"/>
        <v>156513.82999999987</v>
      </c>
      <c r="O66" s="130">
        <f t="shared" si="1"/>
        <v>72990.499999999724</v>
      </c>
      <c r="P66" s="130">
        <f>SUM(P11:P65)</f>
        <v>126698.66000000016</v>
      </c>
      <c r="Q66" s="130">
        <f>SUM(Q12:Q65)</f>
        <v>-71966.119999999937</v>
      </c>
      <c r="R66" s="130">
        <f>SUM(R12:R65)</f>
        <v>-153740.18000000002</v>
      </c>
      <c r="S66" s="130">
        <f>SUM(G66:R66)</f>
        <v>523994.45999999961</v>
      </c>
      <c r="T66" s="95">
        <f>SUM(S11:S65)</f>
        <v>523994.45999999827</v>
      </c>
    </row>
    <row r="67" spans="2:20" x14ac:dyDescent="0.25"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</row>
    <row r="68" spans="2:20" x14ac:dyDescent="0.25">
      <c r="E68" s="130">
        <f>'Fac-Page 2'!C36-'Fac-Page 2'!C14</f>
        <v>-247797.01000000013</v>
      </c>
      <c r="F68" s="130">
        <f>'Fac-Page 2'!D36-'Fac-Page 2'!D14</f>
        <v>-165415.39000000001</v>
      </c>
      <c r="G68" s="130">
        <f>'Fac-Page 2'!E36-'Fac-Page 2'!E14</f>
        <v>253385.89999999991</v>
      </c>
      <c r="H68" s="130">
        <f>'Fac-Page 2'!F36-'Fac-Page 2'!F14</f>
        <v>-52197.770000000019</v>
      </c>
      <c r="I68" s="130">
        <f>'Fac-Page 2'!G36-'Fac-Page 2'!G14</f>
        <v>-46804.650000000169</v>
      </c>
      <c r="J68" s="130">
        <f>'Fac-Page 2'!H36-'Fac-Page 2'!H14</f>
        <v>100350.10999999975</v>
      </c>
      <c r="K68" s="130">
        <f>'Fac-Page 2'!I36-'Fac-Page 2'!I14</f>
        <v>146494.4600000002</v>
      </c>
      <c r="L68" s="130">
        <f>'Fac-Page 2'!J36-'Fac-Page 2'!J14</f>
        <v>-64478.369999999879</v>
      </c>
      <c r="M68" s="130">
        <f>'Fac-Page 2'!K36-'Fac-Page 2'!K14</f>
        <v>56748.089999999967</v>
      </c>
      <c r="N68" s="130">
        <f>'Fac-Page 2'!L36-'Fac-Page 2'!L14</f>
        <v>156513.82999999984</v>
      </c>
      <c r="O68" s="130">
        <f>'Fac-Page 2'!M36-'Fac-Page 2'!M14</f>
        <v>72990.499999999767</v>
      </c>
      <c r="P68" s="130">
        <f>'Fac-Page 2'!N36-'Fac-Page 2'!N14</f>
        <v>126698.66000000015</v>
      </c>
      <c r="Q68" s="130">
        <f>'Fac-Page 2'!O36-'Fac-Page 2'!O14</f>
        <v>-71966.119999999879</v>
      </c>
      <c r="R68" s="130">
        <f>'Fac-Page 2'!P36-'Fac-Page 2'!P14</f>
        <v>-153740.18000000002</v>
      </c>
      <c r="S68" s="130"/>
    </row>
    <row r="69" spans="2:20" x14ac:dyDescent="0.25"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</row>
    <row r="70" spans="2:20" x14ac:dyDescent="0.25">
      <c r="E70" s="130"/>
      <c r="F70" s="130"/>
      <c r="G70" s="130"/>
      <c r="H70" s="130"/>
      <c r="I70" s="130"/>
      <c r="J70" s="130"/>
      <c r="K70" s="130"/>
      <c r="L70" s="181"/>
      <c r="M70" s="130"/>
      <c r="N70" s="130"/>
      <c r="O70" s="130"/>
      <c r="P70" s="130"/>
      <c r="Q70" s="130"/>
      <c r="R70" s="130"/>
      <c r="S70" s="130"/>
    </row>
    <row r="71" spans="2:20" x14ac:dyDescent="0.25">
      <c r="L71" s="95"/>
    </row>
  </sheetData>
  <mergeCells count="2">
    <mergeCell ref="E9:P9"/>
    <mergeCell ref="Q9:R9"/>
  </mergeCells>
  <pageMargins left="0.25" right="0.25" top="0.75" bottom="0.75" header="0.3" footer="0.3"/>
  <pageSetup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A088B7-9DD0-457C-A9E4-4E5CEE975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7AFC7D-0E61-4D13-A143-52C6CD9C72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86BBD-A25C-4EA7-A256-860F16CC9585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Test Year Analysis</vt:lpstr>
      <vt:lpstr>Fac-Page 1</vt:lpstr>
      <vt:lpstr>Fac-Page 2</vt:lpstr>
      <vt:lpstr>Fac-Page 4</vt:lpstr>
      <vt:lpstr>FAC-Page 5</vt:lpstr>
      <vt:lpstr>BLI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Betsy Sekula</cp:lastModifiedBy>
  <cp:lastPrinted>2017-06-09T16:05:09Z</cp:lastPrinted>
  <dcterms:created xsi:type="dcterms:W3CDTF">2016-05-05T16:09:15Z</dcterms:created>
  <dcterms:modified xsi:type="dcterms:W3CDTF">2017-07-07T15:11:10Z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