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992" windowWidth="15336" windowHeight="3240" tabRatio="593" firstSheet="6" activeTab="14"/>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'FUELSCH'!$A$1:$M$150</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I166" authorId="0">
      <text>
        <r>
          <rPr>
            <b/>
            <sz val="10"/>
            <rFont val="Tahoma"/>
            <family val="2"/>
          </rPr>
          <t>Tape total of Rpt 51020 reports less skipped items</t>
        </r>
      </text>
    </commen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<sst xmlns="http://schemas.openxmlformats.org/spreadsheetml/2006/main" count="4625" uniqueCount="1933">
  <si>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</si>
  <si>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</si>
  <si>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</si>
  <si>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</si>
  <si>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</si>
  <si>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</si>
  <si>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</si>
  <si>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</si>
  <si>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</si>
  <si>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</si>
  <si>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</si>
  <si>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</si>
  <si>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</si>
  <si>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</si>
  <si>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</si>
  <si>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</si>
  <si>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</si>
  <si>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</si>
  <si>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</si>
  <si>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</si>
  <si>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</si>
  <si>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</si>
  <si>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</si>
  <si>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</si>
  <si>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</si>
  <si>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</si>
  <si>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</si>
  <si>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</si>
  <si>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</si>
  <si>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</si>
  <si>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</si>
  <si>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</si>
  <si>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</si>
  <si>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</si>
  <si>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</si>
  <si>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</si>
  <si>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</si>
  <si>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</si>
  <si>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</si>
  <si>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</si>
  <si>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</si>
  <si>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</si>
  <si>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</si>
  <si>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</si>
  <si>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</si>
  <si>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</si>
  <si>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</si>
  <si>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</si>
  <si>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</si>
  <si>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</si>
  <si>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</si>
  <si>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</si>
  <si>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</si>
  <si>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</si>
  <si>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</si>
  <si>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50% AEG Sch M - 940X</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</si>
  <si>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</si>
  <si>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</si>
  <si>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</si>
  <si>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</si>
  <si>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</si>
  <si>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</si>
  <si>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</si>
  <si>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</si>
  <si>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</si>
  <si>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</si>
  <si>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</si>
  <si>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</si>
  <si>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</si>
  <si>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</si>
  <si>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</si>
  <si>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</si>
  <si>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</si>
  <si>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</si>
  <si>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</si>
  <si>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</si>
  <si>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</si>
  <si>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</si>
  <si>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</si>
  <si>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</si>
  <si>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</si>
  <si>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</si>
  <si>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</si>
  <si>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</si>
  <si>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</si>
  <si>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</si>
  <si>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</si>
  <si>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</si>
  <si>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</si>
  <si>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</si>
  <si>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</si>
  <si>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</si>
  <si>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</si>
  <si>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</si>
  <si>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</si>
  <si>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</si>
  <si>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</si>
  <si>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</si>
  <si>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</si>
  <si>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</si>
  <si>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</si>
  <si>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</si>
  <si>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</si>
  <si>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</si>
  <si>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</si>
  <si>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</si>
  <si>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</si>
  <si>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</si>
  <si>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</si>
  <si>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</si>
  <si>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</si>
  <si>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</si>
  <si>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</si>
  <si>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</si>
  <si>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</si>
  <si>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</si>
  <si>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</si>
  <si>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</si>
  <si>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</si>
  <si>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</si>
  <si>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</si>
  <si>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</si>
  <si>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</si>
  <si>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</si>
  <si>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</si>
  <si>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</si>
  <si>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</si>
  <si>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</si>
  <si>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</si>
  <si>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</si>
  <si>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</si>
  <si>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</si>
  <si>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</si>
  <si>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</si>
  <si>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</si>
  <si>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</si>
  <si>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</si>
  <si>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</si>
  <si>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</si>
  <si>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</si>
  <si>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</si>
  <si>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</si>
  <si>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</si>
  <si>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</si>
  <si>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</si>
  <si>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</si>
  <si>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</si>
  <si>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</si>
  <si>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</si>
  <si>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</si>
  <si>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</si>
  <si>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</si>
  <si>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</si>
  <si>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</si>
  <si>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</si>
  <si>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</si>
  <si>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</si>
  <si>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</si>
  <si>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</si>
  <si>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</si>
  <si>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</si>
  <si>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</si>
  <si>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</si>
  <si>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</si>
  <si>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</si>
  <si>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</si>
  <si>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</si>
  <si>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</si>
  <si>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</si>
  <si>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</si>
  <si>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</si>
  <si>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</si>
  <si>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</si>
  <si>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</si>
  <si>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</si>
  <si>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</si>
  <si>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</si>
  <si>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</si>
  <si>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</si>
  <si>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</si>
  <si>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</si>
  <si>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</si>
  <si>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</si>
  <si>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</si>
  <si>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</si>
  <si>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</si>
  <si>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</si>
  <si>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</si>
  <si>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</si>
  <si>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</si>
  <si>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</si>
  <si>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</si>
  <si>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</si>
  <si>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</si>
  <si>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</si>
  <si>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</si>
  <si>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</si>
  <si>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</si>
  <si>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</si>
  <si>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</si>
  <si>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</si>
  <si>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</si>
  <si>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</si>
  <si>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</si>
  <si>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</si>
  <si>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</si>
  <si>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</si>
  <si>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</si>
  <si>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</si>
  <si>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</si>
  <si>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</si>
  <si>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</si>
  <si>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</si>
  <si>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</si>
  <si>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</si>
  <si>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</si>
  <si>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</si>
  <si>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</si>
  <si>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</si>
  <si>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</si>
  <si>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</si>
  <si>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</si>
  <si>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</si>
  <si>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</si>
  <si>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</si>
  <si>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</si>
  <si>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</si>
  <si>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</si>
  <si>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</si>
  <si>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</si>
  <si>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</si>
  <si>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</si>
  <si>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</si>
  <si>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</si>
  <si>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</si>
  <si>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</si>
  <si>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</si>
  <si>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</si>
  <si>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</si>
  <si>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</si>
  <si>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</si>
  <si>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</si>
  <si>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</si>
  <si>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</si>
  <si>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</si>
  <si>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</si>
  <si>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</si>
  <si>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</si>
  <si>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</si>
  <si>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</si>
  <si>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</si>
  <si>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</si>
  <si>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</si>
  <si>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</si>
  <si>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</si>
  <si>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</si>
  <si>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</si>
  <si>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</si>
  <si>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</si>
  <si>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</si>
  <si>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</si>
  <si>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</si>
  <si>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</si>
  <si>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</si>
  <si>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</si>
  <si>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</si>
  <si>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</si>
  <si>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</si>
  <si>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</si>
  <si>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</si>
  <si>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</si>
  <si>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</si>
  <si>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</si>
  <si>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</si>
  <si>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</si>
  <si>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</si>
  <si>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</si>
  <si>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</si>
  <si>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</si>
  <si>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</si>
  <si>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</si>
  <si>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</si>
  <si>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</si>
  <si>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</si>
  <si>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</si>
  <si>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</si>
  <si>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</si>
  <si>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</si>
  <si>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</si>
  <si>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</si>
  <si>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</si>
  <si>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</si>
  <si>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</si>
  <si>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</si>
  <si>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</si>
  <si>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</si>
  <si>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</si>
  <si>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</si>
  <si>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</si>
  <si>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</si>
  <si>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</si>
  <si>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</si>
  <si>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</si>
  <si>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</si>
  <si>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</si>
  <si>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</si>
  <si>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</si>
  <si>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</si>
  <si>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</si>
  <si>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</si>
  <si>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</si>
  <si>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</si>
  <si>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</si>
  <si>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</si>
  <si>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</si>
  <si>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Above 4 balances EXCLUDE ARO &amp; Asbestos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</si>
  <si>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</si>
  <si>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</si>
  <si>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</si>
  <si>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</si>
  <si>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</si>
  <si>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</si>
  <si>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</si>
  <si>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</si>
  <si>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</si>
  <si>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</si>
  <si>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</si>
  <si>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</si>
  <si>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</si>
  <si>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</si>
  <si>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</si>
  <si>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</si>
  <si>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</si>
  <si>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</si>
  <si>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</si>
  <si>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</si>
  <si>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</si>
  <si>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</si>
  <si>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</si>
  <si>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</si>
  <si>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</si>
  <si>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</si>
  <si>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</si>
  <si>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</si>
  <si>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</si>
  <si>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</si>
  <si>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</si>
  <si>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</si>
  <si>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</si>
  <si>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</si>
  <si>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</si>
  <si>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</si>
  <si>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</si>
  <si>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</si>
  <si>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</si>
  <si>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</si>
  <si>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</si>
  <si>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</si>
  <si>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</si>
  <si>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</si>
  <si>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</si>
  <si>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</si>
  <si>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</si>
  <si>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</si>
  <si>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</si>
  <si>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</si>
  <si>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</si>
  <si>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</si>
  <si>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</si>
  <si>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</si>
  <si>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</si>
  <si>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</si>
  <si>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</si>
  <si>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</si>
  <si>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</si>
  <si>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</si>
  <si>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</si>
  <si>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</si>
  <si>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</si>
  <si>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</si>
  <si>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</si>
  <si>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</si>
  <si>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</si>
  <si>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</si>
  <si>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</si>
  <si>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</si>
  <si>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</si>
  <si>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</si>
  <si>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</si>
  <si>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</si>
  <si>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</si>
  <si>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</si>
  <si>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</si>
  <si>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</si>
  <si>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</si>
  <si>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</si>
  <si>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</si>
  <si>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</si>
  <si>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</si>
  <si>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</si>
  <si>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50% AEG Sch M - 295C</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</si>
  <si>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</si>
  <si>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</si>
  <si>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</si>
  <si>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</si>
  <si>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</si>
  <si>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</si>
  <si>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</si>
  <si>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</si>
  <si>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</si>
  <si>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</si>
  <si>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</si>
  <si>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</si>
  <si>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</si>
  <si>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</si>
  <si>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</si>
  <si>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</si>
  <si>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</si>
  <si>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</si>
  <si>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</si>
  <si>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</si>
  <si>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</si>
  <si>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</si>
  <si>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</si>
  <si>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</si>
  <si>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</si>
  <si>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</si>
  <si>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</si>
  <si>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</si>
  <si>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</si>
  <si>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</si>
  <si>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</si>
  <si>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</si>
  <si>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</si>
  <si>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</si>
  <si>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</si>
  <si>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</si>
  <si>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</si>
  <si>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</si>
  <si>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</si>
  <si>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</si>
  <si>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</si>
  <si>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</si>
  <si>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</si>
  <si>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</si>
  <si>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</si>
  <si>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</si>
  <si>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</si>
  <si>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</si>
  <si>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</si>
  <si>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</si>
  <si>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</si>
  <si>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</si>
  <si>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</si>
  <si>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</si>
  <si>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</si>
  <si>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</si>
  <si>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</si>
  <si>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</si>
  <si>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</si>
  <si>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</si>
  <si>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</si>
  <si>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</si>
  <si>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</si>
  <si>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</si>
  <si>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</si>
  <si>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</si>
  <si>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</si>
  <si>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</si>
  <si>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</si>
  <si>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</si>
  <si>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</si>
  <si>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</si>
  <si>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</si>
  <si>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</si>
  <si>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</si>
  <si>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</si>
  <si>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</si>
  <si>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</si>
  <si>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</si>
  <si>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</si>
  <si>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</si>
  <si>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</si>
  <si>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</si>
  <si>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</si>
  <si>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</si>
  <si>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</si>
  <si>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</si>
  <si>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</si>
  <si>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</si>
  <si>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</si>
  <si>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</si>
  <si>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</si>
  <si>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</si>
  <si>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</si>
  <si>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</si>
  <si>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</si>
  <si>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</si>
  <si>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</si>
  <si>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</si>
  <si>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</si>
  <si>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</si>
  <si>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</si>
  <si>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</si>
  <si>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</si>
  <si>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</si>
  <si>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</si>
  <si>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</si>
  <si>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</si>
  <si>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</si>
  <si>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</si>
  <si>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</si>
  <si>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</si>
  <si>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</si>
  <si>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</si>
  <si>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</si>
  <si>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</si>
  <si>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</si>
  <si>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</si>
  <si>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</si>
  <si>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</si>
  <si>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</si>
  <si>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</si>
  <si>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</si>
  <si>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</si>
  <si>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</si>
  <si>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</si>
  <si>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</si>
  <si>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</si>
  <si>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</si>
  <si>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</si>
  <si>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</si>
  <si>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</si>
  <si>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</si>
  <si>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</si>
  <si>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</si>
  <si>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</si>
  <si>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</si>
  <si>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</si>
  <si>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</si>
  <si>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</si>
  <si>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</si>
  <si>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</si>
  <si>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</si>
  <si>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</si>
  <si>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</si>
  <si>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</si>
  <si>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</si>
  <si>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</si>
  <si>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</si>
  <si>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</si>
  <si>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</si>
  <si>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</si>
  <si>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</si>
  <si>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</si>
  <si>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</si>
  <si>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</si>
  <si>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</si>
  <si>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</si>
  <si>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</si>
  <si>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</si>
  <si>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</si>
  <si>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</si>
  <si>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</si>
  <si>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</si>
  <si>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</si>
  <si>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</si>
  <si>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</si>
  <si>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</si>
  <si>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</si>
  <si>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</si>
  <si>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</si>
  <si>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</si>
  <si>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</si>
  <si>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</si>
  <si>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</si>
  <si>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</si>
  <si>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</si>
  <si>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</si>
  <si>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</si>
  <si>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</si>
  <si>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</si>
  <si>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</si>
  <si>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</si>
  <si>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</si>
  <si>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</si>
  <si>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</si>
  <si>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</si>
  <si>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</si>
  <si>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</si>
  <si>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</si>
  <si>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</si>
  <si>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</si>
  <si>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</si>
  <si>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</si>
  <si>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</si>
  <si>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</si>
  <si>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</si>
  <si>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</si>
  <si>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</si>
  <si>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</si>
  <si>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</si>
  <si>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</si>
  <si>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</si>
  <si>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</si>
  <si>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</si>
  <si>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</si>
  <si>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</si>
  <si>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</si>
  <si>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</si>
  <si>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</si>
  <si>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</si>
  <si>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</si>
  <si>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</si>
  <si>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</si>
  <si>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</si>
  <si>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</si>
  <si>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</si>
  <si>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</si>
  <si>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</si>
  <si>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</si>
  <si>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</si>
  <si>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</si>
  <si>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</si>
  <si>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</si>
  <si>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</si>
  <si>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</si>
  <si>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</si>
  <si>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</si>
  <si>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</si>
  <si>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</si>
  <si>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</si>
  <si>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</si>
  <si>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</si>
  <si>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</si>
  <si>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</si>
  <si>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</si>
  <si>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</si>
  <si>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</si>
  <si>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</si>
  <si>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</si>
  <si>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</si>
  <si>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</si>
  <si>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</si>
  <si>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</si>
  <si>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</si>
  <si>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</si>
  <si>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</si>
  <si>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</si>
  <si>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</si>
  <si>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</si>
  <si>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</si>
  <si>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</si>
  <si>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</si>
  <si>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</si>
  <si>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</si>
  <si>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</si>
  <si>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</si>
  <si>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</si>
  <si>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</si>
  <si>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</si>
  <si>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</si>
  <si>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</si>
  <si>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</si>
  <si>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</si>
  <si>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</si>
  <si>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</si>
  <si>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</si>
  <si>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</si>
  <si>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</si>
  <si>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</si>
  <si>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</si>
  <si>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</si>
  <si>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</si>
  <si>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</si>
  <si>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</si>
  <si>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</si>
  <si>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</si>
  <si>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</si>
  <si>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</si>
  <si>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</si>
  <si>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</si>
  <si>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</si>
  <si>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</si>
  <si>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</si>
  <si>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</si>
  <si>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</si>
  <si>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</si>
  <si>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</si>
  <si>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</si>
  <si>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</si>
  <si>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</si>
  <si>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</si>
  <si>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</si>
  <si>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</si>
  <si>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</si>
  <si>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</si>
  <si>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</si>
  <si>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</si>
  <si>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</si>
  <si>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</si>
  <si>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</si>
  <si>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</si>
  <si>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</si>
  <si>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</si>
  <si>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</si>
  <si>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</si>
  <si>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</si>
  <si>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</si>
  <si>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</si>
  <si>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</si>
  <si>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</si>
  <si>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</si>
  <si>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</si>
  <si>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</si>
  <si>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</si>
  <si>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</si>
  <si>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</si>
  <si>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</si>
  <si>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</si>
  <si>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</si>
  <si>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</si>
  <si>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</si>
  <si>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</si>
  <si>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</si>
  <si>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</si>
  <si>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</si>
  <si>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</si>
  <si>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</si>
  <si>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</si>
  <si>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</si>
  <si>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</si>
  <si>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</si>
  <si>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</si>
  <si>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</si>
  <si>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</si>
  <si>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</si>
  <si>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</si>
  <si>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</si>
  <si>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</si>
  <si>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</si>
  <si>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</si>
  <si>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</si>
  <si>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</si>
  <si>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</si>
  <si>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</si>
  <si>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</si>
  <si>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</si>
  <si>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</si>
  <si>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</si>
  <si>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</si>
  <si>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</si>
  <si>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</si>
  <si>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</si>
  <si>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</si>
  <si>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</si>
  <si>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</si>
  <si>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</si>
  <si>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</si>
  <si>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</si>
  <si>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</si>
  <si>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</si>
  <si>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</si>
  <si>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</si>
  <si>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</si>
  <si>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</si>
  <si>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</si>
  <si>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</si>
  <si>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</si>
  <si>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</si>
  <si>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</si>
  <si>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</si>
  <si>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</si>
  <si>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</si>
  <si>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</si>
  <si>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</si>
  <si>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</si>
  <si>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</si>
  <si>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</si>
  <si>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</si>
  <si>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</si>
  <si>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</si>
  <si>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</si>
  <si>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</si>
  <si>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</si>
  <si>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</si>
  <si>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</si>
  <si>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</si>
  <si>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</si>
  <si>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</si>
  <si>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</si>
  <si>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</si>
  <si>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</si>
  <si>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</si>
  <si>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</si>
  <si>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</si>
  <si>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</si>
  <si>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</si>
  <si>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</si>
  <si>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</si>
  <si>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</si>
  <si>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</si>
  <si>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</si>
  <si>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</si>
  <si>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</si>
  <si>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</si>
  <si>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</si>
  <si>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</si>
  <si>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</si>
  <si>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</si>
  <si>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</si>
  <si>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</si>
  <si>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</si>
  <si>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</si>
  <si>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</si>
  <si>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</si>
  <si>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</si>
  <si>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</si>
  <si>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</si>
  <si>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</si>
  <si>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</si>
  <si>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</si>
  <si>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</si>
  <si>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2300001 -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</si>
  <si>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</si>
  <si>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</si>
  <si>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</si>
  <si>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</si>
  <si>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</si>
  <si>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</si>
  <si>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</si>
  <si>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</si>
  <si>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</si>
  <si>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</si>
  <si>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</si>
  <si>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</si>
  <si>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</si>
  <si>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</si>
  <si>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</si>
  <si>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</si>
  <si>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</si>
  <si>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</si>
  <si>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</si>
  <si>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</si>
  <si>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</si>
  <si>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</si>
  <si>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</si>
  <si>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</si>
  <si>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</si>
  <si>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</si>
  <si>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</si>
  <si>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</si>
  <si>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</si>
  <si>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</si>
  <si>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</si>
  <si>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</si>
  <si>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</si>
  <si>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</si>
  <si>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</si>
  <si>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</si>
  <si>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</si>
  <si>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</si>
  <si>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</si>
  <si>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</si>
  <si>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</si>
  <si>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</si>
  <si>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</si>
  <si>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</si>
  <si>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</si>
  <si>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</si>
  <si>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</si>
  <si>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</si>
  <si>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</si>
  <si>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</si>
  <si>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</si>
  <si>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</si>
  <si>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</si>
  <si>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</si>
  <si>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</si>
  <si>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</si>
  <si>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</si>
  <si>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</si>
  <si>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</si>
  <si>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</si>
  <si>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</si>
  <si>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</si>
  <si>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</si>
  <si>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</si>
  <si>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</si>
  <si>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</si>
  <si>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</si>
  <si>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</si>
  <si>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</si>
  <si>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</si>
  <si>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</si>
  <si>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</si>
  <si>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</si>
  <si>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</si>
  <si>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</si>
  <si>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</si>
  <si>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</si>
  <si>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</si>
  <si>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</si>
  <si>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</si>
  <si>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</si>
  <si>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</si>
  <si>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</si>
  <si>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</si>
  <si>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</si>
  <si>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</si>
  <si>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</si>
  <si>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</si>
  <si>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</si>
  <si>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</si>
  <si>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</si>
  <si>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</si>
  <si>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</si>
  <si>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</si>
  <si>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</si>
  <si>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</si>
  <si>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</si>
  <si>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</si>
  <si>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</si>
  <si>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</si>
  <si>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</si>
  <si>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</si>
  <si>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</si>
  <si>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</si>
  <si>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</si>
  <si>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</si>
  <si>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</si>
  <si>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</si>
  <si>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</si>
  <si>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</si>
  <si>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</si>
  <si>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</si>
  <si>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</si>
  <si>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</si>
  <si>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</si>
  <si>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</si>
  <si>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</si>
  <si>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</si>
  <si>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</si>
  <si>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</si>
  <si>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</si>
  <si>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</si>
  <si>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</si>
  <si>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</si>
  <si>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</si>
  <si>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</si>
  <si>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</si>
  <si>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</si>
  <si>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</si>
  <si>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</si>
  <si>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</si>
  <si>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</si>
  <si>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</si>
  <si>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</si>
  <si>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</si>
  <si>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</si>
  <si>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</si>
  <si>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</si>
  <si>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</si>
  <si>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</si>
  <si>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</si>
  <si>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</si>
  <si>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</si>
  <si>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</si>
  <si>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</si>
  <si>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</si>
  <si>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</si>
  <si>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</si>
  <si>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</si>
  <si>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</si>
  <si>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</si>
  <si>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</si>
  <si>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</si>
  <si>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</si>
  <si>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</si>
  <si>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</si>
  <si>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</si>
  <si>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</si>
  <si>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</si>
  <si>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</si>
  <si>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</si>
  <si>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</si>
  <si>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</si>
  <si>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</si>
  <si>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</si>
  <si>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</si>
  <si>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</si>
  <si>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</si>
  <si>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</si>
  <si>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</si>
  <si>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</si>
  <si>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</si>
  <si>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</si>
  <si>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</si>
  <si>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</si>
  <si>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</si>
  <si>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</si>
  <si>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</si>
  <si>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</si>
  <si>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</si>
  <si>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</si>
  <si>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</si>
  <si>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</si>
  <si>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</si>
  <si>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</si>
  <si>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</si>
  <si>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</si>
  <si>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</si>
  <si>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</si>
  <si>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</si>
  <si>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</si>
  <si>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</si>
  <si>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</si>
  <si>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</si>
  <si>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</si>
  <si>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</si>
  <si>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</si>
  <si>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</si>
  <si>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</si>
  <si>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</si>
  <si>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</si>
  <si>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</si>
  <si>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</si>
  <si>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</si>
  <si>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</si>
  <si>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</si>
  <si>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</si>
  <si>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</si>
  <si>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</si>
  <si>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</si>
  <si>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</si>
  <si>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</si>
  <si>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</si>
  <si>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</si>
  <si>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</si>
  <si>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</si>
  <si>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</si>
  <si>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</si>
  <si>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</si>
  <si>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</si>
  <si>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</si>
  <si>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</si>
  <si>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</si>
  <si>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</si>
  <si>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</si>
  <si>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</si>
  <si>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</si>
  <si>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</si>
  <si>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</si>
  <si>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</si>
  <si>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</si>
  <si>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</si>
  <si>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</si>
  <si>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</si>
  <si>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</si>
  <si>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</si>
  <si>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</si>
  <si>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</si>
  <si>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</si>
  <si>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</si>
  <si>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</si>
  <si>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</si>
  <si>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</si>
  <si>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</si>
  <si>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</si>
  <si>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</si>
  <si>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</si>
  <si>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</si>
  <si>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</si>
  <si>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</si>
  <si>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</si>
  <si>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</si>
  <si>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</si>
  <si>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</si>
  <si>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</si>
  <si>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</si>
  <si>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</si>
  <si>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</si>
  <si>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</si>
  <si>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</si>
  <si>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</si>
  <si>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</si>
  <si>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</si>
  <si>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</si>
  <si>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</si>
  <si>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</si>
  <si>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</si>
  <si>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</si>
  <si>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</si>
  <si>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</si>
  <si>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</si>
  <si>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</si>
  <si>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</si>
  <si>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</si>
  <si>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</si>
  <si>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</si>
  <si>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</si>
  <si>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</si>
  <si>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</si>
  <si>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</si>
  <si>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</si>
  <si>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</si>
  <si>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</si>
  <si>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</si>
  <si>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</si>
  <si>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</si>
  <si>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</si>
  <si>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</si>
  <si>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</si>
  <si>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</si>
  <si>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</si>
  <si>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</si>
  <si>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</si>
  <si>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</si>
  <si>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</si>
  <si>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</si>
  <si>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</si>
  <si>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</si>
  <si>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</si>
  <si>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</si>
  <si>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</si>
  <si>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</si>
  <si>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</si>
  <si>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</si>
  <si>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</si>
  <si>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</si>
  <si>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</si>
  <si>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</si>
  <si>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</si>
  <si>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</si>
  <si>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</si>
  <si>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</si>
  <si>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</si>
  <si>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</si>
  <si>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</si>
  <si>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</si>
  <si>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</si>
  <si>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</si>
  <si>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</si>
  <si>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</si>
  <si>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</si>
  <si>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</si>
  <si>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</si>
  <si>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</si>
  <si>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</si>
  <si>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</si>
  <si>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</si>
  <si>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</si>
  <si>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</si>
  <si>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</si>
  <si>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</si>
  <si>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</si>
  <si>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</si>
  <si>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</si>
  <si>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</si>
  <si>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</si>
  <si>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</si>
  <si>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</si>
  <si>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</si>
  <si>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</si>
  <si>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</si>
  <si>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</si>
  <si>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</si>
  <si>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</si>
  <si>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</si>
  <si>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</si>
  <si>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</si>
  <si>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</si>
  <si>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</si>
  <si>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</si>
  <si>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</si>
  <si>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</si>
  <si>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</si>
  <si>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</si>
  <si>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50% AEG Sch M - 940x</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</si>
  <si>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</si>
  <si>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</si>
  <si>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</si>
  <si>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</si>
  <si>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</si>
  <si>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</si>
  <si>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</si>
  <si>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</si>
  <si>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</si>
  <si>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</si>
  <si>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</si>
  <si>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</si>
  <si>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</si>
  <si>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</si>
  <si>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</si>
  <si>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</si>
  <si>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</si>
  <si>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</si>
  <si>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</si>
  <si>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</si>
  <si>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</si>
  <si>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</si>
  <si>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</si>
  <si>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</si>
  <si>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</si>
  <si>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</si>
  <si>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</si>
  <si>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</si>
  <si>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</si>
  <si>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</si>
  <si>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</si>
  <si>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</si>
  <si>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</si>
  <si>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</si>
  <si>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</si>
  <si>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</si>
  <si>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</si>
  <si>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</si>
  <si>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</si>
  <si>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</si>
  <si>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</si>
  <si>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</si>
  <si>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</si>
  <si>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</si>
  <si>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</si>
  <si>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</si>
  <si>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</si>
  <si>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</si>
  <si>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</si>
  <si>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</si>
  <si>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</si>
  <si>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</si>
  <si>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</si>
  <si>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</si>
  <si>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</si>
  <si>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</si>
  <si>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</si>
  <si>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</si>
  <si>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</si>
  <si>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</si>
  <si>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</si>
  <si>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</si>
  <si>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</si>
  <si>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</si>
  <si>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</si>
  <si>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</si>
  <si>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</si>
  <si>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</si>
  <si>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</si>
  <si>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</si>
  <si>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</si>
  <si>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</si>
  <si>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</si>
  <si>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</si>
  <si>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</si>
  <si>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</si>
  <si>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</si>
  <si>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</si>
  <si>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</si>
  <si>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</si>
  <si>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</si>
  <si>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</si>
  <si>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</si>
  <si>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</si>
  <si>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</si>
  <si>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</si>
  <si>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</si>
  <si>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</si>
  <si>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</si>
  <si>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</si>
  <si>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</si>
  <si>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</si>
  <si>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</si>
  <si>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</si>
  <si>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</si>
  <si>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</si>
  <si>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</si>
  <si>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</si>
  <si>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</si>
  <si>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</si>
  <si>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</si>
  <si>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</si>
  <si>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</si>
  <si>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</si>
  <si>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</si>
  <si>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</si>
  <si>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</si>
  <si>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</si>
  <si>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</si>
  <si>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</si>
  <si>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</si>
  <si>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</si>
  <si>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</si>
  <si>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</si>
  <si>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</si>
  <si>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</si>
  <si>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</si>
  <si>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</si>
  <si>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</si>
  <si>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</si>
  <si>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</si>
  <si>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</si>
  <si>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</si>
  <si>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</si>
  <si>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</si>
  <si>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</si>
  <si>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</si>
  <si>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</si>
  <si>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</si>
  <si>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</si>
  <si>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</si>
  <si>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</si>
  <si>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</si>
  <si>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</si>
  <si>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</si>
  <si>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</si>
  <si>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</si>
  <si>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</si>
  <si>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</si>
  <si>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</si>
  <si>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</si>
  <si>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</si>
  <si>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</si>
  <si>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</si>
  <si>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</si>
  <si>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</si>
  <si>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</si>
  <si>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</si>
  <si>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</si>
  <si>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</si>
  <si>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</si>
  <si>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</si>
  <si>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</si>
  <si>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</si>
  <si>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</si>
  <si>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</si>
  <si>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</si>
  <si>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</si>
  <si>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</si>
  <si>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</si>
  <si>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</si>
  <si>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</si>
  <si>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</si>
  <si>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</si>
  <si>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</si>
  <si>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</si>
  <si>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</si>
  <si>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</si>
  <si>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</si>
  <si>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</si>
  <si>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</si>
  <si>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</si>
  <si>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</si>
  <si>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</si>
  <si>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</si>
  <si>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</si>
  <si>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</si>
  <si>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</si>
  <si>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</si>
  <si>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</si>
  <si>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</si>
  <si>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</si>
  <si>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</si>
  <si>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</si>
  <si>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</si>
  <si>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</si>
  <si>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</si>
  <si>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</si>
  <si>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</si>
  <si>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</si>
  <si>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</si>
  <si>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</si>
  <si>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</si>
  <si>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</si>
  <si>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</si>
  <si>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</si>
  <si>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</si>
  <si>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</si>
  <si>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</si>
  <si>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</si>
  <si>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</si>
  <si>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</si>
  <si>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</si>
  <si>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</si>
  <si>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</si>
  <si>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</si>
  <si>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</si>
  <si>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</si>
  <si>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</si>
  <si>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</si>
  <si>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</si>
  <si>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</si>
  <si>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</si>
  <si>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</si>
  <si>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</si>
  <si>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</si>
  <si>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</si>
  <si>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</si>
  <si>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</si>
  <si>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</si>
  <si>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</si>
  <si>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</si>
  <si>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</si>
  <si>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</si>
  <si>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</si>
  <si>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</si>
  <si>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</si>
  <si>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</si>
  <si>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</si>
  <si>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</si>
  <si>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</si>
  <si>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</si>
  <si>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</si>
  <si>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</si>
  <si>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</si>
  <si>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</si>
  <si>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</si>
  <si>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</si>
  <si>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</si>
  <si>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</si>
  <si>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</si>
  <si>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</si>
  <si>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</si>
  <si>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</si>
  <si>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</si>
  <si>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</si>
  <si>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</si>
  <si>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</si>
  <si>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</si>
  <si>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</si>
  <si>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</si>
  <si>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</si>
  <si>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</si>
  <si>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</si>
  <si>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</si>
  <si>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</si>
  <si>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</si>
  <si>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</si>
  <si>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</si>
  <si>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</si>
  <si>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</si>
  <si>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</si>
  <si>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</si>
  <si>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</si>
  <si>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</si>
  <si>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</si>
  <si>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</si>
  <si>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</si>
  <si>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</si>
  <si>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</si>
  <si>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</si>
  <si>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</si>
  <si>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</si>
  <si>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</si>
  <si>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</si>
  <si>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</si>
  <si>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</si>
  <si>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</si>
  <si>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</si>
  <si>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</si>
  <si>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excludes ARO/Asbestos</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</si>
  <si>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</si>
  <si>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</si>
  <si>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</si>
  <si>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</si>
  <si>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</si>
  <si>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</si>
  <si>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</si>
  <si>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</si>
  <si>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</si>
  <si>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</si>
  <si>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</si>
  <si>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</si>
  <si>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</si>
  <si>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</si>
  <si>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</si>
  <si>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</si>
  <si>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</si>
  <si>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</si>
  <si>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</si>
  <si>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</si>
  <si>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</si>
  <si>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</si>
  <si>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</si>
  <si>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</si>
  <si>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</si>
  <si>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</si>
  <si>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</si>
  <si>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</si>
  <si>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</si>
  <si>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</si>
  <si>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</si>
  <si>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</si>
  <si>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</si>
  <si>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</si>
  <si>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</si>
  <si>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</si>
  <si>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</si>
  <si>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</si>
  <si>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</si>
  <si>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</si>
  <si>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</si>
  <si>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</si>
  <si>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</si>
  <si>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</si>
  <si>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</si>
  <si>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</si>
  <si>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</si>
  <si>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</si>
  <si>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</si>
  <si>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</si>
  <si>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</si>
  <si>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</si>
  <si>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</si>
  <si>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</si>
  <si>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</si>
  <si>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</si>
  <si>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</si>
  <si>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</si>
  <si>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</si>
  <si>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</si>
  <si>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</si>
  <si>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</si>
  <si>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</si>
  <si>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</si>
  <si>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</si>
  <si>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</si>
  <si>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</si>
  <si>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</si>
  <si>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</si>
  <si>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</si>
  <si>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</si>
  <si>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</si>
  <si>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</si>
  <si>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</si>
  <si>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</si>
  <si>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</si>
  <si>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</si>
  <si>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</si>
  <si>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</si>
  <si>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</si>
  <si>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</si>
  <si>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</si>
  <si>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</si>
  <si>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</si>
  <si>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</si>
  <si>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</si>
  <si>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</si>
  <si>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</si>
  <si>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</si>
  <si>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</si>
  <si>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</si>
  <si>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</si>
  <si>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</si>
  <si>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</si>
  <si>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</si>
  <si>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</si>
  <si>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</si>
  <si>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</si>
  <si>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</si>
  <si>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</si>
  <si>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</si>
  <si>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</si>
  <si>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</si>
  <si>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</si>
  <si>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</si>
  <si>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</si>
  <si>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</si>
  <si>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</si>
  <si>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</si>
  <si>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</si>
  <si>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</si>
  <si>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</si>
  <si>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</si>
  <si>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</si>
  <si>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</si>
  <si>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</si>
  <si>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</si>
  <si>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</si>
  <si>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</si>
  <si>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</si>
  <si>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</si>
  <si>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</si>
  <si>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</si>
  <si>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</si>
  <si>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</si>
  <si>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</si>
  <si>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</si>
  <si>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AEG Sch M - 911v</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</si>
  <si>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</si>
  <si>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</si>
  <si>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</si>
  <si>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</si>
  <si>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</si>
  <si>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</si>
  <si>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</si>
  <si>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</si>
  <si>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</si>
  <si>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</si>
  <si>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</si>
  <si>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</si>
  <si>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</si>
  <si>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</si>
  <si>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</si>
  <si>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</si>
  <si>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</si>
  <si>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</si>
  <si>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</si>
  <si>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</si>
  <si>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</si>
  <si>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</si>
  <si>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</si>
  <si>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</si>
  <si>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</si>
  <si>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</si>
  <si>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</si>
  <si>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</si>
  <si>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</si>
  <si>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</si>
  <si>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</si>
  <si>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</si>
  <si>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</si>
  <si>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</si>
  <si>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</si>
  <si>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</si>
  <si>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</si>
  <si>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</si>
  <si>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</si>
  <si>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</si>
  <si>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</si>
  <si>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</si>
  <si>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</si>
  <si>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</si>
  <si>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</si>
  <si>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</si>
  <si>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</si>
  <si>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</si>
  <si>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</si>
  <si>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</si>
  <si>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</si>
  <si>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</si>
  <si>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</si>
  <si>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</si>
  <si>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</si>
  <si>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</si>
  <si>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</si>
  <si>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</si>
  <si>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</si>
  <si>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</si>
  <si>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</si>
  <si>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</si>
  <si>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</si>
  <si>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</si>
  <si>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</si>
  <si>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</si>
  <si>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</si>
  <si>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</si>
  <si>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</si>
  <si>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</si>
  <si>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</si>
  <si>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</si>
  <si>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</si>
  <si>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</si>
  <si>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</si>
  <si>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</si>
  <si>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</si>
  <si>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</si>
  <si>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</si>
  <si>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</si>
  <si>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</si>
  <si>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</si>
  <si>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</si>
  <si>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</si>
  <si>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</si>
  <si>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</si>
  <si>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</si>
  <si>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</si>
  <si>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</si>
  <si>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</si>
  <si>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</si>
  <si>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</si>
  <si>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</si>
  <si>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</si>
  <si>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</si>
  <si>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</si>
  <si>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</si>
  <si>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</si>
  <si>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</si>
  <si>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</si>
  <si>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</si>
  <si>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</si>
  <si>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</si>
  <si>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</si>
  <si>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</si>
  <si>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</si>
  <si>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</si>
  <si>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</si>
  <si>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</si>
  <si>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</si>
  <si>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</si>
  <si>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</si>
  <si>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</si>
  <si>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</si>
  <si>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</si>
  <si>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</si>
  <si>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</si>
  <si>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</si>
  <si>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</si>
  <si>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</si>
  <si>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</si>
  <si>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</si>
  <si>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</si>
  <si>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</si>
  <si>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</si>
  <si>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</si>
  <si>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</si>
  <si>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</si>
  <si>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</si>
  <si>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</si>
  <si>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</si>
  <si>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</si>
  <si>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</si>
  <si>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</si>
  <si>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</si>
  <si>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</si>
  <si>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</si>
  <si>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</si>
  <si>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</si>
  <si>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</si>
  <si>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</si>
  <si>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</si>
  <si>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</si>
  <si>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</si>
  <si>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</si>
  <si>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</si>
  <si>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</si>
  <si>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</si>
  <si>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</si>
  <si>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</si>
  <si>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</si>
  <si>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</si>
  <si>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</si>
  <si>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</si>
  <si>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</si>
  <si>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</si>
  <si>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</si>
  <si>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</si>
  <si>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</si>
  <si>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</si>
  <si>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</si>
  <si>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</si>
  <si>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</si>
  <si>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</si>
  <si>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</si>
  <si>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</si>
  <si>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</si>
  <si>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</si>
  <si>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</si>
  <si>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</si>
  <si>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</si>
  <si>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</si>
  <si>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</si>
  <si>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</si>
  <si>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</si>
  <si>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</si>
  <si>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</si>
  <si>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</si>
  <si>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</si>
  <si>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</si>
  <si>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</si>
  <si>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</si>
  <si>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</si>
  <si>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</si>
  <si>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</si>
  <si>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</si>
  <si>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</si>
  <si>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</si>
  <si>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</si>
  <si>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</si>
  <si>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</si>
  <si>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</si>
  <si>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</si>
  <si>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</si>
  <si>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</si>
  <si>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</si>
  <si>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</si>
  <si>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</si>
  <si>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</si>
  <si>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</si>
  <si>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</si>
  <si>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</si>
  <si>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</si>
  <si>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</si>
  <si>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</si>
  <si>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</si>
  <si>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</si>
  <si>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</si>
  <si>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</si>
  <si>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</si>
  <si>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</si>
  <si>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</si>
  <si>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</si>
  <si>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</si>
  <si>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</si>
  <si>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</si>
  <si>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</si>
  <si>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</si>
  <si>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</si>
  <si>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</si>
  <si>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</si>
  <si>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</si>
  <si>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</si>
  <si>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</si>
  <si>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</si>
  <si>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</si>
  <si>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</si>
  <si>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</si>
  <si>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</si>
  <si>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</si>
  <si>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</si>
  <si>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</si>
  <si>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</si>
  <si>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</si>
  <si>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</si>
  <si>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</si>
  <si>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</si>
  <si>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</si>
  <si>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</si>
  <si>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</si>
  <si>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</si>
  <si>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</si>
  <si>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</si>
  <si>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</si>
  <si>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</si>
  <si>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</si>
  <si>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</si>
  <si>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</si>
  <si>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</si>
  <si>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</si>
  <si>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</si>
  <si>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</si>
  <si>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</si>
  <si>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</si>
  <si>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</si>
  <si>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</si>
  <si>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</si>
  <si>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</si>
  <si>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</si>
  <si>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</si>
  <si>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</si>
  <si>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</si>
  <si>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</si>
  <si>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</si>
  <si>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</si>
  <si>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</si>
  <si>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</si>
  <si>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</si>
  <si>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</si>
  <si>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</si>
  <si>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</si>
  <si>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</si>
  <si>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</si>
  <si>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</si>
  <si>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</si>
  <si>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</si>
  <si>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</si>
  <si>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</si>
  <si>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</si>
  <si>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</si>
  <si>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</si>
  <si>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</si>
  <si>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</si>
  <si>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</si>
  <si>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</si>
  <si>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</si>
  <si>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</si>
  <si>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</si>
  <si>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</si>
  <si>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</si>
  <si>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</si>
  <si>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</si>
  <si>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</si>
  <si>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</si>
  <si>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</si>
  <si>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</si>
  <si>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</si>
  <si>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</si>
  <si>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</si>
  <si>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</si>
  <si>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</si>
  <si>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</si>
  <si>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</si>
  <si>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</si>
  <si>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</si>
  <si>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</si>
  <si>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</si>
  <si>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</si>
  <si>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</si>
  <si>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</si>
  <si>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</si>
  <si>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</si>
  <si>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</si>
  <si>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</si>
  <si>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</si>
  <si>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</si>
  <si>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</si>
  <si>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</si>
  <si>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</si>
  <si>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</si>
  <si>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</si>
  <si>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</si>
  <si>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</si>
  <si>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</si>
  <si>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</si>
  <si>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</si>
  <si>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</si>
  <si>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</si>
  <si>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</si>
  <si>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</si>
  <si>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</si>
  <si>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</si>
  <si>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</si>
  <si>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</si>
  <si>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</si>
  <si>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</si>
  <si>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</si>
  <si>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</si>
  <si>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</si>
  <si>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</si>
  <si>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</si>
  <si>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2015</t>
  </si>
  <si>
    <t>50%940x</t>
  </si>
  <si>
    <t>910 N 50%</t>
  </si>
  <si>
    <t>910 n 50%</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</si>
</sst>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0">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cellStyleXfs>
  <cellXfs count="414">
    <xf numFmtId="0" fontId="0" fillId="0" borderId="0" xfId="0" applyAlignment="1">
      <alignment/>
    </xf>
    <xf numFmtId="0" fontId="1" fillId="0" borderId="0" xfId="0" applyFont="1" applyAlignment="1" applyProtection="1">
      <alignment/>
      <protection/>
    </xf>
    <xf numFmtId="37" fontId="1" fillId="0" borderId="0" xfId="0" applyNumberFormat="1" applyFont="1" applyAlignment="1" applyProtection="1">
      <alignment/>
      <protection/>
    </xf>
    <xf numFmtId="0" fontId="0" fillId="0" borderId="0" xfId="0" applyFont="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horizontal="left"/>
      <protection/>
    </xf>
    <xf numFmtId="0" fontId="7" fillId="0" borderId="0" xfId="0"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0" fillId="0" borderId="0" xfId="0" applyAlignment="1" quotePrefix="1">
      <alignment/>
    </xf>
    <xf numFmtId="0" fontId="18" fillId="0" borderId="0" xfId="0" applyFont="1" applyAlignment="1" applyProtection="1">
      <alignment/>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0" fillId="0" borderId="0" xfId="0" applyAlignment="1">
      <alignment vertical="top" wrapText="1"/>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39"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9" fillId="0" borderId="0" xfId="0" applyFont="1" applyAlignment="1">
      <alignment wrapText="1"/>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0" fontId="0" fillId="0" borderId="0" xfId="0" applyFont="1" applyFill="1" applyAlignment="1" applyProtection="1">
      <alignmen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0" xfId="0" applyFont="1" applyAlignment="1">
      <alignment/>
    </xf>
    <xf numFmtId="0" fontId="39" fillId="0" borderId="0" xfId="0" applyFont="1" applyAlignment="1">
      <alignment horizontal="center" wrapText="1"/>
    </xf>
    <xf numFmtId="0" fontId="39"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9"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37" fontId="0" fillId="0" borderId="0" xfId="0" applyNumberFormat="1" applyAlignment="1">
      <alignment/>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3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37" fontId="8" fillId="0" borderId="0" xfId="0" applyNumberFormat="1" applyFont="1" applyFill="1" applyAlignment="1" applyProtection="1">
      <alignment/>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28" xfId="0" applyFont="1" applyFill="1" applyBorder="1" applyAlignment="1" applyProtection="1">
      <alignment/>
      <protection/>
    </xf>
    <xf numFmtId="0" fontId="0" fillId="0" borderId="15" xfId="0" applyFill="1" applyBorder="1" applyAlignment="1">
      <alignment horizontal="center"/>
    </xf>
    <xf numFmtId="0" fontId="0" fillId="0" borderId="30" xfId="0" applyFill="1" applyBorder="1" applyAlignment="1">
      <alignment/>
    </xf>
    <xf numFmtId="0" fontId="0" fillId="0" borderId="31" xfId="0" applyFill="1" applyBorder="1" applyAlignment="1">
      <alignment horizontal="center"/>
    </xf>
    <xf numFmtId="0" fontId="0" fillId="0" borderId="31" xfId="0" applyFill="1" applyBorder="1" applyAlignment="1">
      <alignment/>
    </xf>
    <xf numFmtId="0" fontId="0" fillId="0" borderId="30" xfId="0" applyFill="1" applyBorder="1" applyAlignment="1">
      <alignment horizontal="right"/>
    </xf>
    <xf numFmtId="43" fontId="0" fillId="0" borderId="31" xfId="42" applyFont="1" applyFill="1" applyBorder="1" applyAlignment="1">
      <alignment horizontal="center"/>
    </xf>
    <xf numFmtId="43" fontId="0" fillId="0" borderId="31" xfId="42" applyFont="1" applyFill="1" applyBorder="1" applyAlignment="1">
      <alignment/>
    </xf>
    <xf numFmtId="43" fontId="51" fillId="0" borderId="31"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1"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2" xfId="0" applyNumberForma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4" xfId="0" applyFont="1" applyFill="1" applyBorder="1" applyAlignment="1">
      <alignment/>
    </xf>
    <xf numFmtId="43" fontId="88" fillId="0" borderId="34" xfId="42" applyFon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3" fontId="0" fillId="0" borderId="0" xfId="42" applyFont="1" applyFill="1" applyBorder="1" applyAlignment="1">
      <alignment horizontal="center"/>
    </xf>
    <xf numFmtId="181" fontId="52" fillId="0" borderId="37" xfId="42" applyNumberFormat="1" applyFont="1" applyFill="1" applyBorder="1" applyAlignment="1">
      <alignment/>
    </xf>
    <xf numFmtId="43" fontId="0" fillId="0" borderId="0" xfId="42"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8" xfId="0" applyFill="1" applyBorder="1" applyAlignment="1">
      <alignment/>
    </xf>
    <xf numFmtId="0" fontId="0" fillId="0" borderId="27" xfId="0" applyFill="1" applyBorder="1" applyAlignment="1">
      <alignment/>
    </xf>
    <xf numFmtId="0" fontId="0" fillId="0" borderId="39" xfId="0" applyFill="1" applyBorder="1" applyAlignment="1">
      <alignment/>
    </xf>
    <xf numFmtId="43" fontId="53" fillId="0" borderId="0" xfId="0" applyNumberFormat="1" applyFont="1" applyFill="1" applyBorder="1" applyAlignment="1">
      <alignment/>
    </xf>
    <xf numFmtId="0" fontId="0" fillId="0" borderId="36" xfId="0" applyFill="1" applyBorder="1" applyAlignment="1">
      <alignment horizontal="right"/>
    </xf>
    <xf numFmtId="0" fontId="0" fillId="0" borderId="38"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43" fontId="4" fillId="0" borderId="0" xfId="42" applyFont="1" applyFill="1" applyAlignment="1" applyProtection="1">
      <alignment horizontal="center"/>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65" fontId="10" fillId="0" borderId="0" xfId="0" applyNumberFormat="1" applyFont="1" applyFill="1" applyAlignment="1" applyProtection="1">
      <alignment horizontal="center"/>
      <protection/>
    </xf>
    <xf numFmtId="43" fontId="0" fillId="0" borderId="0" xfId="42" applyFont="1" applyFill="1" applyAlignment="1" applyProtection="1">
      <alignment/>
      <protection/>
    </xf>
    <xf numFmtId="10" fontId="1" fillId="0" borderId="0" xfId="0" applyNumberFormat="1" applyFont="1" applyFill="1" applyAlignment="1" applyProtection="1">
      <alignment horizontal="center"/>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173" fontId="1" fillId="0" borderId="0" xfId="0" applyNumberFormat="1"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37" fillId="0" borderId="0" xfId="0" applyFont="1" applyFill="1" applyBorder="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18" fillId="0" borderId="0" xfId="0" applyFont="1" applyFill="1" applyBorder="1" applyAlignment="1" applyProtection="1">
      <alignment horizontal="lef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933450</xdr:colOff>
      <xdr:row>2</xdr:row>
      <xdr:rowOff>76200</xdr:rowOff>
    </xdr:to>
    <xdr:pic>
      <xdr:nvPicPr>
        <xdr:cNvPr id="1" name="CommandButton1"/>
        <xdr:cNvPicPr preferRelativeResize="1">
          <a:picLocks noChangeAspect="1"/>
        </xdr:cNvPicPr>
      </xdr:nvPicPr>
      <xdr:blipFill>
        <a:blip r:embed="rId1"/>
        <a:stretch>
          <a:fillRect/>
        </a:stretch>
      </xdr:blipFill>
      <xdr:spPr>
        <a:xfrm>
          <a:off x="180975" y="66675"/>
          <a:ext cx="2066925" cy="409575"/>
        </a:xfrm>
        <a:prstGeom prst="rect">
          <a:avLst/>
        </a:prstGeom>
        <a:noFill/>
        <a:ln w="9525" cmpd="sng">
          <a:noFill/>
        </a:ln>
      </xdr:spPr>
    </xdr:pic>
    <xdr:clientData fPrintsWithSheet="0"/>
  </xdr:twoCellAnchor>
  <xdr:twoCellAnchor editAs="oneCell">
    <xdr:from>
      <xdr:col>1</xdr:col>
      <xdr:colOff>1057275</xdr:colOff>
      <xdr:row>0</xdr:row>
      <xdr:rowOff>85725</xdr:rowOff>
    </xdr:from>
    <xdr:to>
      <xdr:col>1</xdr:col>
      <xdr:colOff>2171700</xdr:colOff>
      <xdr:row>2</xdr:row>
      <xdr:rowOff>133350</xdr:rowOff>
    </xdr:to>
    <xdr:pic>
      <xdr:nvPicPr>
        <xdr:cNvPr id="2" name="CommandButton1"/>
        <xdr:cNvPicPr preferRelativeResize="1">
          <a:picLocks noChangeAspect="1"/>
        </xdr:cNvPicPr>
      </xdr:nvPicPr>
      <xdr:blipFill>
        <a:blip r:embed="rId2"/>
        <a:stretch>
          <a:fillRect/>
        </a:stretch>
      </xdr:blipFill>
      <xdr:spPr>
        <a:xfrm>
          <a:off x="2371725" y="85725"/>
          <a:ext cx="1114425" cy="447675"/>
        </a:xfrm>
        <a:prstGeom prst="rect">
          <a:avLst/>
        </a:prstGeom>
        <a:noFill/>
        <a:ln w="9525" cmpd="sng">
          <a:noFill/>
        </a:ln>
      </xdr:spPr>
    </xdr:pic>
    <xdr:clientData fPrintsWithSheet="0"/>
  </xdr:twoCellAnchor>
  <xdr:twoCellAnchor editAs="oneCell">
    <xdr:from>
      <xdr:col>1</xdr:col>
      <xdr:colOff>2362200</xdr:colOff>
      <xdr:row>0</xdr:row>
      <xdr:rowOff>114300</xdr:rowOff>
    </xdr:from>
    <xdr:to>
      <xdr:col>1</xdr:col>
      <xdr:colOff>3924300</xdr:colOff>
      <xdr:row>2</xdr:row>
      <xdr:rowOff>142875</xdr:rowOff>
    </xdr:to>
    <xdr:pic>
      <xdr:nvPicPr>
        <xdr:cNvPr id="3" name="CommandButton1"/>
        <xdr:cNvPicPr preferRelativeResize="1">
          <a:picLocks noChangeAspect="1"/>
        </xdr:cNvPicPr>
      </xdr:nvPicPr>
      <xdr:blipFill>
        <a:blip r:embed="rId3"/>
        <a:stretch>
          <a:fillRect/>
        </a:stretch>
      </xdr:blipFill>
      <xdr:spPr>
        <a:xfrm>
          <a:off x="3676650" y="114300"/>
          <a:ext cx="1562100" cy="428625"/>
        </a:xfrm>
        <a:prstGeom prst="rect">
          <a:avLst/>
        </a:prstGeom>
        <a:noFill/>
        <a:ln w="9525" cmpd="sng">
          <a:noFill/>
        </a:ln>
      </xdr:spPr>
    </xdr:pic>
    <xdr:clientData fPrintsWithSheet="0"/>
  </xdr:twoCellAnchor>
  <xdr:twoCellAnchor editAs="oneCell">
    <xdr:from>
      <xdr:col>1</xdr:col>
      <xdr:colOff>4124325</xdr:colOff>
      <xdr:row>0</xdr:row>
      <xdr:rowOff>142875</xdr:rowOff>
    </xdr:from>
    <xdr:to>
      <xdr:col>2</xdr:col>
      <xdr:colOff>1209675</xdr:colOff>
      <xdr:row>2</xdr:row>
      <xdr:rowOff>161925</xdr:rowOff>
    </xdr:to>
    <xdr:pic>
      <xdr:nvPicPr>
        <xdr:cNvPr id="4" name="CommandButton1"/>
        <xdr:cNvPicPr preferRelativeResize="1">
          <a:picLocks noChangeAspect="1"/>
        </xdr:cNvPicPr>
      </xdr:nvPicPr>
      <xdr:blipFill>
        <a:blip r:embed="rId4"/>
        <a:stretch>
          <a:fillRect/>
        </a:stretch>
      </xdr:blipFill>
      <xdr:spPr>
        <a:xfrm>
          <a:off x="5438775" y="142875"/>
          <a:ext cx="1543050" cy="4191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2800350</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3352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411325"/>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09775"/>
          <a:ext cx="390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6">
      <selection activeCell="B143" sqref="B143"/>
    </sheetView>
  </sheetViews>
  <sheetFormatPr defaultColWidth="9.140625" defaultRowHeight="12.75"/>
  <cols>
    <col min="1" max="1" width="3.00390625" style="0" customWidth="1"/>
    <col min="2" max="2" width="107.8515625" style="15" customWidth="1"/>
  </cols>
  <sheetData>
    <row r="1" ht="15">
      <c r="A1" s="19" t="s">
        <v>480</v>
      </c>
    </row>
    <row r="3" spans="1:2" ht="12.75">
      <c r="A3" s="16" t="s">
        <v>1782</v>
      </c>
      <c r="B3" s="17"/>
    </row>
    <row r="4" spans="1:2" ht="12.75">
      <c r="A4">
        <v>1</v>
      </c>
      <c r="B4" s="18" t="s">
        <v>1715</v>
      </c>
    </row>
    <row r="5" spans="1:2" ht="12.75">
      <c r="A5">
        <f>A4+1</f>
        <v>2</v>
      </c>
      <c r="B5" s="18" t="s">
        <v>1716</v>
      </c>
    </row>
    <row r="7" spans="1:2" ht="12.75">
      <c r="A7" s="16" t="s">
        <v>1717</v>
      </c>
      <c r="B7" s="17"/>
    </row>
    <row r="8" spans="1:2" ht="12.75">
      <c r="A8">
        <v>1</v>
      </c>
      <c r="B8" s="18" t="s">
        <v>1189</v>
      </c>
    </row>
    <row r="9" spans="1:2" ht="26.25">
      <c r="A9" s="23">
        <f>A8+1</f>
        <v>2</v>
      </c>
      <c r="B9" s="18" t="s">
        <v>1726</v>
      </c>
    </row>
    <row r="10" spans="1:2" ht="26.25">
      <c r="A10" s="23">
        <f>A9+1</f>
        <v>3</v>
      </c>
      <c r="B10" s="18" t="s">
        <v>837</v>
      </c>
    </row>
    <row r="11" spans="1:2" ht="12.75">
      <c r="A11" s="23">
        <f>A10+1</f>
        <v>4</v>
      </c>
      <c r="B11" s="18" t="s">
        <v>1388</v>
      </c>
    </row>
    <row r="12" spans="1:2" ht="12.75">
      <c r="A12" s="23">
        <f>A11+1</f>
        <v>5</v>
      </c>
      <c r="B12" s="18" t="s">
        <v>633</v>
      </c>
    </row>
    <row r="13" ht="12.75">
      <c r="A13" s="23"/>
    </row>
    <row r="14" spans="1:2" ht="12.75">
      <c r="A14" s="24" t="s">
        <v>794</v>
      </c>
      <c r="B14" s="17"/>
    </row>
    <row r="15" spans="1:2" ht="12.75">
      <c r="A15" s="23">
        <v>1</v>
      </c>
      <c r="B15" s="18" t="s">
        <v>1610</v>
      </c>
    </row>
    <row r="16" spans="1:2" ht="12.75">
      <c r="A16" s="23">
        <f>A15+1</f>
        <v>2</v>
      </c>
      <c r="B16" s="18" t="s">
        <v>492</v>
      </c>
    </row>
    <row r="17" spans="1:2" ht="26.25">
      <c r="A17" s="23">
        <f>A16+1</f>
        <v>3</v>
      </c>
      <c r="B17" s="18" t="s">
        <v>847</v>
      </c>
    </row>
    <row r="18" spans="1:2" ht="12.75">
      <c r="A18" s="23">
        <f>A17+1</f>
        <v>4</v>
      </c>
      <c r="B18" s="18" t="s">
        <v>936</v>
      </c>
    </row>
    <row r="19" spans="1:2" ht="12.75">
      <c r="A19" s="23">
        <f>A18+1</f>
        <v>5</v>
      </c>
      <c r="B19" s="18" t="s">
        <v>1529</v>
      </c>
    </row>
    <row r="20" spans="1:2" ht="12.75">
      <c r="A20" s="23">
        <f>A19+1</f>
        <v>6</v>
      </c>
      <c r="B20" s="15" t="s">
        <v>1228</v>
      </c>
    </row>
    <row r="21" ht="12.75">
      <c r="A21" s="23"/>
    </row>
    <row r="22" spans="1:2" ht="12.75">
      <c r="A22" s="24" t="s">
        <v>1020</v>
      </c>
      <c r="B22" s="17"/>
    </row>
    <row r="23" spans="1:2" ht="26.25">
      <c r="A23" s="23">
        <v>1</v>
      </c>
      <c r="B23" s="15" t="s">
        <v>1495</v>
      </c>
    </row>
    <row r="24" spans="1:2" ht="52.5">
      <c r="A24" s="23">
        <f>A23+1</f>
        <v>2</v>
      </c>
      <c r="B24" s="15" t="s">
        <v>1381</v>
      </c>
    </row>
    <row r="25" spans="1:2" ht="12.75">
      <c r="A25" s="23">
        <f>A24+1</f>
        <v>3</v>
      </c>
      <c r="B25" s="15" t="s">
        <v>968</v>
      </c>
    </row>
    <row r="26" spans="1:2" ht="26.25">
      <c r="A26" s="23">
        <f>A25+1</f>
        <v>4</v>
      </c>
      <c r="B26" s="15" t="s">
        <v>1648</v>
      </c>
    </row>
    <row r="27" ht="12.75">
      <c r="A27" s="23"/>
    </row>
    <row r="28" spans="1:2" ht="12.75">
      <c r="A28" s="24" t="s">
        <v>1773</v>
      </c>
      <c r="B28" s="20"/>
    </row>
    <row r="29" spans="1:2" ht="12.75">
      <c r="A29" s="23">
        <v>1</v>
      </c>
      <c r="B29" s="15" t="s">
        <v>1314</v>
      </c>
    </row>
    <row r="30" spans="1:4" ht="15">
      <c r="A30" s="23">
        <f>A29+1</f>
        <v>2</v>
      </c>
      <c r="B30" s="15" t="s">
        <v>707</v>
      </c>
      <c r="D30" s="2"/>
    </row>
    <row r="31" ht="12.75">
      <c r="D31" s="25"/>
    </row>
    <row r="32" spans="1:2" ht="12.75">
      <c r="A32" s="16" t="s">
        <v>23</v>
      </c>
      <c r="B32" s="17"/>
    </row>
    <row r="33" spans="1:2" ht="52.5" customHeight="1">
      <c r="A33" s="23">
        <v>1</v>
      </c>
      <c r="B33" s="15" t="s">
        <v>975</v>
      </c>
    </row>
    <row r="34" spans="1:2" ht="26.25">
      <c r="A34" s="23">
        <f>A33+1</f>
        <v>2</v>
      </c>
      <c r="B34" s="15" t="s">
        <v>285</v>
      </c>
    </row>
    <row r="35" spans="1:2" ht="26.25">
      <c r="A35" s="23">
        <f>A34+1</f>
        <v>3</v>
      </c>
      <c r="B35" s="15" t="s">
        <v>1361</v>
      </c>
    </row>
    <row r="36" spans="1:2" ht="12.75">
      <c r="A36" s="23">
        <f>A35+1</f>
        <v>4</v>
      </c>
      <c r="B36" s="15" t="s">
        <v>1852</v>
      </c>
    </row>
    <row r="37" ht="12.75">
      <c r="A37" s="23"/>
    </row>
    <row r="38" spans="1:2" ht="12.75">
      <c r="A38" s="24" t="s">
        <v>902</v>
      </c>
      <c r="B38" s="17"/>
    </row>
    <row r="39" spans="1:2" ht="12.75">
      <c r="A39" s="23">
        <v>1</v>
      </c>
      <c r="B39" s="31" t="s">
        <v>1496</v>
      </c>
    </row>
    <row r="40" spans="1:2" ht="12.75">
      <c r="A40" s="23">
        <f>A39+1</f>
        <v>2</v>
      </c>
      <c r="B40" s="15" t="s">
        <v>825</v>
      </c>
    </row>
    <row r="41" ht="12.75">
      <c r="A41" s="23"/>
    </row>
    <row r="42" spans="1:2" ht="12.75">
      <c r="A42" s="24" t="s">
        <v>466</v>
      </c>
      <c r="B42" s="17"/>
    </row>
    <row r="43" spans="1:2" ht="12.75">
      <c r="A43" s="23">
        <v>1</v>
      </c>
      <c r="B43" s="15" t="s">
        <v>465</v>
      </c>
    </row>
    <row r="44" spans="1:2" ht="12.75">
      <c r="A44" s="23">
        <f>A43+1</f>
        <v>2</v>
      </c>
      <c r="B44" s="15" t="s">
        <v>276</v>
      </c>
    </row>
    <row r="46" spans="1:2" ht="12.75">
      <c r="A46" s="16" t="s">
        <v>120</v>
      </c>
      <c r="B46" s="17"/>
    </row>
    <row r="47" ht="12.75">
      <c r="B47" s="15" t="s">
        <v>642</v>
      </c>
    </row>
    <row r="48" ht="12.75">
      <c r="B48" s="15" t="s">
        <v>641</v>
      </c>
    </row>
    <row r="49" ht="12.75">
      <c r="B49" s="15" t="s">
        <v>1613</v>
      </c>
    </row>
    <row r="51" spans="1:2" ht="12.75">
      <c r="A51" s="16" t="s">
        <v>1523</v>
      </c>
      <c r="B51" s="17"/>
    </row>
    <row r="52" ht="39">
      <c r="B52" s="15" t="s">
        <v>365</v>
      </c>
    </row>
    <row r="54" spans="1:2" ht="12.75">
      <c r="A54" s="16" t="s">
        <v>1756</v>
      </c>
      <c r="B54" s="17"/>
    </row>
    <row r="55" ht="12.75">
      <c r="B55" s="15" t="s">
        <v>81</v>
      </c>
    </row>
    <row r="56" ht="12.75">
      <c r="B56" s="15" t="s">
        <v>300</v>
      </c>
    </row>
    <row r="57" ht="39">
      <c r="B57" s="15" t="s">
        <v>1046</v>
      </c>
    </row>
    <row r="59" spans="1:2" s="41" customFormat="1" ht="12.75">
      <c r="A59" s="39" t="s">
        <v>102</v>
      </c>
      <c r="B59" s="40"/>
    </row>
    <row r="60" s="41" customFormat="1" ht="12.75">
      <c r="B60" s="42" t="s">
        <v>103</v>
      </c>
    </row>
    <row r="61" s="41" customFormat="1" ht="26.25">
      <c r="B61" s="42" t="s">
        <v>930</v>
      </c>
    </row>
    <row r="62" s="41" customFormat="1" ht="12.75">
      <c r="B62" s="42" t="s">
        <v>372</v>
      </c>
    </row>
    <row r="64" spans="1:2" ht="12.75">
      <c r="A64" s="39" t="s">
        <v>1881</v>
      </c>
      <c r="B64" s="40"/>
    </row>
    <row r="65" spans="1:2" ht="12.75">
      <c r="A65" s="41"/>
      <c r="B65" s="42" t="s">
        <v>72</v>
      </c>
    </row>
    <row r="67" spans="1:2" ht="12.75">
      <c r="A67" s="16" t="s">
        <v>1896</v>
      </c>
      <c r="B67" s="17"/>
    </row>
    <row r="68" ht="12.75">
      <c r="B68" s="15" t="s">
        <v>19</v>
      </c>
    </row>
    <row r="69" ht="12.75">
      <c r="B69" s="15" t="s">
        <v>20</v>
      </c>
    </row>
    <row r="70" ht="12.75">
      <c r="B70" s="15" t="s">
        <v>1849</v>
      </c>
    </row>
    <row r="71" ht="12.75">
      <c r="B71" s="15" t="s">
        <v>88</v>
      </c>
    </row>
    <row r="72" ht="12.75">
      <c r="B72" s="15" t="s">
        <v>1640</v>
      </c>
    </row>
    <row r="74" spans="1:2" s="50" customFormat="1" ht="12.75">
      <c r="A74" s="48" t="s">
        <v>750</v>
      </c>
      <c r="B74" s="49"/>
    </row>
    <row r="75" ht="12.75">
      <c r="B75" s="15" t="s">
        <v>1566</v>
      </c>
    </row>
    <row r="76" ht="12.75">
      <c r="B76" s="15" t="s">
        <v>230</v>
      </c>
    </row>
    <row r="77" ht="12.75">
      <c r="B77" s="15" t="s">
        <v>1777</v>
      </c>
    </row>
    <row r="78" ht="12.75">
      <c r="B78" s="15" t="s">
        <v>1253</v>
      </c>
    </row>
    <row r="79" ht="12.75">
      <c r="B79" s="15" t="s">
        <v>749</v>
      </c>
    </row>
    <row r="80" ht="12.75">
      <c r="B80" s="15" t="s">
        <v>231</v>
      </c>
    </row>
    <row r="81" ht="12.75">
      <c r="B81" s="15" t="s">
        <v>924</v>
      </c>
    </row>
    <row r="83" spans="1:2" ht="12.75">
      <c r="A83" s="47" t="s">
        <v>497</v>
      </c>
      <c r="B83" s="17"/>
    </row>
    <row r="84" ht="12.75">
      <c r="B84" s="15" t="s">
        <v>914</v>
      </c>
    </row>
    <row r="85" ht="12.75">
      <c r="B85" s="15" t="s">
        <v>353</v>
      </c>
    </row>
    <row r="87" spans="1:2" ht="12.75">
      <c r="A87" s="48" t="s">
        <v>1082</v>
      </c>
      <c r="B87" s="17"/>
    </row>
    <row r="88" ht="12.75">
      <c r="B88" s="15" t="s">
        <v>489</v>
      </c>
    </row>
    <row r="89" ht="12.75">
      <c r="B89" s="15" t="s">
        <v>1103</v>
      </c>
    </row>
    <row r="91" spans="1:2" ht="12.75">
      <c r="A91" s="48" t="s">
        <v>351</v>
      </c>
      <c r="B91" s="17"/>
    </row>
    <row r="92" ht="12.75">
      <c r="B92" s="15" t="s">
        <v>58</v>
      </c>
    </row>
    <row r="93" ht="12.75">
      <c r="B93" s="15" t="s">
        <v>1414</v>
      </c>
    </row>
    <row r="94" ht="12.75">
      <c r="B94" s="15" t="s">
        <v>389</v>
      </c>
    </row>
    <row r="96" spans="1:2" ht="12.75">
      <c r="A96" s="48" t="s">
        <v>1069</v>
      </c>
      <c r="B96" s="17"/>
    </row>
    <row r="97" ht="12.75">
      <c r="B97" s="15" t="s">
        <v>1070</v>
      </c>
    </row>
    <row r="98" ht="12.75">
      <c r="B98" s="15" t="s">
        <v>604</v>
      </c>
    </row>
    <row r="99" ht="12.75">
      <c r="B99" s="15" t="s">
        <v>138</v>
      </c>
    </row>
    <row r="101" spans="1:2" ht="12.75">
      <c r="A101" s="48" t="s">
        <v>314</v>
      </c>
      <c r="B101" s="17"/>
    </row>
    <row r="102" ht="14.25" customHeight="1">
      <c r="B102" s="15" t="s">
        <v>313</v>
      </c>
    </row>
    <row r="103" ht="12.75">
      <c r="B103" s="15" t="s">
        <v>1078</v>
      </c>
    </row>
    <row r="104" ht="12.75">
      <c r="B104" s="15" t="s">
        <v>878</v>
      </c>
    </row>
    <row r="106" spans="1:2" ht="12.75">
      <c r="A106" s="48" t="s">
        <v>1158</v>
      </c>
      <c r="B106" s="17"/>
    </row>
    <row r="107" ht="12.75">
      <c r="B107" s="15" t="s">
        <v>723</v>
      </c>
    </row>
    <row r="108" ht="12.75">
      <c r="B108" s="15" t="s">
        <v>1356</v>
      </c>
    </row>
    <row r="109" ht="12.75">
      <c r="B109" s="15" t="s">
        <v>1551</v>
      </c>
    </row>
    <row r="111" spans="1:2" ht="12.75">
      <c r="A111" s="48" t="s">
        <v>1696</v>
      </c>
      <c r="B111" s="17"/>
    </row>
    <row r="112" ht="12.75">
      <c r="B112" s="69" t="s">
        <v>1532</v>
      </c>
    </row>
    <row r="113" ht="12.75">
      <c r="B113" s="15" t="s">
        <v>568</v>
      </c>
    </row>
    <row r="114" ht="12.75">
      <c r="B114" s="15" t="s">
        <v>1146</v>
      </c>
    </row>
    <row r="115" ht="12.75">
      <c r="B115" s="15" t="s">
        <v>710</v>
      </c>
    </row>
    <row r="116" ht="12.75">
      <c r="B116" s="15" t="s">
        <v>557</v>
      </c>
    </row>
    <row r="117" ht="12.75">
      <c r="B117" s="69" t="s">
        <v>93</v>
      </c>
    </row>
    <row r="118" ht="12.75">
      <c r="B118" s="15" t="s">
        <v>92</v>
      </c>
    </row>
    <row r="119" ht="12.75">
      <c r="B119" s="69" t="s">
        <v>1768</v>
      </c>
    </row>
    <row r="120" ht="12.75">
      <c r="B120" s="15" t="s">
        <v>1890</v>
      </c>
    </row>
    <row r="121" ht="12.75">
      <c r="B121" s="15" t="s">
        <v>1067</v>
      </c>
    </row>
    <row r="122" ht="12.75">
      <c r="B122" s="69" t="s">
        <v>1099</v>
      </c>
    </row>
    <row r="123" ht="17.25" customHeight="1">
      <c r="B123" s="69" t="s">
        <v>479</v>
      </c>
    </row>
    <row r="124" ht="12.75">
      <c r="B124" s="69" t="s">
        <v>1841</v>
      </c>
    </row>
    <row r="125" ht="12.75">
      <c r="B125" s="69" t="s">
        <v>85</v>
      </c>
    </row>
    <row r="126" ht="12.75">
      <c r="B126" s="15" t="s">
        <v>362</v>
      </c>
    </row>
    <row r="127" ht="12.75">
      <c r="B127" s="15" t="s">
        <v>307</v>
      </c>
    </row>
    <row r="128" ht="12.75">
      <c r="B128" s="69" t="s">
        <v>1462</v>
      </c>
    </row>
    <row r="129" ht="12.75">
      <c r="B129" s="15" t="s">
        <v>307</v>
      </c>
    </row>
    <row r="130" ht="12.75">
      <c r="B130" s="69" t="s">
        <v>265</v>
      </c>
    </row>
    <row r="131" ht="12.75">
      <c r="B131" s="69" t="s">
        <v>1304</v>
      </c>
    </row>
    <row r="132" ht="12.75">
      <c r="B132" s="15" t="s">
        <v>669</v>
      </c>
    </row>
    <row r="133" ht="12.75">
      <c r="B133" s="15" t="s">
        <v>660</v>
      </c>
    </row>
    <row r="134" ht="12.75">
      <c r="B134" s="15" t="s">
        <v>348</v>
      </c>
    </row>
    <row r="135" ht="12.75">
      <c r="B135" s="15" t="s">
        <v>1668</v>
      </c>
    </row>
    <row r="136" ht="12.75">
      <c r="B136" s="69" t="s">
        <v>349</v>
      </c>
    </row>
    <row r="137" ht="12.75">
      <c r="B137" s="15" t="s">
        <v>669</v>
      </c>
    </row>
    <row r="138" ht="12.75">
      <c r="B138" s="15" t="s">
        <v>660</v>
      </c>
    </row>
    <row r="139" ht="12.75">
      <c r="B139" s="15" t="s">
        <v>348</v>
      </c>
    </row>
    <row r="141" spans="1:2" ht="12.75">
      <c r="A141" s="48" t="s">
        <v>476</v>
      </c>
      <c r="B141" s="17"/>
    </row>
    <row r="142" ht="12.75">
      <c r="B142" s="15" t="s">
        <v>1306</v>
      </c>
    </row>
    <row r="143" ht="12.75">
      <c r="B143" s="15" t="s">
        <v>1307</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dimension ref="A1:X168"/>
  <sheetViews>
    <sheetView defaultGridColor="0" zoomScale="75" zoomScaleNormal="75" zoomScalePageLayoutView="0" colorId="22" workbookViewId="0" topLeftCell="A1">
      <selection activeCell="A1" sqref="A1:Q16384"/>
    </sheetView>
  </sheetViews>
  <sheetFormatPr defaultColWidth="9.7109375" defaultRowHeight="12.75"/>
  <cols>
    <col min="1" max="1" width="5.7109375" style="9" customWidth="1"/>
    <col min="2" max="2" width="24.7109375" style="9" customWidth="1"/>
    <col min="3" max="3" width="13.57421875" style="9" customWidth="1"/>
    <col min="4" max="4" width="26.8515625" style="9" customWidth="1"/>
    <col min="5" max="5" width="17.140625" style="9" customWidth="1"/>
    <col min="6" max="6" width="17.57421875" style="9" customWidth="1"/>
    <col min="7" max="7" width="10.7109375" style="9" customWidth="1"/>
    <col min="8" max="8" width="14.00390625" style="9" customWidth="1"/>
    <col min="9" max="9" width="19.421875" style="9" customWidth="1"/>
    <col min="10" max="10" width="17.140625" style="9" bestFit="1" customWidth="1"/>
    <col min="11" max="11" width="16.7109375" style="9" bestFit="1" customWidth="1"/>
    <col min="12" max="13" width="14.8515625" style="9" bestFit="1" customWidth="1"/>
    <col min="14" max="14" width="20.28125" style="9" customWidth="1"/>
    <col min="15" max="17" width="10.7109375" style="9" customWidth="1"/>
    <col min="18" max="18" width="10.7109375" style="1" customWidth="1"/>
    <col min="19" max="19" width="9.7109375" style="1" customWidth="1"/>
    <col min="20" max="20" width="12.7109375" style="1" customWidth="1"/>
    <col min="21" max="16384" width="9.7109375" style="1" customWidth="1"/>
  </cols>
  <sheetData>
    <row r="1" spans="2:24" ht="15">
      <c r="B1" s="52"/>
      <c r="X1" s="3"/>
    </row>
    <row r="2" spans="1:24" ht="15">
      <c r="A2" s="11"/>
      <c r="B2" s="52"/>
      <c r="C2" s="52"/>
      <c r="D2" s="38" t="s">
        <v>538</v>
      </c>
      <c r="E2" s="52"/>
      <c r="F2" s="348" t="s">
        <v>117</v>
      </c>
      <c r="J2" s="349">
        <f ca="1">TODAY()</f>
        <v>42975</v>
      </c>
      <c r="X2" s="3"/>
    </row>
    <row r="3" spans="1:10" ht="15">
      <c r="A3" s="11"/>
      <c r="B3" s="52"/>
      <c r="C3" s="52"/>
      <c r="D3" s="38" t="s">
        <v>1736</v>
      </c>
      <c r="E3" s="52"/>
      <c r="F3" s="52"/>
      <c r="J3" s="35" t="str">
        <f>INSTRUCTIONS!Q13</f>
        <v>JMJ</v>
      </c>
    </row>
    <row r="4" spans="1:15" ht="15">
      <c r="A4" s="11"/>
      <c r="B4" s="52"/>
      <c r="C4" s="52"/>
      <c r="D4" s="38" t="s">
        <v>1737</v>
      </c>
      <c r="E4" s="11"/>
      <c r="F4" s="350" t="str">
        <f>INSTRUCTIONS!L7</f>
        <v>May, 2015</v>
      </c>
      <c r="H4" s="351"/>
      <c r="L4" s="351"/>
      <c r="M4" s="351"/>
      <c r="N4" s="351"/>
      <c r="O4" s="351"/>
    </row>
    <row r="5" spans="2:15" ht="15">
      <c r="B5" s="52"/>
      <c r="D5" s="38"/>
      <c r="H5" s="351"/>
      <c r="L5" s="351"/>
      <c r="M5" s="351"/>
      <c r="N5" s="351"/>
      <c r="O5" s="351"/>
    </row>
    <row r="6" spans="2:15" ht="15">
      <c r="B6" s="52"/>
      <c r="D6" s="43"/>
      <c r="H6" s="351"/>
      <c r="L6" s="351"/>
      <c r="M6" s="351"/>
      <c r="N6" s="351"/>
      <c r="O6" s="351"/>
    </row>
    <row r="7" spans="2:15" ht="15">
      <c r="B7" s="52" t="s">
        <v>1738</v>
      </c>
      <c r="F7" s="35" t="s">
        <v>1706</v>
      </c>
      <c r="H7" s="351"/>
      <c r="I7" s="9" t="s">
        <v>1379</v>
      </c>
      <c r="L7" s="351"/>
      <c r="M7" s="351"/>
      <c r="N7" s="351"/>
      <c r="O7" s="351"/>
    </row>
    <row r="8" spans="2:15" ht="15">
      <c r="B8" s="52"/>
      <c r="C8" s="52" t="s">
        <v>909</v>
      </c>
      <c r="E8" s="189"/>
      <c r="F8" s="352">
        <v>939578</v>
      </c>
      <c r="G8" s="14"/>
      <c r="H8" s="351"/>
      <c r="J8" s="52" t="s">
        <v>909</v>
      </c>
      <c r="L8" s="189"/>
      <c r="M8" s="352">
        <v>440.83</v>
      </c>
      <c r="N8" s="351"/>
      <c r="O8" s="351"/>
    </row>
    <row r="9" spans="2:15" ht="15">
      <c r="B9" s="52"/>
      <c r="C9" s="353" t="s">
        <v>1646</v>
      </c>
      <c r="E9" s="189"/>
      <c r="F9" s="352"/>
      <c r="G9" s="14"/>
      <c r="H9" s="351"/>
      <c r="J9" s="353" t="s">
        <v>1646</v>
      </c>
      <c r="L9" s="189"/>
      <c r="M9" s="352"/>
      <c r="N9" s="351"/>
      <c r="O9" s="351"/>
    </row>
    <row r="10" spans="2:15" ht="15">
      <c r="B10" s="52"/>
      <c r="C10" s="98" t="s">
        <v>1197</v>
      </c>
      <c r="E10" s="189"/>
      <c r="F10" s="352"/>
      <c r="G10" s="14"/>
      <c r="H10" s="351"/>
      <c r="J10" s="98" t="s">
        <v>1197</v>
      </c>
      <c r="L10" s="189"/>
      <c r="M10" s="352"/>
      <c r="N10" s="351"/>
      <c r="O10" s="351"/>
    </row>
    <row r="11" spans="2:15" ht="15">
      <c r="B11" s="52"/>
      <c r="C11" s="98" t="s">
        <v>1198</v>
      </c>
      <c r="E11" s="189"/>
      <c r="F11" s="352">
        <v>657206</v>
      </c>
      <c r="G11" s="14"/>
      <c r="H11" s="351"/>
      <c r="J11" s="98" t="s">
        <v>1198</v>
      </c>
      <c r="L11" s="189"/>
      <c r="M11" s="352">
        <v>774.76</v>
      </c>
      <c r="N11" s="351"/>
      <c r="O11" s="351"/>
    </row>
    <row r="12" spans="2:15" ht="15">
      <c r="B12" s="52"/>
      <c r="C12" s="353" t="s">
        <v>675</v>
      </c>
      <c r="E12" s="352"/>
      <c r="F12" s="189"/>
      <c r="G12" s="14"/>
      <c r="H12" s="351"/>
      <c r="I12" s="52"/>
      <c r="J12" s="353" t="s">
        <v>675</v>
      </c>
      <c r="L12" s="352"/>
      <c r="M12" s="189"/>
      <c r="N12" s="354"/>
      <c r="O12" s="351"/>
    </row>
    <row r="13" spans="2:15" ht="15">
      <c r="B13" s="52"/>
      <c r="C13" s="52" t="s">
        <v>910</v>
      </c>
      <c r="E13" s="352">
        <v>-433587</v>
      </c>
      <c r="F13" s="189"/>
      <c r="G13" s="14"/>
      <c r="H13" s="351"/>
      <c r="I13" s="52"/>
      <c r="J13" s="52" t="s">
        <v>910</v>
      </c>
      <c r="L13" s="352">
        <v>-673.55</v>
      </c>
      <c r="M13" s="189"/>
      <c r="N13" s="354"/>
      <c r="O13" s="351"/>
    </row>
    <row r="14" spans="2:20" ht="15">
      <c r="B14" s="52"/>
      <c r="C14" s="52" t="s">
        <v>747</v>
      </c>
      <c r="E14" s="352">
        <v>-289059</v>
      </c>
      <c r="F14" s="189"/>
      <c r="G14" s="14"/>
      <c r="H14" s="351"/>
      <c r="I14" s="52"/>
      <c r="J14" s="52" t="s">
        <v>747</v>
      </c>
      <c r="L14" s="352">
        <v>-397.22</v>
      </c>
      <c r="M14" s="189"/>
      <c r="N14" s="354"/>
      <c r="O14" s="354"/>
      <c r="P14" s="52"/>
      <c r="Q14" s="52"/>
      <c r="R14" s="5"/>
      <c r="S14" s="5"/>
      <c r="T14" s="5"/>
    </row>
    <row r="15" spans="2:20" ht="15">
      <c r="B15" s="32" t="s">
        <v>868</v>
      </c>
      <c r="C15" s="52" t="s">
        <v>1030</v>
      </c>
      <c r="E15" s="352">
        <v>0</v>
      </c>
      <c r="F15" s="189"/>
      <c r="G15" s="14"/>
      <c r="H15" s="351"/>
      <c r="I15" s="52"/>
      <c r="J15" s="52" t="s">
        <v>1030</v>
      </c>
      <c r="L15" s="352">
        <v>0</v>
      </c>
      <c r="M15" s="189"/>
      <c r="N15" s="355"/>
      <c r="O15" s="354"/>
      <c r="P15" s="52"/>
      <c r="Q15" s="52"/>
      <c r="R15" s="5"/>
      <c r="S15" s="5"/>
      <c r="T15" s="5"/>
    </row>
    <row r="16" spans="2:20" ht="15">
      <c r="B16" s="32"/>
      <c r="C16" s="52"/>
      <c r="E16" s="352"/>
      <c r="F16" s="189"/>
      <c r="G16" s="14"/>
      <c r="H16" s="351"/>
      <c r="I16" s="52"/>
      <c r="J16" s="52"/>
      <c r="L16" s="352"/>
      <c r="M16" s="189"/>
      <c r="N16" s="354"/>
      <c r="O16" s="354"/>
      <c r="P16" s="52"/>
      <c r="Q16" s="52"/>
      <c r="R16" s="5"/>
      <c r="S16" s="5"/>
      <c r="T16" s="5"/>
    </row>
    <row r="17" spans="2:20" ht="15">
      <c r="B17" s="52"/>
      <c r="C17" s="356"/>
      <c r="D17" s="108" t="s">
        <v>697</v>
      </c>
      <c r="E17" s="357"/>
      <c r="F17" s="357">
        <f>SUM(E13:E16)</f>
        <v>-722646</v>
      </c>
      <c r="G17" s="14"/>
      <c r="H17" s="351"/>
      <c r="I17" s="52"/>
      <c r="J17" s="356"/>
      <c r="K17" s="108" t="s">
        <v>697</v>
      </c>
      <c r="L17" s="357"/>
      <c r="M17" s="357">
        <f>SUM(L13:L16)</f>
        <v>-1070.77</v>
      </c>
      <c r="N17" s="358"/>
      <c r="O17" s="354"/>
      <c r="P17" s="52"/>
      <c r="Q17" s="52"/>
      <c r="R17" s="5"/>
      <c r="S17" s="5"/>
      <c r="T17" s="5"/>
    </row>
    <row r="18" spans="2:20" ht="15">
      <c r="B18" s="52"/>
      <c r="C18" s="52" t="s">
        <v>1008</v>
      </c>
      <c r="E18" s="189"/>
      <c r="F18" s="189">
        <f>F8+F9+F10+F11+F17</f>
        <v>874138</v>
      </c>
      <c r="G18" s="14"/>
      <c r="H18" s="351"/>
      <c r="I18" s="52"/>
      <c r="J18" s="52" t="s">
        <v>1008</v>
      </c>
      <c r="L18" s="189"/>
      <c r="M18" s="189">
        <f>M8+M9+M10+M11+M17</f>
        <v>144.81999999999994</v>
      </c>
      <c r="N18" s="359"/>
      <c r="O18" s="360"/>
      <c r="P18" s="11"/>
      <c r="Q18" s="52"/>
      <c r="R18" s="5"/>
      <c r="S18" s="5"/>
      <c r="T18" s="5"/>
    </row>
    <row r="19" spans="2:20" ht="15">
      <c r="B19" s="52"/>
      <c r="C19" s="52"/>
      <c r="E19" s="189"/>
      <c r="F19" s="189"/>
      <c r="G19" s="14"/>
      <c r="H19" s="351"/>
      <c r="I19" s="52"/>
      <c r="J19" s="7"/>
      <c r="K19" s="7"/>
      <c r="L19" s="361"/>
      <c r="M19" s="358"/>
      <c r="N19" s="358"/>
      <c r="O19" s="362"/>
      <c r="P19" s="11"/>
      <c r="Q19" s="52"/>
      <c r="R19" s="5"/>
      <c r="S19" s="5"/>
      <c r="T19" s="5"/>
    </row>
    <row r="20" spans="2:20" ht="15">
      <c r="B20" s="52"/>
      <c r="C20" s="52"/>
      <c r="E20" s="189"/>
      <c r="F20" s="189"/>
      <c r="G20" s="14"/>
      <c r="H20" s="351"/>
      <c r="I20" s="52"/>
      <c r="J20" s="7"/>
      <c r="K20" s="7"/>
      <c r="L20" s="361"/>
      <c r="M20" s="358"/>
      <c r="N20" s="358"/>
      <c r="O20" s="362"/>
      <c r="P20" s="11"/>
      <c r="Q20" s="52"/>
      <c r="R20" s="5"/>
      <c r="S20" s="5"/>
      <c r="T20" s="5"/>
    </row>
    <row r="21" spans="2:20" ht="15">
      <c r="B21" s="52"/>
      <c r="C21" s="52"/>
      <c r="E21" s="189"/>
      <c r="F21" s="189"/>
      <c r="G21" s="14"/>
      <c r="H21" s="351"/>
      <c r="I21" s="52"/>
      <c r="J21" s="7"/>
      <c r="K21" s="7"/>
      <c r="L21" s="361"/>
      <c r="M21" s="358"/>
      <c r="N21" s="358"/>
      <c r="O21" s="362"/>
      <c r="P21" s="11"/>
      <c r="Q21" s="11"/>
      <c r="R21" s="3"/>
      <c r="S21" s="3"/>
      <c r="T21" s="3"/>
    </row>
    <row r="22" spans="2:20" ht="15">
      <c r="B22" s="52"/>
      <c r="C22" s="52"/>
      <c r="E22" s="189"/>
      <c r="F22" s="189"/>
      <c r="G22" s="14"/>
      <c r="H22" s="351"/>
      <c r="I22" s="52"/>
      <c r="J22" s="7"/>
      <c r="K22" s="7"/>
      <c r="L22" s="361"/>
      <c r="M22" s="358"/>
      <c r="N22" s="358"/>
      <c r="O22" s="362"/>
      <c r="P22" s="11"/>
      <c r="Q22" s="11"/>
      <c r="R22" s="3"/>
      <c r="S22" s="3"/>
      <c r="T22" s="3"/>
    </row>
    <row r="23" spans="2:20" ht="15">
      <c r="B23" s="52" t="s">
        <v>1009</v>
      </c>
      <c r="E23" s="189"/>
      <c r="F23" s="35" t="s">
        <v>52</v>
      </c>
      <c r="G23" s="14"/>
      <c r="H23" s="351"/>
      <c r="I23" s="9" t="s">
        <v>1928</v>
      </c>
      <c r="L23" s="351"/>
      <c r="M23" s="351"/>
      <c r="N23" s="358"/>
      <c r="O23" s="362"/>
      <c r="P23" s="11"/>
      <c r="Q23" s="11"/>
      <c r="R23" s="3"/>
      <c r="S23" s="3"/>
      <c r="T23" s="3"/>
    </row>
    <row r="24" spans="2:20" ht="15">
      <c r="B24" s="52"/>
      <c r="C24" s="52" t="s">
        <v>909</v>
      </c>
      <c r="E24" s="189"/>
      <c r="F24" s="352">
        <v>1173784</v>
      </c>
      <c r="G24" s="14"/>
      <c r="H24" s="351"/>
      <c r="J24" s="52" t="s">
        <v>909</v>
      </c>
      <c r="L24" s="189"/>
      <c r="M24" s="352">
        <v>2523.76</v>
      </c>
      <c r="N24" s="363"/>
      <c r="O24" s="362"/>
      <c r="P24" s="11"/>
      <c r="Q24" s="11"/>
      <c r="R24" s="3"/>
      <c r="S24" s="3"/>
      <c r="T24" s="3"/>
    </row>
    <row r="25" spans="2:20" ht="15">
      <c r="B25" s="52"/>
      <c r="C25" s="98" t="s">
        <v>1004</v>
      </c>
      <c r="E25" s="189"/>
      <c r="F25" s="352">
        <v>224860</v>
      </c>
      <c r="G25" s="14"/>
      <c r="H25" s="351"/>
      <c r="J25" s="353" t="s">
        <v>1646</v>
      </c>
      <c r="L25" s="189"/>
      <c r="M25" s="352"/>
      <c r="N25" s="362"/>
      <c r="O25" s="362"/>
      <c r="P25" s="11"/>
      <c r="Q25" s="11"/>
      <c r="R25" s="3"/>
      <c r="S25" s="3"/>
      <c r="T25" s="3"/>
    </row>
    <row r="26" spans="2:20" ht="15">
      <c r="B26" s="52"/>
      <c r="C26" s="353" t="s">
        <v>675</v>
      </c>
      <c r="E26" s="189"/>
      <c r="F26" s="189"/>
      <c r="G26" s="14"/>
      <c r="H26" s="351"/>
      <c r="J26" s="98" t="s">
        <v>1197</v>
      </c>
      <c r="L26" s="189"/>
      <c r="M26" s="352"/>
      <c r="N26" s="362"/>
      <c r="O26" s="362"/>
      <c r="P26" s="11"/>
      <c r="Q26" s="11"/>
      <c r="R26" s="3"/>
      <c r="S26" s="3"/>
      <c r="T26" s="3"/>
    </row>
    <row r="27" spans="2:20" ht="15">
      <c r="B27" s="52"/>
      <c r="C27" s="52" t="s">
        <v>1022</v>
      </c>
      <c r="E27" s="352">
        <v>0</v>
      </c>
      <c r="F27" s="189"/>
      <c r="G27" s="14"/>
      <c r="H27" s="351"/>
      <c r="J27" s="98" t="s">
        <v>1198</v>
      </c>
      <c r="L27" s="189"/>
      <c r="M27" s="352">
        <v>4096.66</v>
      </c>
      <c r="N27" s="354"/>
      <c r="O27" s="362"/>
      <c r="P27" s="11"/>
      <c r="Q27" s="11"/>
      <c r="R27" s="3"/>
      <c r="S27" s="3"/>
      <c r="T27" s="3"/>
    </row>
    <row r="28" spans="2:20" ht="15">
      <c r="B28" s="52"/>
      <c r="C28" s="52" t="s">
        <v>1244</v>
      </c>
      <c r="E28" s="352">
        <v>-64910</v>
      </c>
      <c r="F28" s="189"/>
      <c r="G28" s="14"/>
      <c r="H28" s="351"/>
      <c r="I28" s="52"/>
      <c r="J28" s="353" t="s">
        <v>675</v>
      </c>
      <c r="L28" s="352"/>
      <c r="M28" s="189"/>
      <c r="N28" s="354"/>
      <c r="O28" s="362"/>
      <c r="P28" s="11"/>
      <c r="Q28" s="11"/>
      <c r="R28" s="3"/>
      <c r="S28" s="3"/>
      <c r="T28" s="3"/>
    </row>
    <row r="29" spans="2:20" ht="15">
      <c r="B29" s="52"/>
      <c r="C29" s="52" t="s">
        <v>1086</v>
      </c>
      <c r="E29" s="352">
        <v>0</v>
      </c>
      <c r="F29" s="189"/>
      <c r="G29" s="14"/>
      <c r="H29" s="351"/>
      <c r="I29" s="52"/>
      <c r="J29" s="52" t="s">
        <v>910</v>
      </c>
      <c r="L29" s="352">
        <v>-1778.74</v>
      </c>
      <c r="M29" s="189"/>
      <c r="N29" s="354"/>
      <c r="O29" s="362"/>
      <c r="P29" s="11"/>
      <c r="Q29" s="11"/>
      <c r="R29" s="3"/>
      <c r="S29" s="3"/>
      <c r="T29" s="3"/>
    </row>
    <row r="30" spans="2:20" ht="15">
      <c r="B30" s="52"/>
      <c r="C30" s="52" t="s">
        <v>7</v>
      </c>
      <c r="E30" s="352">
        <v>-78261</v>
      </c>
      <c r="F30" s="189"/>
      <c r="G30" s="14"/>
      <c r="H30" s="351"/>
      <c r="I30" s="52"/>
      <c r="J30" s="52" t="s">
        <v>747</v>
      </c>
      <c r="L30" s="352">
        <v>-1581.11</v>
      </c>
      <c r="M30" s="189"/>
      <c r="N30" s="351"/>
      <c r="O30" s="362"/>
      <c r="P30" s="11"/>
      <c r="Q30" s="11"/>
      <c r="R30" s="3"/>
      <c r="S30" s="3"/>
      <c r="T30" s="3"/>
    </row>
    <row r="31" spans="2:20" ht="15">
      <c r="B31" s="52"/>
      <c r="C31" s="52" t="s">
        <v>1818</v>
      </c>
      <c r="E31" s="352">
        <v>-53337</v>
      </c>
      <c r="F31" s="189"/>
      <c r="G31" s="14"/>
      <c r="H31" s="351"/>
      <c r="I31" s="52"/>
      <c r="J31" s="52" t="s">
        <v>1030</v>
      </c>
      <c r="L31" s="352">
        <v>0</v>
      </c>
      <c r="M31" s="189"/>
      <c r="N31" s="351"/>
      <c r="O31" s="362"/>
      <c r="P31" s="11"/>
      <c r="Q31" s="11"/>
      <c r="R31" s="3"/>
      <c r="S31" s="3"/>
      <c r="T31" s="3"/>
    </row>
    <row r="32" spans="2:20" ht="15">
      <c r="B32" s="52"/>
      <c r="C32" s="52" t="s">
        <v>1047</v>
      </c>
      <c r="E32" s="352">
        <v>0</v>
      </c>
      <c r="F32" s="189"/>
      <c r="G32" s="14"/>
      <c r="H32" s="351"/>
      <c r="I32" s="52"/>
      <c r="J32" s="52"/>
      <c r="L32" s="352"/>
      <c r="M32" s="189"/>
      <c r="N32" s="351"/>
      <c r="O32" s="362"/>
      <c r="P32" s="11"/>
      <c r="Q32" s="11"/>
      <c r="R32" s="3"/>
      <c r="S32" s="3"/>
      <c r="T32" s="3"/>
    </row>
    <row r="33" spans="2:20" ht="15">
      <c r="B33" s="52"/>
      <c r="C33" s="356"/>
      <c r="D33" s="108" t="s">
        <v>697</v>
      </c>
      <c r="E33" s="357"/>
      <c r="F33" s="357">
        <f>SUM(E27:E32)</f>
        <v>-196508</v>
      </c>
      <c r="G33" s="14"/>
      <c r="H33" s="351"/>
      <c r="I33" s="52"/>
      <c r="J33" s="356"/>
      <c r="K33" s="108" t="s">
        <v>697</v>
      </c>
      <c r="L33" s="357"/>
      <c r="M33" s="357">
        <f>SUM(L29:L32)</f>
        <v>-3359.85</v>
      </c>
      <c r="N33" s="351"/>
      <c r="O33" s="362"/>
      <c r="P33" s="11"/>
      <c r="Q33" s="11"/>
      <c r="R33" s="3"/>
      <c r="S33" s="3"/>
      <c r="T33" s="3"/>
    </row>
    <row r="34" spans="2:20" ht="15">
      <c r="B34" s="52"/>
      <c r="C34" s="52" t="s">
        <v>1008</v>
      </c>
      <c r="E34" s="189"/>
      <c r="F34" s="189">
        <f>F24+F25+F33</f>
        <v>1202136</v>
      </c>
      <c r="G34" s="14"/>
      <c r="H34" s="351"/>
      <c r="I34" s="52"/>
      <c r="J34" s="52" t="s">
        <v>1008</v>
      </c>
      <c r="L34" s="189"/>
      <c r="M34" s="189">
        <f>M24+M25+M26+M27+M33</f>
        <v>3260.57</v>
      </c>
      <c r="N34" s="351"/>
      <c r="O34" s="362"/>
      <c r="P34" s="11"/>
      <c r="Q34" s="11"/>
      <c r="R34" s="3"/>
      <c r="S34" s="3"/>
      <c r="T34" s="3"/>
    </row>
    <row r="35" spans="2:15" ht="15">
      <c r="B35" s="52"/>
      <c r="E35" s="189"/>
      <c r="F35" s="189"/>
      <c r="G35" s="14"/>
      <c r="H35" s="351"/>
      <c r="L35" s="351"/>
      <c r="M35" s="351"/>
      <c r="N35" s="351"/>
      <c r="O35" s="351"/>
    </row>
    <row r="36" spans="2:15" ht="15">
      <c r="B36" s="52"/>
      <c r="H36" s="351"/>
      <c r="L36" s="351"/>
      <c r="M36" s="351"/>
      <c r="N36" s="351"/>
      <c r="O36" s="351"/>
    </row>
    <row r="37" spans="2:15" ht="15">
      <c r="B37" s="52"/>
      <c r="H37" s="351"/>
      <c r="L37" s="351"/>
      <c r="M37" s="351"/>
      <c r="N37" s="351"/>
      <c r="O37" s="351"/>
    </row>
    <row r="38" ht="15">
      <c r="B38" s="52" t="s">
        <v>1267</v>
      </c>
    </row>
    <row r="39" spans="1:2" ht="15">
      <c r="A39" s="9" t="s">
        <v>1317</v>
      </c>
      <c r="B39" s="52" t="s">
        <v>1318</v>
      </c>
    </row>
    <row r="40" ht="15">
      <c r="B40" s="52" t="s">
        <v>1377</v>
      </c>
    </row>
    <row r="41" spans="2:5" ht="15">
      <c r="B41" s="98"/>
      <c r="E41" s="364"/>
    </row>
    <row r="42" ht="15">
      <c r="B42" s="52"/>
    </row>
    <row r="43" spans="2:4" ht="15">
      <c r="B43" s="365"/>
      <c r="C43" s="222"/>
      <c r="D43" s="13"/>
    </row>
    <row r="44" spans="2:4" ht="15">
      <c r="B44" s="365"/>
      <c r="C44" s="222"/>
      <c r="D44" s="13"/>
    </row>
    <row r="45" ht="15">
      <c r="B45" s="52"/>
    </row>
    <row r="47" ht="15">
      <c r="B47" s="52"/>
    </row>
    <row r="48" ht="15">
      <c r="B48" s="52" t="s">
        <v>1203</v>
      </c>
    </row>
    <row r="50" ht="15">
      <c r="B50" s="11"/>
    </row>
    <row r="51" spans="2:10" ht="15">
      <c r="B51" s="11"/>
      <c r="C51" s="43"/>
      <c r="E51" s="38" t="s">
        <v>538</v>
      </c>
      <c r="F51" s="43"/>
      <c r="H51" s="348" t="s">
        <v>117</v>
      </c>
      <c r="J51" s="349">
        <f ca="1">TODAY()</f>
        <v>42975</v>
      </c>
    </row>
    <row r="52" spans="5:10" ht="15">
      <c r="E52" s="38" t="s">
        <v>254</v>
      </c>
      <c r="F52" s="43"/>
      <c r="J52" s="35" t="str">
        <f>J3</f>
        <v>JMJ</v>
      </c>
    </row>
    <row r="53" spans="5:10" ht="15">
      <c r="E53" s="38" t="str">
        <f>+"FOR THE MONTH OF "&amp;F4</f>
        <v>FOR THE MONTH OF May, 2015</v>
      </c>
      <c r="F53" s="43"/>
      <c r="J53" s="35" t="s">
        <v>1204</v>
      </c>
    </row>
    <row r="54" spans="3:10" ht="15">
      <c r="C54" s="98"/>
      <c r="D54" s="43"/>
      <c r="F54" s="43"/>
      <c r="J54" s="35"/>
    </row>
    <row r="56" spans="2:10" ht="15">
      <c r="B56" s="34" t="s">
        <v>271</v>
      </c>
      <c r="D56" s="34" t="s">
        <v>1205</v>
      </c>
      <c r="F56" s="34" t="s">
        <v>1063</v>
      </c>
      <c r="H56" s="34" t="s">
        <v>1206</v>
      </c>
      <c r="J56" s="34" t="s">
        <v>1064</v>
      </c>
    </row>
    <row r="58" spans="2:5" ht="15">
      <c r="B58" s="52" t="s">
        <v>709</v>
      </c>
      <c r="D58" s="13">
        <v>372106</v>
      </c>
      <c r="E58" s="13"/>
    </row>
    <row r="59" spans="2:5" ht="15">
      <c r="B59" s="52" t="s">
        <v>1482</v>
      </c>
      <c r="D59" s="13">
        <v>260474</v>
      </c>
      <c r="E59" s="366"/>
    </row>
    <row r="60" spans="2:5" ht="15" thickBot="1">
      <c r="B60" s="52" t="s">
        <v>1483</v>
      </c>
      <c r="D60" s="367">
        <v>111632</v>
      </c>
      <c r="E60" s="368"/>
    </row>
    <row r="61" spans="2:8" ht="15">
      <c r="B61" s="52"/>
      <c r="D61" s="13"/>
      <c r="E61" s="13"/>
      <c r="F61" s="369"/>
      <c r="G61" s="185"/>
      <c r="H61" s="369"/>
    </row>
    <row r="62" spans="2:4" ht="15">
      <c r="B62" s="52"/>
      <c r="D62" s="14"/>
    </row>
    <row r="63" spans="2:11" ht="15">
      <c r="B63" s="52" t="s">
        <v>1064</v>
      </c>
      <c r="D63" s="14">
        <f>SUM(D58:D60)</f>
        <v>744212</v>
      </c>
      <c r="E63" s="225"/>
      <c r="F63" s="185">
        <f>IF((D63&gt;0),(ROUND((D58/D63),6)),0)</f>
        <v>0.5</v>
      </c>
      <c r="G63" s="185" t="s">
        <v>189</v>
      </c>
      <c r="H63" s="185">
        <f>IF((D63&gt;0),(ROUND(((SUM(D59:D60))/D63),6)),0)</f>
        <v>0.5</v>
      </c>
      <c r="I63" s="185" t="s">
        <v>189</v>
      </c>
      <c r="J63" s="185">
        <f>IF((D63=0),0,(D63/D63))</f>
        <v>1</v>
      </c>
      <c r="K63" s="52">
        <f>IF(F63-H63&gt;0.01,"VERIFY DATA","")</f>
      </c>
    </row>
    <row r="64" spans="4:5" ht="15">
      <c r="D64" s="33" t="s">
        <v>1572</v>
      </c>
      <c r="E64" s="225"/>
    </row>
    <row r="67" spans="2:10" ht="15">
      <c r="B67" s="34" t="s">
        <v>1230</v>
      </c>
      <c r="D67" s="34" t="s">
        <v>1205</v>
      </c>
      <c r="F67" s="34" t="s">
        <v>1063</v>
      </c>
      <c r="H67" s="34" t="s">
        <v>1206</v>
      </c>
      <c r="J67" s="34" t="s">
        <v>1064</v>
      </c>
    </row>
    <row r="69" spans="2:4" ht="15">
      <c r="B69" s="52" t="s">
        <v>709</v>
      </c>
      <c r="D69" s="13">
        <v>254242</v>
      </c>
    </row>
    <row r="70" spans="2:6" ht="15">
      <c r="B70" s="52" t="s">
        <v>1594</v>
      </c>
      <c r="D70" s="13"/>
      <c r="F70" s="14">
        <f>D70+D69</f>
        <v>254242</v>
      </c>
    </row>
    <row r="71" spans="2:5" ht="15">
      <c r="B71" s="52" t="s">
        <v>1483</v>
      </c>
      <c r="D71" s="13">
        <v>76273</v>
      </c>
      <c r="E71" s="366"/>
    </row>
    <row r="72" spans="2:8" ht="15" thickBot="1">
      <c r="B72" s="52" t="s">
        <v>1482</v>
      </c>
      <c r="D72" s="367">
        <v>177969</v>
      </c>
      <c r="E72" s="368"/>
      <c r="F72" s="369"/>
      <c r="H72" s="369"/>
    </row>
    <row r="73" ht="15">
      <c r="D73" s="33"/>
    </row>
    <row r="74" spans="2:11" ht="15">
      <c r="B74" s="35" t="s">
        <v>1064</v>
      </c>
      <c r="D74" s="14">
        <f>SUM(D69:D72)</f>
        <v>508484</v>
      </c>
      <c r="E74" s="225"/>
      <c r="F74" s="185">
        <f>ROUND(((D69+D70)/D74),6)</f>
        <v>0.5</v>
      </c>
      <c r="H74" s="185">
        <f>ROUND(((SUM(D71:D72))/D74),6)</f>
        <v>0.5</v>
      </c>
      <c r="J74" s="185">
        <f>D74/D74</f>
        <v>1</v>
      </c>
      <c r="K74" s="370">
        <f>IF(F74-H74&gt;0.01,"VERIFY DATA","")</f>
      </c>
    </row>
    <row r="75" spans="4:5" ht="15">
      <c r="D75" s="33" t="s">
        <v>1572</v>
      </c>
      <c r="E75" s="225"/>
    </row>
    <row r="76" spans="4:6" ht="15">
      <c r="D76" s="11"/>
      <c r="F76" s="11"/>
    </row>
    <row r="77" spans="1:17" s="26" customFormat="1" ht="15">
      <c r="A77" s="181"/>
      <c r="B77" s="99"/>
      <c r="C77" s="181"/>
      <c r="D77" s="371"/>
      <c r="E77" s="181"/>
      <c r="F77" s="371"/>
      <c r="G77" s="181"/>
      <c r="H77" s="181"/>
      <c r="I77" s="9"/>
      <c r="J77" s="9"/>
      <c r="K77" s="9"/>
      <c r="L77" s="181"/>
      <c r="M77" s="181"/>
      <c r="N77" s="181"/>
      <c r="O77" s="181"/>
      <c r="P77" s="181"/>
      <c r="Q77" s="181"/>
    </row>
    <row r="78" spans="1:17" s="6" customFormat="1" ht="15">
      <c r="A78" s="12"/>
      <c r="B78" s="12"/>
      <c r="C78" s="269"/>
      <c r="D78" s="12"/>
      <c r="E78" s="12"/>
      <c r="F78" s="12"/>
      <c r="G78" s="12"/>
      <c r="H78" s="12"/>
      <c r="I78" s="9"/>
      <c r="J78" s="9"/>
      <c r="K78" s="9"/>
      <c r="L78" s="12"/>
      <c r="M78" s="12"/>
      <c r="N78" s="12"/>
      <c r="O78" s="12"/>
      <c r="P78" s="12"/>
      <c r="Q78" s="12"/>
    </row>
    <row r="79" spans="1:17" s="6" customFormat="1" ht="15">
      <c r="A79" s="12"/>
      <c r="B79" s="12"/>
      <c r="C79" s="12"/>
      <c r="D79" s="372"/>
      <c r="E79" s="12"/>
      <c r="F79" s="143"/>
      <c r="G79" s="216"/>
      <c r="H79" s="143"/>
      <c r="I79" s="35"/>
      <c r="J79" s="373"/>
      <c r="K79" s="373"/>
      <c r="L79" s="12"/>
      <c r="M79" s="12"/>
      <c r="N79" s="12"/>
      <c r="O79" s="12"/>
      <c r="P79" s="12"/>
      <c r="Q79" s="12"/>
    </row>
    <row r="80" spans="1:17" s="6" customFormat="1" ht="15">
      <c r="A80" s="12"/>
      <c r="B80" s="12"/>
      <c r="C80" s="12"/>
      <c r="D80" s="372"/>
      <c r="E80" s="12"/>
      <c r="F80" s="143"/>
      <c r="G80" s="216"/>
      <c r="H80" s="143"/>
      <c r="I80" s="35"/>
      <c r="J80" s="373"/>
      <c r="K80" s="373"/>
      <c r="L80" s="12"/>
      <c r="M80" s="12"/>
      <c r="N80" s="12"/>
      <c r="O80" s="12"/>
      <c r="P80" s="12"/>
      <c r="Q80" s="12"/>
    </row>
    <row r="81" spans="1:17" s="6" customFormat="1" ht="15">
      <c r="A81" s="12"/>
      <c r="B81" s="12"/>
      <c r="C81" s="12"/>
      <c r="D81" s="12"/>
      <c r="E81" s="12"/>
      <c r="F81" s="12"/>
      <c r="G81" s="12"/>
      <c r="H81" s="12"/>
      <c r="I81" s="9"/>
      <c r="J81" s="374"/>
      <c r="K81" s="9"/>
      <c r="L81" s="12"/>
      <c r="M81" s="12"/>
      <c r="N81" s="12"/>
      <c r="O81" s="12"/>
      <c r="P81" s="12"/>
      <c r="Q81" s="12"/>
    </row>
    <row r="82" spans="1:17" s="26" customFormat="1" ht="15">
      <c r="A82" s="181"/>
      <c r="B82" s="181"/>
      <c r="C82" s="181"/>
      <c r="D82" s="181"/>
      <c r="E82" s="181"/>
      <c r="F82" s="181"/>
      <c r="G82" s="181"/>
      <c r="H82" s="181"/>
      <c r="I82" s="9"/>
      <c r="J82" s="373"/>
      <c r="K82" s="9"/>
      <c r="L82" s="181"/>
      <c r="M82" s="181"/>
      <c r="N82" s="181"/>
      <c r="O82" s="181"/>
      <c r="P82" s="181"/>
      <c r="Q82" s="181"/>
    </row>
    <row r="84" spans="1:4" ht="15">
      <c r="A84" s="52"/>
      <c r="D84" s="52"/>
    </row>
    <row r="85" spans="1:4" ht="15">
      <c r="A85" s="52"/>
      <c r="D85" s="52"/>
    </row>
    <row r="86" spans="1:4" ht="15">
      <c r="A86" s="9" t="s">
        <v>37</v>
      </c>
      <c r="D86" s="52"/>
    </row>
    <row r="87" spans="1:4" ht="15">
      <c r="A87" s="9" t="s">
        <v>1774</v>
      </c>
      <c r="B87" s="52"/>
      <c r="D87" s="52"/>
    </row>
    <row r="88" ht="15">
      <c r="A88" s="52" t="s">
        <v>748</v>
      </c>
    </row>
    <row r="89" ht="15">
      <c r="A89" s="52" t="s">
        <v>1582</v>
      </c>
    </row>
    <row r="90" ht="15">
      <c r="A90" s="9" t="s">
        <v>1515</v>
      </c>
    </row>
    <row r="92" ht="15">
      <c r="F92" s="9" t="s">
        <v>1557</v>
      </c>
    </row>
    <row r="96" spans="4:12" ht="15">
      <c r="D96" s="38" t="s">
        <v>538</v>
      </c>
      <c r="E96" s="43"/>
      <c r="F96" s="43"/>
      <c r="L96" s="349">
        <f>+J51</f>
        <v>42975</v>
      </c>
    </row>
    <row r="97" spans="4:12" ht="15">
      <c r="D97" s="38" t="s">
        <v>1497</v>
      </c>
      <c r="E97" s="43"/>
      <c r="F97" s="43"/>
      <c r="L97" s="35" t="str">
        <f>+J52</f>
        <v>JMJ</v>
      </c>
    </row>
    <row r="98" spans="4:6" ht="15">
      <c r="D98" s="38" t="s">
        <v>1499</v>
      </c>
      <c r="E98" s="43"/>
      <c r="F98" s="43"/>
    </row>
    <row r="99" spans="4:6" ht="15">
      <c r="D99" s="38" t="s">
        <v>1737</v>
      </c>
      <c r="E99" s="43"/>
      <c r="F99" s="43" t="str">
        <f>+F4</f>
        <v>May, 2015</v>
      </c>
    </row>
    <row r="102" spans="5:12" ht="15">
      <c r="E102" s="34" t="s">
        <v>1325</v>
      </c>
      <c r="H102" s="34" t="s">
        <v>588</v>
      </c>
      <c r="K102" s="34" t="s">
        <v>252</v>
      </c>
      <c r="L102" s="34" t="s">
        <v>1691</v>
      </c>
    </row>
    <row r="104" spans="2:9" ht="15">
      <c r="B104" s="34" t="s">
        <v>1692</v>
      </c>
      <c r="C104" s="283" t="s">
        <v>1693</v>
      </c>
      <c r="E104" s="283" t="s">
        <v>719</v>
      </c>
      <c r="F104" s="283" t="s">
        <v>720</v>
      </c>
      <c r="H104" s="283" t="s">
        <v>719</v>
      </c>
      <c r="I104" s="283" t="s">
        <v>720</v>
      </c>
    </row>
    <row r="106" spans="2:12" ht="15">
      <c r="B106" s="35" t="s">
        <v>271</v>
      </c>
      <c r="C106" s="189">
        <f>-E13</f>
        <v>433587</v>
      </c>
      <c r="E106" s="185">
        <f>+F63</f>
        <v>0.5</v>
      </c>
      <c r="F106" s="375">
        <f>C106*E106</f>
        <v>216793.5</v>
      </c>
      <c r="H106" s="185">
        <f>+H63</f>
        <v>0.5</v>
      </c>
      <c r="I106" s="375">
        <f>H106*C106</f>
        <v>216793.5</v>
      </c>
      <c r="K106" s="110">
        <f>I106-F106</f>
        <v>0</v>
      </c>
      <c r="L106" s="199">
        <f>K106/2</f>
        <v>0</v>
      </c>
    </row>
    <row r="107" spans="3:9" ht="15">
      <c r="C107" s="189"/>
      <c r="F107" s="220"/>
      <c r="I107" s="220"/>
    </row>
    <row r="108" spans="2:12" ht="15">
      <c r="B108" s="35" t="s">
        <v>1230</v>
      </c>
      <c r="C108" s="189">
        <f>-E14</f>
        <v>289059</v>
      </c>
      <c r="E108" s="185">
        <f>+F74</f>
        <v>0.5</v>
      </c>
      <c r="F108" s="375">
        <f>C108*E108</f>
        <v>144529.5</v>
      </c>
      <c r="H108" s="185">
        <f>+H74</f>
        <v>0.5</v>
      </c>
      <c r="I108" s="375">
        <f>H108*C108</f>
        <v>144529.5</v>
      </c>
      <c r="K108" s="110">
        <f>I108-F108</f>
        <v>0</v>
      </c>
      <c r="L108" s="199">
        <f>K108/2</f>
        <v>0</v>
      </c>
    </row>
    <row r="109" spans="11:12" ht="15">
      <c r="K109" s="79" t="s">
        <v>1074</v>
      </c>
      <c r="L109" s="32" t="s">
        <v>721</v>
      </c>
    </row>
    <row r="110" spans="11:12" ht="15">
      <c r="K110" s="9">
        <f>+K108+K106</f>
        <v>0</v>
      </c>
      <c r="L110" s="194">
        <f>+L106+L108</f>
        <v>0</v>
      </c>
    </row>
    <row r="112" spans="1:12" ht="15">
      <c r="A112" s="52"/>
      <c r="B112" s="52" t="s">
        <v>984</v>
      </c>
      <c r="H112" s="376"/>
      <c r="L112" s="199">
        <f>IF((L110&gt;0),L110,0)</f>
        <v>0</v>
      </c>
    </row>
    <row r="113" spans="1:8" ht="15">
      <c r="A113" s="52"/>
      <c r="B113" s="52"/>
      <c r="H113" s="376"/>
    </row>
    <row r="114" spans="1:8" ht="15">
      <c r="A114" s="52"/>
      <c r="B114" s="52"/>
      <c r="H114" s="376"/>
    </row>
    <row r="115" spans="1:12" ht="15">
      <c r="A115" s="52"/>
      <c r="B115" s="52" t="s">
        <v>97</v>
      </c>
      <c r="L115" s="199">
        <f>IF((L110&lt;0),(-L110),0)</f>
        <v>0</v>
      </c>
    </row>
    <row r="116" ht="15">
      <c r="A116" s="52"/>
    </row>
    <row r="117" ht="15">
      <c r="A117" s="52"/>
    </row>
    <row r="118" ht="15">
      <c r="A118" s="52"/>
    </row>
    <row r="119" ht="15">
      <c r="A119" s="52"/>
    </row>
    <row r="120" spans="1:3" ht="15">
      <c r="A120" s="52"/>
      <c r="B120" s="34" t="s">
        <v>990</v>
      </c>
      <c r="C120" s="43" t="s">
        <v>1550</v>
      </c>
    </row>
    <row r="121" ht="15">
      <c r="A121" s="52"/>
    </row>
    <row r="122" spans="1:12" ht="15">
      <c r="A122" s="52"/>
      <c r="B122" s="35" t="s">
        <v>271</v>
      </c>
      <c r="C122" s="375">
        <f>(-E27)-E28</f>
        <v>64910</v>
      </c>
      <c r="E122" s="185">
        <f>+F63</f>
        <v>0.5</v>
      </c>
      <c r="F122" s="375">
        <f>C122*E122</f>
        <v>32455</v>
      </c>
      <c r="H122" s="185">
        <f>+H63</f>
        <v>0.5</v>
      </c>
      <c r="I122" s="375">
        <f>H122*C122</f>
        <v>32455</v>
      </c>
      <c r="K122" s="110">
        <f>I122-F122</f>
        <v>0</v>
      </c>
      <c r="L122" s="199">
        <f>K122/2</f>
        <v>0</v>
      </c>
    </row>
    <row r="123" spans="1:12" ht="15">
      <c r="A123" s="52"/>
      <c r="C123" s="375"/>
      <c r="F123" s="375"/>
      <c r="I123" s="375"/>
      <c r="K123" s="110"/>
      <c r="L123" s="199"/>
    </row>
    <row r="124" spans="1:12" ht="15">
      <c r="A124" s="52"/>
      <c r="B124" s="35" t="s">
        <v>1230</v>
      </c>
      <c r="C124" s="375">
        <f>(-E30)-E31</f>
        <v>131598</v>
      </c>
      <c r="E124" s="185">
        <f>+F74</f>
        <v>0.5</v>
      </c>
      <c r="F124" s="375">
        <f>C124*E124</f>
        <v>65799</v>
      </c>
      <c r="H124" s="185">
        <f>+H74</f>
        <v>0.5</v>
      </c>
      <c r="I124" s="375">
        <f>H124*C124</f>
        <v>65799</v>
      </c>
      <c r="K124" s="110">
        <f>I124-F124</f>
        <v>0</v>
      </c>
      <c r="L124" s="199">
        <f>K124/2</f>
        <v>0</v>
      </c>
    </row>
    <row r="125" spans="1:12" ht="15">
      <c r="A125" s="52"/>
      <c r="K125" s="79" t="s">
        <v>1074</v>
      </c>
      <c r="L125" s="32" t="s">
        <v>721</v>
      </c>
    </row>
    <row r="126" spans="1:12" ht="15">
      <c r="A126" s="52"/>
      <c r="K126" s="9">
        <f>+K122+K124</f>
        <v>0</v>
      </c>
      <c r="L126" s="194">
        <f>+L122+L124</f>
        <v>0</v>
      </c>
    </row>
    <row r="127" ht="15">
      <c r="A127" s="52"/>
    </row>
    <row r="128" spans="1:12" ht="15">
      <c r="A128" s="52"/>
      <c r="B128" s="52" t="s">
        <v>984</v>
      </c>
      <c r="L128" s="199">
        <f>IF((L126&gt;0),L126,0)</f>
        <v>0</v>
      </c>
    </row>
    <row r="129" spans="1:2" ht="15">
      <c r="A129" s="52"/>
      <c r="B129" s="52"/>
    </row>
    <row r="130" spans="1:2" ht="15">
      <c r="A130" s="52"/>
      <c r="B130" s="52"/>
    </row>
    <row r="131" spans="1:12" ht="15">
      <c r="A131" s="52"/>
      <c r="B131" s="52" t="s">
        <v>97</v>
      </c>
      <c r="L131" s="199">
        <f>IF((L126&lt;0),(-L126),0)</f>
        <v>0</v>
      </c>
    </row>
    <row r="136" spans="2:3" ht="15">
      <c r="B136" s="34" t="s">
        <v>1916</v>
      </c>
      <c r="C136" s="43"/>
    </row>
    <row r="138" spans="2:12" ht="15">
      <c r="B138" s="35" t="s">
        <v>271</v>
      </c>
      <c r="C138" s="375">
        <f>-L13</f>
        <v>673.55</v>
      </c>
      <c r="E138" s="185">
        <f>F63</f>
        <v>0.5</v>
      </c>
      <c r="F138" s="375">
        <f>C138*E138</f>
        <v>336.775</v>
      </c>
      <c r="H138" s="185">
        <f>+H63</f>
        <v>0.5</v>
      </c>
      <c r="I138" s="375">
        <f>H138*C138</f>
        <v>336.775</v>
      </c>
      <c r="K138" s="110">
        <f>I138-F138</f>
        <v>0</v>
      </c>
      <c r="L138" s="199">
        <f>K138/2</f>
        <v>0</v>
      </c>
    </row>
    <row r="139" spans="3:12" ht="15">
      <c r="C139" s="375"/>
      <c r="F139" s="375"/>
      <c r="I139" s="375"/>
      <c r="K139" s="110"/>
      <c r="L139" s="199"/>
    </row>
    <row r="140" spans="2:12" ht="15">
      <c r="B140" s="35" t="s">
        <v>1230</v>
      </c>
      <c r="C140" s="375">
        <f>-L14</f>
        <v>397.22</v>
      </c>
      <c r="E140" s="185">
        <f>F74</f>
        <v>0.5</v>
      </c>
      <c r="F140" s="375">
        <f>C140*E140</f>
        <v>198.61</v>
      </c>
      <c r="H140" s="185">
        <f>+H74</f>
        <v>0.5</v>
      </c>
      <c r="I140" s="375">
        <f>H140*C140</f>
        <v>198.61</v>
      </c>
      <c r="K140" s="110">
        <f>I140-F140</f>
        <v>0</v>
      </c>
      <c r="L140" s="199">
        <f>K140/2</f>
        <v>0</v>
      </c>
    </row>
    <row r="141" spans="11:12" ht="15">
      <c r="K141" s="79" t="s">
        <v>1074</v>
      </c>
      <c r="L141" s="32" t="s">
        <v>721</v>
      </c>
    </row>
    <row r="142" spans="11:12" ht="15">
      <c r="K142" s="9">
        <f>+K138+K140</f>
        <v>0</v>
      </c>
      <c r="L142" s="194">
        <f>+L138+L140</f>
        <v>0</v>
      </c>
    </row>
    <row r="144" spans="2:12" ht="15">
      <c r="B144" s="52" t="s">
        <v>984</v>
      </c>
      <c r="L144" s="199">
        <f>IF((L142&gt;0),L142,0)</f>
        <v>0</v>
      </c>
    </row>
    <row r="145" ht="15">
      <c r="B145" s="52"/>
    </row>
    <row r="146" ht="15">
      <c r="B146" s="52"/>
    </row>
    <row r="147" spans="2:12" ht="15">
      <c r="B147" s="52" t="s">
        <v>97</v>
      </c>
      <c r="L147" s="199">
        <f>IF((L142&lt;0),(-L142),0)</f>
        <v>0</v>
      </c>
    </row>
    <row r="151" ht="15">
      <c r="A151" s="43" t="s">
        <v>991</v>
      </c>
    </row>
    <row r="152" ht="15">
      <c r="B152" s="9" t="s">
        <v>297</v>
      </c>
    </row>
    <row r="153" ht="15">
      <c r="B153" s="9" t="s">
        <v>298</v>
      </c>
    </row>
    <row r="154" ht="15">
      <c r="B154" s="9" t="s">
        <v>1209</v>
      </c>
    </row>
    <row r="155" ht="15">
      <c r="B155" s="9" t="s">
        <v>917</v>
      </c>
    </row>
    <row r="156" ht="15">
      <c r="B156" s="9" t="s">
        <v>1247</v>
      </c>
    </row>
    <row r="157" ht="15">
      <c r="B157" s="9" t="s">
        <v>143</v>
      </c>
    </row>
    <row r="158" ht="15">
      <c r="B158" s="9" t="s">
        <v>144</v>
      </c>
    </row>
    <row r="159" ht="15">
      <c r="B159" s="9" t="s">
        <v>1283</v>
      </c>
    </row>
    <row r="160" ht="15">
      <c r="B160" s="9" t="s">
        <v>1666</v>
      </c>
    </row>
    <row r="161" ht="15">
      <c r="B161" s="9" t="s">
        <v>192</v>
      </c>
    </row>
    <row r="162" ht="15">
      <c r="B162" s="9" t="s">
        <v>1208</v>
      </c>
    </row>
    <row r="163" ht="15">
      <c r="B163" s="9" t="s">
        <v>1667</v>
      </c>
    </row>
    <row r="164" ht="15">
      <c r="B164" s="9" t="s">
        <v>1666</v>
      </c>
    </row>
    <row r="165" ht="15">
      <c r="B165" s="9" t="s">
        <v>1208</v>
      </c>
    </row>
    <row r="166" ht="15">
      <c r="B166" s="9" t="s">
        <v>1884</v>
      </c>
    </row>
    <row r="168" ht="15">
      <c r="B168" s="11"/>
    </row>
  </sheetData>
  <sheetProtection/>
  <printOptions horizontalCentered="1"/>
  <pageMargins left="0.5" right="0.25" top="0.35" bottom="0.52" header="0.52" footer="0.25"/>
  <pageSetup fitToHeight="2" horizontalDpi="600" verticalDpi="600" orientation="landscape" scale="65"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9" customWidth="1"/>
    <col min="5" max="5" width="19.421875" style="9" customWidth="1"/>
    <col min="6" max="6" width="14.7109375" style="9" customWidth="1"/>
    <col min="7" max="7" width="11.57421875" style="9" customWidth="1"/>
    <col min="8" max="8" width="11.140625" style="9" bestFit="1" customWidth="1"/>
    <col min="9" max="9" width="13.421875" style="9" customWidth="1"/>
    <col min="10" max="10" width="15.140625" style="9" customWidth="1"/>
    <col min="11" max="11" width="14.00390625" style="9" customWidth="1"/>
    <col min="12" max="12" width="19.57421875" style="9" customWidth="1"/>
    <col min="13" max="13" width="13.8515625" style="9" bestFit="1" customWidth="1"/>
    <col min="14" max="14" width="18.57421875" style="9" customWidth="1"/>
    <col min="15" max="15" width="2.7109375" style="9" customWidth="1"/>
    <col min="16" max="17" width="9.7109375" style="9" customWidth="1"/>
    <col min="18" max="18" width="16.00390625" style="9" customWidth="1"/>
    <col min="19" max="22" width="9.7109375" style="9" customWidth="1"/>
    <col min="23" max="23" width="28.140625" style="9" bestFit="1" customWidth="1"/>
    <col min="24" max="24" width="9.7109375" style="9" customWidth="1"/>
    <col min="25" max="25" width="17.421875" style="9" bestFit="1" customWidth="1"/>
    <col min="26" max="26" width="9.7109375" style="9" customWidth="1"/>
    <col min="27" max="27" width="10.57421875" style="9" bestFit="1" customWidth="1"/>
    <col min="28" max="28" width="9.7109375" style="9" customWidth="1"/>
    <col min="29" max="29" width="15.421875" style="9" customWidth="1"/>
    <col min="30" max="33" width="9.7109375" style="9" customWidth="1"/>
    <col min="34" max="34" width="15.140625" style="9" customWidth="1"/>
    <col min="35" max="36" width="7.7109375" style="9" customWidth="1"/>
    <col min="37" max="37" width="15.421875" style="9" customWidth="1"/>
    <col min="38" max="38" width="7.7109375" style="9" customWidth="1"/>
    <col min="39" max="39" width="16.28125" style="9" customWidth="1"/>
    <col min="40" max="40" width="7.7109375" style="9" customWidth="1"/>
    <col min="41" max="41" width="16.421875" style="9" customWidth="1"/>
    <col min="42" max="42" width="7.7109375" style="9" customWidth="1"/>
    <col min="43" max="43" width="15.421875" style="9" customWidth="1"/>
    <col min="44" max="44" width="7.7109375" style="9" customWidth="1"/>
    <col min="45" max="45" width="16.57421875" style="9" customWidth="1"/>
    <col min="46" max="46" width="2.7109375" style="9" customWidth="1"/>
    <col min="47" max="16384" width="9.7109375" style="9" customWidth="1"/>
  </cols>
  <sheetData>
    <row r="1" ht="15"/>
    <row r="2" spans="21:39" ht="15.75">
      <c r="U2" s="43" t="str">
        <f>+F3</f>
        <v>AEP GENERATING COMPANY</v>
      </c>
      <c r="V2" s="43"/>
      <c r="AH2" s="377" t="str">
        <f>INSTRUCTIONS!$L$29&amp;" Bill"</f>
        <v>ESTIMATE Bill</v>
      </c>
      <c r="AM2" s="43" t="str">
        <f>+F3</f>
        <v>AEP GENERATING COMPANY</v>
      </c>
    </row>
    <row r="3" spans="2:45" ht="15.75">
      <c r="B3" s="377" t="str">
        <f>INSTRUCTIONS!$L$29&amp;" Bill"</f>
        <v>ESTIMATE Bill</v>
      </c>
      <c r="E3" s="11"/>
      <c r="F3" s="341" t="s">
        <v>1558</v>
      </c>
      <c r="G3" s="378"/>
      <c r="H3" s="222"/>
      <c r="N3" s="35" t="s">
        <v>751</v>
      </c>
      <c r="U3" s="43" t="str">
        <f>+F4</f>
        <v>ROCKPORT PLANT UNIT NO. 1</v>
      </c>
      <c r="V3" s="43"/>
      <c r="AC3" s="9" t="s">
        <v>752</v>
      </c>
      <c r="AM3" s="98" t="s">
        <v>807</v>
      </c>
      <c r="AS3" s="35" t="s">
        <v>808</v>
      </c>
    </row>
    <row r="4" spans="5:45" ht="15.75">
      <c r="E4" s="11"/>
      <c r="F4" s="341" t="s">
        <v>807</v>
      </c>
      <c r="G4" s="378"/>
      <c r="H4" s="222"/>
      <c r="N4" s="35" t="str">
        <f>INSTRUCTIONS!Q13</f>
        <v>JMJ</v>
      </c>
      <c r="U4" s="98" t="s">
        <v>809</v>
      </c>
      <c r="V4" s="43"/>
      <c r="AC4" s="364">
        <f ca="1">TODAY()</f>
        <v>42975</v>
      </c>
      <c r="AM4" s="98" t="s">
        <v>810</v>
      </c>
      <c r="AS4" s="364">
        <f ca="1">TODAY()</f>
        <v>42975</v>
      </c>
    </row>
    <row r="5" spans="5:39" ht="15.75">
      <c r="E5" s="11"/>
      <c r="F5" s="341" t="s">
        <v>811</v>
      </c>
      <c r="G5" s="378"/>
      <c r="H5" s="222"/>
      <c r="N5" s="364">
        <f ca="1">TODAY()</f>
        <v>42975</v>
      </c>
      <c r="U5" s="43" t="str">
        <f>F6</f>
        <v>May, 2015</v>
      </c>
      <c r="V5" s="43"/>
      <c r="AM5" s="43" t="str">
        <f>+F6</f>
        <v>May, 2015</v>
      </c>
    </row>
    <row r="6" spans="5:29" ht="15.75">
      <c r="E6" s="11"/>
      <c r="F6" s="379" t="str">
        <f>INSTRUCTIONS!L7</f>
        <v>May, 2015</v>
      </c>
      <c r="G6" s="378"/>
      <c r="H6" s="222"/>
      <c r="N6" s="35" t="s">
        <v>812</v>
      </c>
      <c r="AC6" s="38"/>
    </row>
    <row r="7" spans="23:29" ht="15.75">
      <c r="W7" s="38" t="s">
        <v>1713</v>
      </c>
      <c r="Y7" s="38" t="s">
        <v>1062</v>
      </c>
      <c r="AA7" s="38"/>
      <c r="AC7" s="38"/>
    </row>
    <row r="8" spans="18:45" ht="15.75">
      <c r="R8" s="52"/>
      <c r="W8" s="79" t="s">
        <v>1074</v>
      </c>
      <c r="Y8" s="79" t="s">
        <v>1074</v>
      </c>
      <c r="AA8" s="79"/>
      <c r="AC8" s="79"/>
      <c r="AK8" s="38" t="s">
        <v>1064</v>
      </c>
      <c r="AL8" s="43"/>
      <c r="AM8" s="38" t="s">
        <v>424</v>
      </c>
      <c r="AN8" s="43"/>
      <c r="AO8" s="38" t="s">
        <v>425</v>
      </c>
      <c r="AP8" s="43"/>
      <c r="AQ8" s="38" t="s">
        <v>671</v>
      </c>
      <c r="AR8" s="43"/>
      <c r="AS8" s="38" t="s">
        <v>672</v>
      </c>
    </row>
    <row r="9" spans="18:45" ht="15.75">
      <c r="R9" s="52" t="s">
        <v>612</v>
      </c>
      <c r="W9" s="14">
        <f>+N41</f>
        <v>6665336</v>
      </c>
      <c r="Y9" s="14">
        <f>+N42</f>
        <v>2856580</v>
      </c>
      <c r="AA9" s="14"/>
      <c r="AC9" s="14"/>
      <c r="AK9" s="328" t="s">
        <v>1074</v>
      </c>
      <c r="AL9" s="43"/>
      <c r="AM9" s="328" t="s">
        <v>1074</v>
      </c>
      <c r="AN9" s="43"/>
      <c r="AO9" s="328" t="s">
        <v>1074</v>
      </c>
      <c r="AP9" s="43"/>
      <c r="AQ9" s="328" t="s">
        <v>1074</v>
      </c>
      <c r="AR9" s="43"/>
      <c r="AS9" s="328" t="s">
        <v>1074</v>
      </c>
    </row>
    <row r="10" spans="18:45" ht="15">
      <c r="R10" s="52"/>
      <c r="AF10" s="9" t="s">
        <v>613</v>
      </c>
      <c r="AK10" s="14">
        <f>+N38</f>
        <v>9521916.322399998</v>
      </c>
      <c r="AM10" s="14">
        <f>+N33</f>
        <v>8940021.956249999</v>
      </c>
      <c r="AO10" s="14">
        <f>+N34</f>
        <v>76950.805</v>
      </c>
      <c r="AQ10" s="14">
        <f>+N35</f>
        <v>438551.57115</v>
      </c>
      <c r="AS10" s="14">
        <f>+N36</f>
        <v>66391.99</v>
      </c>
    </row>
    <row r="11" spans="1:44" ht="15.75">
      <c r="A11" s="9" t="s">
        <v>614</v>
      </c>
      <c r="F11" s="14">
        <f>SUM(F12:F14)</f>
        <v>744212</v>
      </c>
      <c r="R11" s="52" t="s">
        <v>615</v>
      </c>
      <c r="W11" s="14">
        <f>+F14</f>
        <v>260474</v>
      </c>
      <c r="Y11" s="14">
        <f>+F13</f>
        <v>111632</v>
      </c>
      <c r="AA11" s="14"/>
      <c r="AC11" s="14"/>
      <c r="AR11" s="43"/>
    </row>
    <row r="12" spans="1:45" ht="15">
      <c r="A12" s="9" t="s">
        <v>515</v>
      </c>
      <c r="F12" s="143">
        <f>FUELSCH!D58</f>
        <v>372106</v>
      </c>
      <c r="R12" s="52"/>
      <c r="W12" s="79" t="s">
        <v>1074</v>
      </c>
      <c r="Y12" s="79" t="s">
        <v>1074</v>
      </c>
      <c r="AA12" s="79"/>
      <c r="AC12" s="79"/>
      <c r="AF12" s="9" t="s">
        <v>516</v>
      </c>
      <c r="AK12" s="80">
        <f>ROUND((AK10/AK10),6)</f>
        <v>1</v>
      </c>
      <c r="AM12" s="80">
        <f>ROUND((AM10/AK10),6)</f>
        <v>0.938889</v>
      </c>
      <c r="AO12" s="80">
        <f>ROUND((AO10/AK10),6)</f>
        <v>0.008081</v>
      </c>
      <c r="AQ12" s="80">
        <f>ROUND((AQ10/AK10),6)</f>
        <v>0.046057</v>
      </c>
      <c r="AS12" s="80">
        <f>AK12-AM12-AO12-AQ12</f>
        <v>0.006973000000000028</v>
      </c>
    </row>
    <row r="13" spans="1:29" ht="15.75">
      <c r="A13" s="9" t="s">
        <v>519</v>
      </c>
      <c r="F13" s="143">
        <f>FUELSCH!D60</f>
        <v>111632</v>
      </c>
      <c r="R13" s="52" t="s">
        <v>518</v>
      </c>
      <c r="W13" s="380">
        <f>IF((W11=0),0,(ROUND((W9/W11),3)))</f>
        <v>25.589</v>
      </c>
      <c r="Y13" s="380">
        <f>IF((Y11=0),0,(ROUND((Y9/Y11),3)))</f>
        <v>25.589</v>
      </c>
      <c r="Z13" s="43"/>
      <c r="AA13" s="380"/>
      <c r="AC13" s="380"/>
    </row>
    <row r="14" spans="1:18" ht="15">
      <c r="A14" s="9" t="s">
        <v>517</v>
      </c>
      <c r="F14" s="143">
        <f>FUELSCH!D59</f>
        <v>260474</v>
      </c>
      <c r="R14" s="52"/>
    </row>
    <row r="15" spans="6:18" ht="15">
      <c r="F15" s="143"/>
      <c r="R15" s="52"/>
    </row>
    <row r="16" spans="18:45" ht="15">
      <c r="R16" s="52"/>
      <c r="AF16" s="9" t="s">
        <v>1713</v>
      </c>
      <c r="AH16" s="14">
        <f>+F14</f>
        <v>260474</v>
      </c>
      <c r="AI16" s="35" t="s">
        <v>1205</v>
      </c>
      <c r="AK16" s="14">
        <f>+N41</f>
        <v>6665336</v>
      </c>
      <c r="AM16" s="14">
        <f>ROUND((AK16*AM12),0)</f>
        <v>6258011</v>
      </c>
      <c r="AO16" s="14">
        <f>ROUND((AK16*AO12),0)</f>
        <v>53863</v>
      </c>
      <c r="AQ16" s="14">
        <f>ROUND((AK16*AQ12),0)</f>
        <v>306985</v>
      </c>
      <c r="AS16" s="14">
        <f>ROUND((AK16*AS12),0)</f>
        <v>46477</v>
      </c>
    </row>
    <row r="17" spans="18:45" ht="15">
      <c r="R17" s="52"/>
      <c r="AH17" s="14"/>
      <c r="AI17" s="35"/>
      <c r="AK17" s="37"/>
      <c r="AM17" s="14"/>
      <c r="AO17" s="14"/>
      <c r="AQ17" s="14"/>
      <c r="AS17" s="14"/>
    </row>
    <row r="18" spans="18:45" ht="15">
      <c r="R18" s="52"/>
      <c r="AF18" s="52" t="s">
        <v>1062</v>
      </c>
      <c r="AH18" s="14">
        <f>+F13</f>
        <v>111632</v>
      </c>
      <c r="AI18" s="35" t="s">
        <v>1205</v>
      </c>
      <c r="AK18" s="14">
        <f>+N42</f>
        <v>2856580</v>
      </c>
      <c r="AM18" s="14">
        <f>AM10-AM16</f>
        <v>2682010.956249999</v>
      </c>
      <c r="AO18" s="14">
        <f>AO10-AO16</f>
        <v>23087.804999999993</v>
      </c>
      <c r="AQ18" s="14">
        <f>AQ10-AQ16</f>
        <v>131566.57114999997</v>
      </c>
      <c r="AS18" s="14">
        <f>AS10-AS16</f>
        <v>19914.990000000005</v>
      </c>
    </row>
    <row r="19" spans="19:45" ht="15">
      <c r="S19" s="35"/>
      <c r="W19" s="14"/>
      <c r="X19" s="35"/>
      <c r="AA19" s="35"/>
      <c r="AC19" s="14"/>
      <c r="AK19" s="79" t="s">
        <v>1074</v>
      </c>
      <c r="AM19" s="79" t="s">
        <v>1074</v>
      </c>
      <c r="AO19" s="79" t="s">
        <v>1074</v>
      </c>
      <c r="AQ19" s="79" t="s">
        <v>1074</v>
      </c>
      <c r="AS19" s="79" t="s">
        <v>1074</v>
      </c>
    </row>
    <row r="20" spans="29:45" ht="15">
      <c r="AC20" s="79" t="s">
        <v>1572</v>
      </c>
      <c r="AF20" s="9" t="s">
        <v>1719</v>
      </c>
      <c r="AK20" s="14">
        <f>AK16+AK18</f>
        <v>9521916</v>
      </c>
      <c r="AM20" s="14">
        <f>AM16+AM18</f>
        <v>8940021.956249999</v>
      </c>
      <c r="AO20" s="14">
        <f>AO16+AO18</f>
        <v>76950.805</v>
      </c>
      <c r="AQ20" s="14">
        <f>AQ16+AQ18</f>
        <v>438551.57115</v>
      </c>
      <c r="AS20" s="14">
        <f>AS16+AS18</f>
        <v>66391.99</v>
      </c>
    </row>
    <row r="21" spans="1:45" ht="15">
      <c r="A21" s="35" t="s">
        <v>1720</v>
      </c>
      <c r="B21" s="52" t="s">
        <v>1721</v>
      </c>
      <c r="L21" s="14">
        <f>SUM(N33:N35)</f>
        <v>9455524.332399998</v>
      </c>
      <c r="AK21" s="79" t="s">
        <v>1572</v>
      </c>
      <c r="AM21" s="79" t="s">
        <v>1572</v>
      </c>
      <c r="AO21" s="79" t="s">
        <v>1572</v>
      </c>
      <c r="AQ21" s="79" t="s">
        <v>1572</v>
      </c>
      <c r="AS21" s="79" t="s">
        <v>1572</v>
      </c>
    </row>
    <row r="22" spans="2:12" ht="15">
      <c r="B22" s="52" t="s">
        <v>214</v>
      </c>
      <c r="L22" s="14">
        <f>+N36</f>
        <v>66391.99</v>
      </c>
    </row>
    <row r="23" spans="2:29" ht="15">
      <c r="B23" s="52"/>
      <c r="S23" s="35" t="s">
        <v>215</v>
      </c>
      <c r="W23" s="14">
        <f>+F13</f>
        <v>111632</v>
      </c>
      <c r="X23" s="35" t="s">
        <v>520</v>
      </c>
      <c r="Y23" s="9">
        <f>+J48</f>
        <v>25.58925769108802</v>
      </c>
      <c r="AA23" s="35" t="s">
        <v>1572</v>
      </c>
      <c r="AC23" s="14">
        <f>ROUND((W23*Y23),0)</f>
        <v>2856580</v>
      </c>
    </row>
    <row r="24" spans="2:45" ht="15.75">
      <c r="B24" s="52"/>
      <c r="C24" s="52" t="s">
        <v>900</v>
      </c>
      <c r="J24" s="28"/>
      <c r="L24" s="51"/>
      <c r="N24" s="14">
        <f>+N33</f>
        <v>8940021.956249999</v>
      </c>
      <c r="AC24" s="79" t="s">
        <v>1572</v>
      </c>
      <c r="AP24" s="38"/>
      <c r="AQ24" s="38"/>
      <c r="AR24" s="38"/>
      <c r="AS24" s="38"/>
    </row>
    <row r="25" spans="2:38" ht="15.75">
      <c r="B25" s="52"/>
      <c r="C25" s="52" t="s">
        <v>1618</v>
      </c>
      <c r="J25" s="28"/>
      <c r="L25" s="51"/>
      <c r="N25" s="14">
        <f>+N34</f>
        <v>76950.805</v>
      </c>
      <c r="AL25" s="174" t="s">
        <v>1617</v>
      </c>
    </row>
    <row r="26" spans="2:33" ht="15">
      <c r="B26" s="52"/>
      <c r="C26" s="52" t="s">
        <v>1221</v>
      </c>
      <c r="J26" s="28"/>
      <c r="L26" s="51"/>
      <c r="N26" s="14">
        <f>+N35</f>
        <v>438551.57115</v>
      </c>
      <c r="AG26" s="52"/>
    </row>
    <row r="27" spans="2:45" ht="15.75">
      <c r="B27" s="52"/>
      <c r="C27" s="52" t="s">
        <v>1427</v>
      </c>
      <c r="I27" s="28"/>
      <c r="N27" s="14">
        <f>+N36</f>
        <v>66391.99</v>
      </c>
      <c r="S27" s="35" t="s">
        <v>1426</v>
      </c>
      <c r="W27" s="14">
        <f>F14</f>
        <v>260474</v>
      </c>
      <c r="X27" s="35" t="s">
        <v>520</v>
      </c>
      <c r="Y27" s="9">
        <f>+J48</f>
        <v>25.58925769108802</v>
      </c>
      <c r="AA27" s="35" t="s">
        <v>1572</v>
      </c>
      <c r="AC27" s="14">
        <f>ROUND((W27*Y27),0)</f>
        <v>6665336</v>
      </c>
      <c r="AG27" s="52"/>
      <c r="AK27" s="43"/>
      <c r="AL27" s="43"/>
      <c r="AM27" s="38" t="s">
        <v>48</v>
      </c>
      <c r="AN27" s="43"/>
      <c r="AO27" s="38" t="s">
        <v>48</v>
      </c>
      <c r="AP27" s="43"/>
      <c r="AQ27" s="43"/>
      <c r="AR27" s="43"/>
      <c r="AS27" s="43"/>
    </row>
    <row r="28" spans="2:45" ht="15.75">
      <c r="B28" s="52"/>
      <c r="S28" s="35"/>
      <c r="W28" s="14"/>
      <c r="X28" s="35"/>
      <c r="AA28" s="35"/>
      <c r="AC28" s="14"/>
      <c r="AG28" s="52"/>
      <c r="AK28" s="38" t="s">
        <v>1064</v>
      </c>
      <c r="AL28" s="43"/>
      <c r="AM28" s="38" t="s">
        <v>424</v>
      </c>
      <c r="AN28" s="43"/>
      <c r="AO28" s="38" t="s">
        <v>425</v>
      </c>
      <c r="AP28" s="43"/>
      <c r="AQ28" s="38" t="s">
        <v>132</v>
      </c>
      <c r="AR28" s="43"/>
      <c r="AS28" s="38" t="s">
        <v>1589</v>
      </c>
    </row>
    <row r="29" spans="2:45" ht="15">
      <c r="B29" s="52" t="s">
        <v>1905</v>
      </c>
      <c r="AC29" s="79" t="s">
        <v>1074</v>
      </c>
      <c r="AG29" s="52"/>
      <c r="AK29" s="79" t="s">
        <v>1074</v>
      </c>
      <c r="AM29" s="79" t="s">
        <v>1074</v>
      </c>
      <c r="AO29" s="79" t="s">
        <v>1074</v>
      </c>
      <c r="AQ29" s="79" t="s">
        <v>1074</v>
      </c>
      <c r="AS29" s="79" t="s">
        <v>1074</v>
      </c>
    </row>
    <row r="30" spans="2:45" ht="15.75">
      <c r="B30" s="52"/>
      <c r="J30" s="189">
        <f>F33*H33</f>
        <v>216793.5</v>
      </c>
      <c r="K30" s="106"/>
      <c r="N30" s="38"/>
      <c r="AC30" s="14">
        <f>AC27</f>
        <v>6665336</v>
      </c>
      <c r="AG30" s="52" t="s">
        <v>1713</v>
      </c>
      <c r="AK30" s="14">
        <f>+AC27</f>
        <v>6665336</v>
      </c>
      <c r="AM30" s="14">
        <f>IF(($N$33=0),0,(ROUND((($N$33/$G$48)*F14),0)))</f>
        <v>6258011</v>
      </c>
      <c r="AO30" s="14">
        <f>IF(($N$34=0),0,(ROUND((($N$34/$G$48)*F14),0)))</f>
        <v>53866</v>
      </c>
      <c r="AQ30" s="14">
        <f>IF(($N$35=0),0,(ROUND((($N$35/$G$48)*F14),0)))</f>
        <v>306986</v>
      </c>
      <c r="AS30" s="14">
        <f>AK30-AM30-AO30-AQ30</f>
        <v>46473</v>
      </c>
    </row>
    <row r="31" spans="2:33" ht="15.75">
      <c r="B31" s="52"/>
      <c r="J31" s="27">
        <v>0</v>
      </c>
      <c r="K31" s="52" t="s">
        <v>1292</v>
      </c>
      <c r="N31" s="38"/>
      <c r="AC31" s="79" t="s">
        <v>1572</v>
      </c>
      <c r="AG31" s="52"/>
    </row>
    <row r="32" spans="2:38" ht="15.75">
      <c r="B32" s="52"/>
      <c r="F32" s="283" t="s">
        <v>775</v>
      </c>
      <c r="H32" s="283" t="s">
        <v>776</v>
      </c>
      <c r="J32" s="79" t="s">
        <v>1074</v>
      </c>
      <c r="L32" s="381" t="s">
        <v>564</v>
      </c>
      <c r="N32" s="38"/>
      <c r="AG32" s="52"/>
      <c r="AL32" s="52"/>
    </row>
    <row r="33" spans="2:45" ht="15">
      <c r="B33" s="52" t="s">
        <v>826</v>
      </c>
      <c r="F33" s="382">
        <f>-FUELSCH!E13</f>
        <v>433587</v>
      </c>
      <c r="G33" s="35" t="s">
        <v>520</v>
      </c>
      <c r="H33" s="383">
        <v>0.5</v>
      </c>
      <c r="I33" s="35" t="s">
        <v>1572</v>
      </c>
      <c r="J33" s="382">
        <f>J30+J31</f>
        <v>216793.5</v>
      </c>
      <c r="K33" s="269" t="s">
        <v>624</v>
      </c>
      <c r="L33" s="384">
        <v>41.2375</v>
      </c>
      <c r="M33" s="35" t="s">
        <v>1572</v>
      </c>
      <c r="N33" s="58">
        <f>J33*L33</f>
        <v>8940021.956249999</v>
      </c>
      <c r="AG33" s="52" t="s">
        <v>1062</v>
      </c>
      <c r="AK33" s="14">
        <f>+AC23</f>
        <v>2856580</v>
      </c>
      <c r="AM33" s="14">
        <f>IF(($N$33=0),0,(ROUND((($N$33/$G$48)*F13),0)))</f>
        <v>2682011</v>
      </c>
      <c r="AO33" s="14">
        <f>IF(($N$34=0),0,(ROUND((($N$34/$G$48)*F13),0)))</f>
        <v>23085</v>
      </c>
      <c r="AQ33" s="14">
        <f>IF(($N$35=0),0,(ROUND((($N$35/$G$48)*F13),0)))</f>
        <v>131566</v>
      </c>
      <c r="AS33" s="14">
        <f>((AK33-AM33)-AO33)-AQ33</f>
        <v>19918</v>
      </c>
    </row>
    <row r="34" spans="2:33" ht="15">
      <c r="B34" s="52" t="s">
        <v>1256</v>
      </c>
      <c r="F34" s="382">
        <f>-FUELSCH!E27-FUELSCH!E28</f>
        <v>64910</v>
      </c>
      <c r="G34" s="35" t="s">
        <v>520</v>
      </c>
      <c r="H34" s="383">
        <v>0.5</v>
      </c>
      <c r="I34" s="385" t="s">
        <v>1572</v>
      </c>
      <c r="J34" s="382">
        <f>ROUND((F34*H34),1)</f>
        <v>32455</v>
      </c>
      <c r="K34" s="269" t="s">
        <v>624</v>
      </c>
      <c r="L34" s="384">
        <v>2.371</v>
      </c>
      <c r="M34" s="35" t="s">
        <v>1572</v>
      </c>
      <c r="N34" s="58">
        <f>J34*L34</f>
        <v>76950.805</v>
      </c>
      <c r="U34" s="35" t="s">
        <v>701</v>
      </c>
      <c r="W34" s="9" t="s">
        <v>1425</v>
      </c>
      <c r="AC34" s="14">
        <f>AC23+AC30</f>
        <v>9521916</v>
      </c>
      <c r="AG34" s="52"/>
    </row>
    <row r="35" spans="2:45" ht="15">
      <c r="B35" s="52" t="s">
        <v>702</v>
      </c>
      <c r="F35" s="189">
        <f>+F33</f>
        <v>433587</v>
      </c>
      <c r="G35" s="35" t="s">
        <v>520</v>
      </c>
      <c r="H35" s="383">
        <f>H33</f>
        <v>0.5</v>
      </c>
      <c r="I35" s="35" t="s">
        <v>1572</v>
      </c>
      <c r="J35" s="382">
        <f>J30+J31</f>
        <v>216793.5</v>
      </c>
      <c r="K35" s="35" t="s">
        <v>1498</v>
      </c>
      <c r="L35" s="384">
        <v>2.0229</v>
      </c>
      <c r="M35" s="35" t="s">
        <v>1572</v>
      </c>
      <c r="N35" s="58">
        <f>J35*L35</f>
        <v>438551.57115</v>
      </c>
      <c r="AC35" s="79" t="s">
        <v>1572</v>
      </c>
      <c r="AG35" s="52"/>
      <c r="AK35" s="14"/>
      <c r="AM35" s="14"/>
      <c r="AO35" s="14"/>
      <c r="AQ35" s="14"/>
      <c r="AS35" s="14"/>
    </row>
    <row r="36" spans="2:45" ht="15">
      <c r="B36" s="52" t="s">
        <v>838</v>
      </c>
      <c r="E36" s="9" t="s">
        <v>1071</v>
      </c>
      <c r="N36" s="57">
        <v>66391.99</v>
      </c>
      <c r="AG36" s="52"/>
      <c r="AK36" s="79" t="s">
        <v>1074</v>
      </c>
      <c r="AM36" s="79" t="s">
        <v>1074</v>
      </c>
      <c r="AO36" s="79" t="s">
        <v>1074</v>
      </c>
      <c r="AQ36" s="79" t="s">
        <v>1074</v>
      </c>
      <c r="AS36" s="79" t="s">
        <v>1074</v>
      </c>
    </row>
    <row r="37" spans="2:33" ht="15">
      <c r="B37" s="52"/>
      <c r="I37" s="170"/>
      <c r="J37" s="170"/>
      <c r="K37" s="170"/>
      <c r="L37" s="170"/>
      <c r="N37" s="33"/>
      <c r="AG37" s="52"/>
    </row>
    <row r="38" spans="2:45" ht="15">
      <c r="B38" s="52"/>
      <c r="N38" s="14">
        <f>SUM(N33:N36)</f>
        <v>9521916.322399998</v>
      </c>
      <c r="AG38" s="52" t="s">
        <v>703</v>
      </c>
      <c r="AK38" s="14">
        <f>AK30+AK33</f>
        <v>9521916</v>
      </c>
      <c r="AM38" s="14">
        <f>AM30+AM33</f>
        <v>8940022</v>
      </c>
      <c r="AO38" s="14">
        <f>AO30+AO33</f>
        <v>76951</v>
      </c>
      <c r="AQ38" s="14">
        <f>AQ30+AQ33</f>
        <v>438552</v>
      </c>
      <c r="AS38" s="14">
        <f>AS30+AS33</f>
        <v>66391</v>
      </c>
    </row>
    <row r="39" spans="2:45" ht="15">
      <c r="B39" s="52"/>
      <c r="N39" s="33" t="s">
        <v>1572</v>
      </c>
      <c r="AG39" s="52"/>
      <c r="AK39" s="79" t="s">
        <v>1572</v>
      </c>
      <c r="AM39" s="79" t="s">
        <v>1572</v>
      </c>
      <c r="AO39" s="79" t="s">
        <v>1572</v>
      </c>
      <c r="AQ39" s="79" t="s">
        <v>1572</v>
      </c>
      <c r="AS39" s="79" t="s">
        <v>1572</v>
      </c>
    </row>
    <row r="40" spans="2:33" ht="15">
      <c r="B40" s="52"/>
      <c r="J40" s="169"/>
      <c r="K40" s="169"/>
      <c r="N40" s="38"/>
      <c r="AG40" s="52"/>
    </row>
    <row r="41" spans="2:33" ht="15">
      <c r="B41" s="52" t="s">
        <v>1713</v>
      </c>
      <c r="E41" s="14">
        <f>+F14</f>
        <v>260474</v>
      </c>
      <c r="F41" s="35" t="s">
        <v>1484</v>
      </c>
      <c r="G41" s="14">
        <f>SUM($F$13:$F$14)</f>
        <v>372106</v>
      </c>
      <c r="H41" s="35" t="s">
        <v>520</v>
      </c>
      <c r="I41" s="14">
        <f>+N38</f>
        <v>9521916.322399998</v>
      </c>
      <c r="J41" s="386"/>
      <c r="M41" s="35" t="s">
        <v>1572</v>
      </c>
      <c r="N41" s="30">
        <f>IF(F11=0,"0",ROUND(((E41/G41)*I41),0))</f>
        <v>6665336</v>
      </c>
      <c r="AG41" s="52"/>
    </row>
    <row r="42" spans="2:41" ht="15">
      <c r="B42" s="52" t="s">
        <v>1062</v>
      </c>
      <c r="E42" s="14">
        <f>+F13</f>
        <v>111632</v>
      </c>
      <c r="F42" s="35" t="s">
        <v>1484</v>
      </c>
      <c r="G42" s="14">
        <f>SUM($F$13:$F$14)</f>
        <v>372106</v>
      </c>
      <c r="H42" s="35" t="s">
        <v>520</v>
      </c>
      <c r="I42" s="14">
        <f>+N38</f>
        <v>9521916.322399998</v>
      </c>
      <c r="J42" s="386"/>
      <c r="M42" s="35" t="s">
        <v>1572</v>
      </c>
      <c r="N42" s="30">
        <f>IF(F12=0,"0",ROUND(((E42/G42)*I42),0))</f>
        <v>2856580</v>
      </c>
      <c r="AG42" s="52"/>
      <c r="AK42" s="14"/>
      <c r="AL42" s="35"/>
      <c r="AO42" s="14"/>
    </row>
    <row r="43" spans="2:41" ht="15">
      <c r="B43" s="52"/>
      <c r="N43" s="33" t="s">
        <v>1074</v>
      </c>
      <c r="AG43" s="52"/>
      <c r="AO43" s="79"/>
    </row>
    <row r="44" spans="2:33" ht="15">
      <c r="B44" s="52"/>
      <c r="N44" s="14">
        <f>N38</f>
        <v>9521916.322399998</v>
      </c>
      <c r="AG44" s="52"/>
    </row>
    <row r="45" spans="2:33" ht="15">
      <c r="B45" s="52"/>
      <c r="N45" s="79" t="s">
        <v>1572</v>
      </c>
      <c r="AG45" s="52"/>
    </row>
    <row r="46" ht="15">
      <c r="AG46" s="52"/>
    </row>
    <row r="47" spans="2:33" ht="15">
      <c r="B47" s="52"/>
      <c r="M47" s="319"/>
      <c r="N47" s="14"/>
      <c r="AG47" s="52"/>
    </row>
    <row r="48" spans="2:33" ht="15">
      <c r="B48" s="52"/>
      <c r="E48" s="14">
        <f>+N38</f>
        <v>9521916.322399998</v>
      </c>
      <c r="F48" s="35" t="s">
        <v>1484</v>
      </c>
      <c r="G48" s="14">
        <f>SUM(F13:F14)</f>
        <v>372106</v>
      </c>
      <c r="H48" s="35" t="s">
        <v>1205</v>
      </c>
      <c r="I48" s="35" t="s">
        <v>1572</v>
      </c>
      <c r="J48" s="202">
        <f>IF((G48=0),0,(E48/G48))</f>
        <v>25.58925769108802</v>
      </c>
      <c r="K48" s="35" t="s">
        <v>1583</v>
      </c>
      <c r="L48" s="14"/>
      <c r="M48" s="14"/>
      <c r="AG48" s="52"/>
    </row>
    <row r="49" spans="1:33" ht="15">
      <c r="A49" s="11"/>
      <c r="B49" s="52"/>
      <c r="L49" s="14"/>
      <c r="AG49" s="52"/>
    </row>
    <row r="50" ht="15">
      <c r="AG50" s="52"/>
    </row>
    <row r="51" spans="32:33" ht="15">
      <c r="AF51" s="35" t="s">
        <v>812</v>
      </c>
      <c r="AG51" s="52"/>
    </row>
    <row r="52" spans="1:33" ht="15">
      <c r="A52" s="43"/>
      <c r="AG52" s="52"/>
    </row>
    <row r="53" ht="15">
      <c r="AG53" s="52"/>
    </row>
    <row r="54" ht="15">
      <c r="AG54" s="52"/>
    </row>
    <row r="55" ht="15">
      <c r="AG55" s="52"/>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0">
      <selection activeCell="A10" sqref="A1:IV16384"/>
    </sheetView>
  </sheetViews>
  <sheetFormatPr defaultColWidth="9.7109375" defaultRowHeight="12.75"/>
  <cols>
    <col min="1" max="4" width="9.7109375" style="9" customWidth="1"/>
    <col min="5" max="5" width="17.00390625" style="9" customWidth="1"/>
    <col min="6" max="6" width="13.00390625" style="9" customWidth="1"/>
    <col min="7" max="7" width="13.140625" style="9" customWidth="1"/>
    <col min="8" max="8" width="13.00390625" style="9" customWidth="1"/>
    <col min="9" max="9" width="13.8515625" style="9" customWidth="1"/>
    <col min="10" max="10" width="22.8515625" style="9" bestFit="1" customWidth="1"/>
    <col min="11" max="11" width="15.421875" style="9" customWidth="1"/>
    <col min="12" max="12" width="15.28125" style="9" customWidth="1"/>
    <col min="13" max="13" width="10.8515625" style="9" bestFit="1" customWidth="1"/>
    <col min="14" max="14" width="16.8515625" style="9" customWidth="1"/>
    <col min="15" max="21" width="9.7109375" style="9" customWidth="1"/>
    <col min="22" max="22" width="14.140625" style="9" customWidth="1"/>
    <col min="23" max="23" width="9.7109375" style="9" customWidth="1"/>
    <col min="24" max="24" width="12.140625" style="9" customWidth="1"/>
    <col min="25" max="25" width="9.7109375" style="9" customWidth="1"/>
    <col min="26" max="26" width="15.7109375" style="9" customWidth="1"/>
    <col min="27" max="27" width="9.7109375" style="9" customWidth="1"/>
    <col min="28" max="28" width="13.7109375" style="9" customWidth="1"/>
    <col min="29" max="31" width="9.7109375" style="9" customWidth="1"/>
    <col min="32" max="32" width="13.140625" style="9" customWidth="1"/>
    <col min="33" max="34" width="9.7109375" style="9" customWidth="1"/>
    <col min="35" max="35" width="15.57421875" style="9" customWidth="1"/>
    <col min="36" max="36" width="9.7109375" style="9" customWidth="1"/>
    <col min="37" max="37" width="13.57421875" style="9" customWidth="1"/>
    <col min="38" max="38" width="9.7109375" style="9" customWidth="1"/>
    <col min="39" max="39" width="12.28125" style="9" customWidth="1"/>
    <col min="40" max="40" width="9.7109375" style="9" customWidth="1"/>
    <col min="41" max="41" width="12.57421875" style="9" customWidth="1"/>
    <col min="42" max="42" width="9.7109375" style="9" customWidth="1"/>
    <col min="43" max="43" width="16.140625" style="9" customWidth="1"/>
    <col min="44" max="16384" width="9.7109375" style="9" customWidth="1"/>
  </cols>
  <sheetData>
    <row r="1" ht="15"/>
    <row r="2" spans="2:43" ht="15.75">
      <c r="B2" s="103" t="str">
        <f>FUELU1!B3</f>
        <v>ESTIMATE Bill</v>
      </c>
      <c r="F2" s="341" t="s">
        <v>1558</v>
      </c>
      <c r="G2" s="378"/>
      <c r="H2" s="222"/>
      <c r="N2" s="35" t="s">
        <v>751</v>
      </c>
      <c r="S2" s="43" t="str">
        <f>+F2</f>
        <v>AEP GENERATING COMPANY</v>
      </c>
      <c r="AB2" s="35" t="s">
        <v>752</v>
      </c>
      <c r="AF2" s="377" t="str">
        <f>INSTRUCTIONS!$L$29&amp;" Bill"</f>
        <v>ESTIMATE Bill</v>
      </c>
      <c r="AJ2" s="169" t="str">
        <f>+F2</f>
        <v>AEP GENERATING COMPANY</v>
      </c>
      <c r="AK2" s="169"/>
      <c r="AL2" s="169"/>
      <c r="AQ2" s="32" t="s">
        <v>808</v>
      </c>
    </row>
    <row r="3" spans="6:43" ht="15.75">
      <c r="F3" s="341" t="s">
        <v>1584</v>
      </c>
      <c r="G3" s="378"/>
      <c r="H3" s="222"/>
      <c r="N3" s="35" t="str">
        <f>(INSTRUCTIONS!Q13)&amp;(" UNIT 2")</f>
        <v>JMJ UNIT 2</v>
      </c>
      <c r="S3" s="43" t="str">
        <f>+F3</f>
        <v>ROCKPORT PLANT UNIT NO. 2</v>
      </c>
      <c r="AB3" s="364">
        <f ca="1">TODAY()</f>
        <v>42975</v>
      </c>
      <c r="AJ3" s="169" t="s">
        <v>1584</v>
      </c>
      <c r="AK3" s="169"/>
      <c r="AL3" s="169"/>
      <c r="AQ3" s="364">
        <f ca="1">TODAY()</f>
        <v>42975</v>
      </c>
    </row>
    <row r="4" spans="6:37" ht="15.75">
      <c r="F4" s="341" t="s">
        <v>879</v>
      </c>
      <c r="G4" s="378"/>
      <c r="H4" s="222"/>
      <c r="N4" s="349">
        <f ca="1">TODAY()</f>
        <v>42975</v>
      </c>
      <c r="S4" s="98" t="s">
        <v>803</v>
      </c>
      <c r="AK4" s="38" t="s">
        <v>301</v>
      </c>
    </row>
    <row r="5" spans="6:37" ht="15.75">
      <c r="F5" s="341" t="str">
        <f>FUELU1!F6</f>
        <v>May, 2015</v>
      </c>
      <c r="G5" s="378"/>
      <c r="H5" s="222"/>
      <c r="N5" s="35" t="s">
        <v>922</v>
      </c>
      <c r="S5" s="43" t="str">
        <f>+F5</f>
        <v>May, 2015</v>
      </c>
      <c r="AK5" s="43" t="str">
        <f>+F5</f>
        <v>May, 2015</v>
      </c>
    </row>
    <row r="6" ht="15.75">
      <c r="AB6" s="71"/>
    </row>
    <row r="7" spans="9:28" ht="15.75">
      <c r="I7" s="9" t="s">
        <v>1557</v>
      </c>
      <c r="V7" s="38"/>
      <c r="X7" s="38" t="s">
        <v>1062</v>
      </c>
      <c r="Z7" s="38" t="s">
        <v>1063</v>
      </c>
      <c r="AB7" s="38"/>
    </row>
    <row r="8" spans="22:43" ht="15.75">
      <c r="V8" s="79"/>
      <c r="X8" s="79" t="s">
        <v>1074</v>
      </c>
      <c r="Z8" s="79" t="s">
        <v>1074</v>
      </c>
      <c r="AB8" s="79"/>
      <c r="AI8" s="38" t="s">
        <v>1064</v>
      </c>
      <c r="AJ8" s="43"/>
      <c r="AK8" s="38" t="s">
        <v>424</v>
      </c>
      <c r="AL8" s="43"/>
      <c r="AM8" s="38" t="s">
        <v>425</v>
      </c>
      <c r="AN8" s="43"/>
      <c r="AO8" s="38" t="s">
        <v>671</v>
      </c>
      <c r="AP8" s="43"/>
      <c r="AQ8" s="38" t="s">
        <v>672</v>
      </c>
    </row>
    <row r="9" spans="9:43" ht="15">
      <c r="I9" s="11"/>
      <c r="Q9" s="52" t="s">
        <v>612</v>
      </c>
      <c r="V9" s="37"/>
      <c r="X9" s="14">
        <f>+N41</f>
        <v>1936993</v>
      </c>
      <c r="Z9" s="14">
        <f>+N42</f>
        <v>4519616</v>
      </c>
      <c r="AB9" s="14"/>
      <c r="AI9" s="79" t="s">
        <v>1074</v>
      </c>
      <c r="AK9" s="79" t="s">
        <v>1074</v>
      </c>
      <c r="AM9" s="79" t="s">
        <v>1074</v>
      </c>
      <c r="AO9" s="79" t="s">
        <v>1074</v>
      </c>
      <c r="AQ9" s="79" t="s">
        <v>1074</v>
      </c>
    </row>
    <row r="10" spans="1:43" ht="15">
      <c r="A10" s="9" t="s">
        <v>614</v>
      </c>
      <c r="F10" s="14">
        <f>SUM(F11:F13)</f>
        <v>508484</v>
      </c>
      <c r="Q10" s="52"/>
      <c r="AD10" s="9" t="s">
        <v>613</v>
      </c>
      <c r="AI10" s="14">
        <f>+N37</f>
        <v>6456609.244899999</v>
      </c>
      <c r="AK10" s="14">
        <f>+N32</f>
        <v>5960006.35035</v>
      </c>
      <c r="AM10" s="14">
        <f>+N33</f>
        <v>156009.429</v>
      </c>
      <c r="AO10" s="14">
        <f>+N34</f>
        <v>292368.72555</v>
      </c>
      <c r="AQ10" s="14">
        <f>+N35</f>
        <v>48224.74</v>
      </c>
    </row>
    <row r="11" spans="1:42" ht="15.75">
      <c r="A11" s="9" t="s">
        <v>515</v>
      </c>
      <c r="F11" s="14">
        <f>FUELSCH!F70</f>
        <v>254242</v>
      </c>
      <c r="Q11" s="52" t="s">
        <v>615</v>
      </c>
      <c r="V11" s="37"/>
      <c r="X11" s="14">
        <f>+F13</f>
        <v>76273</v>
      </c>
      <c r="Z11" s="14">
        <f>+F12</f>
        <v>177969</v>
      </c>
      <c r="AB11" s="14"/>
      <c r="AP11" s="43"/>
    </row>
    <row r="12" spans="1:43" ht="15">
      <c r="A12" s="9" t="s">
        <v>517</v>
      </c>
      <c r="F12" s="14">
        <f>FUELSCH!D72</f>
        <v>177969</v>
      </c>
      <c r="I12" s="9" t="s">
        <v>1557</v>
      </c>
      <c r="Q12" s="52"/>
      <c r="V12" s="79"/>
      <c r="X12" s="79" t="s">
        <v>1074</v>
      </c>
      <c r="Z12" s="79" t="s">
        <v>1074</v>
      </c>
      <c r="AB12" s="79"/>
      <c r="AD12" s="9" t="s">
        <v>516</v>
      </c>
      <c r="AI12" s="387">
        <f>IF(F10=0,"0",ROUND((AI10/AI10),6))</f>
        <v>1</v>
      </c>
      <c r="AJ12" s="32"/>
      <c r="AK12" s="387">
        <f>IF(F10=0,"0",ROUND((AK10/AI10),6))</f>
        <v>0.923086</v>
      </c>
      <c r="AL12" s="32"/>
      <c r="AM12" s="387">
        <f>IF(F10=0,"0",ROUND((AM10/AI10),6))</f>
        <v>0.024163</v>
      </c>
      <c r="AN12" s="32"/>
      <c r="AO12" s="387">
        <f>IF(F10=0,"0",ROUND((AO10/AI10),6))</f>
        <v>0.045282</v>
      </c>
      <c r="AQ12" s="80">
        <f>AI12-AK12-AM12-AO12</f>
        <v>0.007469000000000031</v>
      </c>
    </row>
    <row r="13" spans="1:28" ht="15">
      <c r="A13" s="9" t="s">
        <v>519</v>
      </c>
      <c r="F13" s="14">
        <f>FUELSCH!D71</f>
        <v>76273</v>
      </c>
      <c r="I13" s="9" t="s">
        <v>1557</v>
      </c>
      <c r="Q13" s="52" t="s">
        <v>518</v>
      </c>
      <c r="V13" s="380"/>
      <c r="X13" s="380">
        <f>IF(F10=0,"0",ROUND((X9/X11),3))</f>
        <v>25.396</v>
      </c>
      <c r="Z13" s="380">
        <f>IF(F10=0,"0",ROUND((Z9/Z11),3))</f>
        <v>25.396</v>
      </c>
      <c r="AB13" s="380"/>
    </row>
    <row r="14" spans="6:17" ht="15">
      <c r="F14" s="14"/>
      <c r="Q14" s="52"/>
    </row>
    <row r="15" ht="15">
      <c r="Q15" s="52"/>
    </row>
    <row r="16" spans="32:43" ht="15">
      <c r="AF16" s="14"/>
      <c r="AG16" s="35"/>
      <c r="AI16" s="37"/>
      <c r="AK16" s="14"/>
      <c r="AM16" s="14"/>
      <c r="AO16" s="14"/>
      <c r="AQ16" s="14"/>
    </row>
    <row r="17" spans="30:43" ht="15">
      <c r="AD17" s="9" t="s">
        <v>1062</v>
      </c>
      <c r="AF17" s="14">
        <f>+F13</f>
        <v>76273</v>
      </c>
      <c r="AG17" s="35" t="s">
        <v>1205</v>
      </c>
      <c r="AI17" s="37">
        <f>+N41</f>
        <v>1936993</v>
      </c>
      <c r="AK17" s="14">
        <f>ROUND((AI17*AK12),0)</f>
        <v>1788011</v>
      </c>
      <c r="AM17" s="14">
        <f>ROUND((AI17*AM12),0)</f>
        <v>46804</v>
      </c>
      <c r="AO17" s="14">
        <f>ROUND((AI17*AO12),0)</f>
        <v>87711</v>
      </c>
      <c r="AQ17" s="14">
        <f>ROUND((AI17*AQ12),0)</f>
        <v>14467</v>
      </c>
    </row>
    <row r="18" spans="30:43" ht="15">
      <c r="AD18" s="9" t="s">
        <v>1713</v>
      </c>
      <c r="AF18" s="14">
        <f>+F12</f>
        <v>177969</v>
      </c>
      <c r="AG18" s="35" t="s">
        <v>1205</v>
      </c>
      <c r="AI18" s="37">
        <f>+N42</f>
        <v>4519616</v>
      </c>
      <c r="AK18" s="14">
        <f>AK10-AK17</f>
        <v>4171995.35035</v>
      </c>
      <c r="AM18" s="14">
        <f>AM10-AM17</f>
        <v>109205.429</v>
      </c>
      <c r="AO18" s="14">
        <f>AO10-AO17</f>
        <v>204657.72554999997</v>
      </c>
      <c r="AQ18" s="14">
        <f>AQ10-AQ17</f>
        <v>33757.74</v>
      </c>
    </row>
    <row r="19" spans="35:43" ht="15">
      <c r="AI19" s="79" t="s">
        <v>1074</v>
      </c>
      <c r="AK19" s="79" t="s">
        <v>1074</v>
      </c>
      <c r="AM19" s="79" t="s">
        <v>1074</v>
      </c>
      <c r="AO19" s="79" t="s">
        <v>1074</v>
      </c>
      <c r="AQ19" s="79" t="s">
        <v>1074</v>
      </c>
    </row>
    <row r="20" spans="1:43" ht="15">
      <c r="A20" s="35" t="s">
        <v>1720</v>
      </c>
      <c r="B20" s="52" t="s">
        <v>1721</v>
      </c>
      <c r="L20" s="14">
        <f>SUM(N32:N34)</f>
        <v>6408384.504899999</v>
      </c>
      <c r="Q20" s="52" t="s">
        <v>521</v>
      </c>
      <c r="V20" s="14">
        <f>+F12</f>
        <v>177969</v>
      </c>
      <c r="W20" s="35" t="s">
        <v>520</v>
      </c>
      <c r="X20" s="9">
        <f>+J48</f>
        <v>25.395525699530367</v>
      </c>
      <c r="Z20" s="35" t="s">
        <v>1572</v>
      </c>
      <c r="AB20" s="14">
        <f>ROUND((V20*X20),0)</f>
        <v>4519616</v>
      </c>
      <c r="AD20" s="9" t="s">
        <v>1017</v>
      </c>
      <c r="AI20" s="14">
        <f>AI17+AI18</f>
        <v>6456609</v>
      </c>
      <c r="AK20" s="14">
        <f>AK17+AK18</f>
        <v>5960006.35035</v>
      </c>
      <c r="AM20" s="14">
        <f>AM17+AM18</f>
        <v>156009.429</v>
      </c>
      <c r="AO20" s="14">
        <f>AO17+AO18</f>
        <v>292368.72555</v>
      </c>
      <c r="AQ20" s="14">
        <f>AQ17+AQ18</f>
        <v>48224.74</v>
      </c>
    </row>
    <row r="21" spans="2:43" ht="15">
      <c r="B21" s="52" t="s">
        <v>214</v>
      </c>
      <c r="L21" s="14">
        <f>+N35</f>
        <v>48224.74</v>
      </c>
      <c r="AB21" s="79" t="s">
        <v>1572</v>
      </c>
      <c r="AI21" s="79" t="s">
        <v>1572</v>
      </c>
      <c r="AK21" s="79" t="s">
        <v>1572</v>
      </c>
      <c r="AM21" s="79" t="s">
        <v>1572</v>
      </c>
      <c r="AO21" s="79" t="s">
        <v>1572</v>
      </c>
      <c r="AQ21" s="79" t="s">
        <v>1572</v>
      </c>
    </row>
    <row r="22" spans="2:43" ht="15">
      <c r="B22" s="52"/>
      <c r="AI22" s="388"/>
      <c r="AJ22" s="388"/>
      <c r="AK22" s="388"/>
      <c r="AL22" s="388"/>
      <c r="AM22" s="388"/>
      <c r="AN22" s="388"/>
      <c r="AO22" s="388"/>
      <c r="AP22" s="388"/>
      <c r="AQ22" s="388"/>
    </row>
    <row r="23" spans="2:43" ht="15.75">
      <c r="B23" s="52"/>
      <c r="C23" s="52" t="s">
        <v>900</v>
      </c>
      <c r="N23" s="14">
        <f>+N32</f>
        <v>5960006.35035</v>
      </c>
      <c r="AM23" s="56"/>
      <c r="AN23" s="56"/>
      <c r="AO23" s="56"/>
      <c r="AP23" s="56"/>
      <c r="AQ23" s="38"/>
    </row>
    <row r="24" spans="2:44" ht="15.75">
      <c r="B24" s="52"/>
      <c r="C24" s="52" t="s">
        <v>1618</v>
      </c>
      <c r="N24" s="14">
        <f>+N33</f>
        <v>156009.429</v>
      </c>
      <c r="Q24" s="52" t="s">
        <v>215</v>
      </c>
      <c r="V24" s="14">
        <f>+F13</f>
        <v>76273</v>
      </c>
      <c r="W24" s="35" t="s">
        <v>520</v>
      </c>
      <c r="X24" s="9">
        <f>+J48</f>
        <v>25.395525699530367</v>
      </c>
      <c r="Z24" s="35" t="s">
        <v>1572</v>
      </c>
      <c r="AB24" s="14">
        <f>ROUND((V24*X24),0)</f>
        <v>1936993</v>
      </c>
      <c r="AI24" s="389" t="s">
        <v>1018</v>
      </c>
      <c r="AJ24" s="389"/>
      <c r="AK24" s="389"/>
      <c r="AL24" s="389"/>
      <c r="AM24" s="389"/>
      <c r="AN24" s="389"/>
      <c r="AO24" s="389"/>
      <c r="AP24" s="389"/>
      <c r="AQ24" s="389"/>
      <c r="AR24" s="389"/>
    </row>
    <row r="25" spans="2:28" ht="15">
      <c r="B25" s="52"/>
      <c r="C25" s="52" t="s">
        <v>1221</v>
      </c>
      <c r="N25" s="14">
        <f>+N34</f>
        <v>292368.72555</v>
      </c>
      <c r="AB25" s="79" t="s">
        <v>1572</v>
      </c>
    </row>
    <row r="26" spans="2:43" ht="15.75">
      <c r="B26" s="52"/>
      <c r="C26" s="52" t="s">
        <v>1427</v>
      </c>
      <c r="N26" s="14">
        <f>+N35</f>
        <v>48224.74</v>
      </c>
      <c r="AI26" s="43"/>
      <c r="AJ26" s="43"/>
      <c r="AK26" s="38" t="s">
        <v>48</v>
      </c>
      <c r="AL26" s="43"/>
      <c r="AM26" s="38" t="s">
        <v>48</v>
      </c>
      <c r="AN26" s="43"/>
      <c r="AO26" s="43"/>
      <c r="AP26" s="43"/>
      <c r="AQ26" s="43"/>
    </row>
    <row r="27" spans="2:43" ht="15.75">
      <c r="B27" s="52"/>
      <c r="AI27" s="38" t="s">
        <v>1064</v>
      </c>
      <c r="AJ27" s="43"/>
      <c r="AK27" s="38" t="s">
        <v>424</v>
      </c>
      <c r="AL27" s="43"/>
      <c r="AM27" s="38" t="s">
        <v>425</v>
      </c>
      <c r="AN27" s="43"/>
      <c r="AO27" s="38" t="s">
        <v>132</v>
      </c>
      <c r="AP27" s="43"/>
      <c r="AQ27" s="38" t="s">
        <v>802</v>
      </c>
    </row>
    <row r="28" spans="2:43" ht="15">
      <c r="B28" s="52" t="s">
        <v>1905</v>
      </c>
      <c r="S28" s="52" t="s">
        <v>1007</v>
      </c>
      <c r="AB28" s="14">
        <f>AB24+AB20</f>
        <v>6456609</v>
      </c>
      <c r="AI28" s="79" t="s">
        <v>1074</v>
      </c>
      <c r="AK28" s="79" t="s">
        <v>1074</v>
      </c>
      <c r="AM28" s="79" t="s">
        <v>1074</v>
      </c>
      <c r="AO28" s="79" t="s">
        <v>1074</v>
      </c>
      <c r="AQ28" s="79" t="s">
        <v>1074</v>
      </c>
    </row>
    <row r="29" spans="2:43" ht="15.75">
      <c r="B29" s="52"/>
      <c r="J29" s="189">
        <f>F32*H32</f>
        <v>144529.5</v>
      </c>
      <c r="N29" s="38"/>
      <c r="AB29" s="79" t="s">
        <v>1572</v>
      </c>
      <c r="AI29" s="14"/>
      <c r="AK29" s="14"/>
      <c r="AM29" s="14"/>
      <c r="AO29" s="14"/>
      <c r="AQ29" s="14"/>
    </row>
    <row r="30" spans="2:14" ht="15.75">
      <c r="B30" s="52"/>
      <c r="J30" s="352">
        <v>0</v>
      </c>
      <c r="K30" s="52" t="s">
        <v>1293</v>
      </c>
      <c r="N30" s="38"/>
    </row>
    <row r="31" spans="2:14" ht="15.75">
      <c r="B31" s="52"/>
      <c r="F31" s="283" t="s">
        <v>775</v>
      </c>
      <c r="H31" s="283" t="s">
        <v>776</v>
      </c>
      <c r="J31" s="79" t="s">
        <v>1074</v>
      </c>
      <c r="L31" s="381" t="s">
        <v>564</v>
      </c>
      <c r="N31" s="38"/>
    </row>
    <row r="32" spans="2:43" ht="15">
      <c r="B32" s="52" t="s">
        <v>826</v>
      </c>
      <c r="F32" s="143">
        <f>-FUELSCH!E14</f>
        <v>289059</v>
      </c>
      <c r="G32" s="35" t="s">
        <v>520</v>
      </c>
      <c r="H32" s="383">
        <v>0.5</v>
      </c>
      <c r="I32" s="35" t="s">
        <v>1572</v>
      </c>
      <c r="J32" s="382">
        <f>J29+J30</f>
        <v>144529.5</v>
      </c>
      <c r="K32" s="35" t="s">
        <v>520</v>
      </c>
      <c r="L32" s="384">
        <v>41.2373</v>
      </c>
      <c r="M32" s="35" t="s">
        <v>1572</v>
      </c>
      <c r="N32" s="14">
        <f>J32*L32</f>
        <v>5960006.35035</v>
      </c>
      <c r="P32" s="9" t="s">
        <v>1557</v>
      </c>
      <c r="AE32" s="9" t="s">
        <v>1062</v>
      </c>
      <c r="AI32" s="14">
        <f>+AB24</f>
        <v>1936993</v>
      </c>
      <c r="AK32" s="14">
        <f>ROUND(((N32/G48)*F13),0)</f>
        <v>1788011</v>
      </c>
      <c r="AM32" s="14">
        <f>ROUND(((N33/G48)*F13),0)</f>
        <v>46803</v>
      </c>
      <c r="AO32" s="14">
        <f>ROUND(((N34/G48)*F13),0)</f>
        <v>87711</v>
      </c>
      <c r="AQ32" s="14">
        <f>AI32-AK32-AM32-AO32</f>
        <v>14468</v>
      </c>
    </row>
    <row r="33" spans="2:14" ht="15">
      <c r="B33" s="52" t="s">
        <v>1256</v>
      </c>
      <c r="F33" s="143">
        <f>-FUELSCH!E30-FUELSCH!E31</f>
        <v>131598</v>
      </c>
      <c r="G33" s="35" t="s">
        <v>520</v>
      </c>
      <c r="H33" s="383">
        <v>0.5</v>
      </c>
      <c r="I33" s="35" t="s">
        <v>1572</v>
      </c>
      <c r="J33" s="382">
        <f>ROUND((F33*H33),1)</f>
        <v>65799</v>
      </c>
      <c r="K33" s="35" t="s">
        <v>520</v>
      </c>
      <c r="L33" s="384">
        <v>2.371</v>
      </c>
      <c r="M33" s="35" t="s">
        <v>1572</v>
      </c>
      <c r="N33" s="14">
        <f>J33*L33</f>
        <v>156009.429</v>
      </c>
    </row>
    <row r="34" spans="2:14" ht="15">
      <c r="B34" s="52" t="s">
        <v>702</v>
      </c>
      <c r="F34" s="14">
        <f>+F32</f>
        <v>289059</v>
      </c>
      <c r="G34" s="35" t="s">
        <v>520</v>
      </c>
      <c r="H34" s="383">
        <f>H32</f>
        <v>0.5</v>
      </c>
      <c r="I34" s="35" t="s">
        <v>1572</v>
      </c>
      <c r="J34" s="382">
        <f>J29+J30</f>
        <v>144529.5</v>
      </c>
      <c r="K34" s="35" t="s">
        <v>520</v>
      </c>
      <c r="L34" s="384">
        <v>2.0229</v>
      </c>
      <c r="M34" s="35" t="s">
        <v>1572</v>
      </c>
      <c r="N34" s="14">
        <f>J34*L34</f>
        <v>292368.72555</v>
      </c>
    </row>
    <row r="35" spans="2:43" ht="15">
      <c r="B35" s="52" t="s">
        <v>838</v>
      </c>
      <c r="E35" s="9" t="s">
        <v>565</v>
      </c>
      <c r="N35" s="13">
        <v>48224.74</v>
      </c>
      <c r="AE35" s="9" t="s">
        <v>1063</v>
      </c>
      <c r="AI35" s="14">
        <f>+AB20</f>
        <v>4519616</v>
      </c>
      <c r="AK35" s="14">
        <f>ROUND(((N32/G48)*F12),0)</f>
        <v>4171995</v>
      </c>
      <c r="AM35" s="14">
        <f>ROUND(((N33/G48)*F12),0)</f>
        <v>109206</v>
      </c>
      <c r="AO35" s="14">
        <f>ROUND(((N34/G48)*F12),0)</f>
        <v>204658</v>
      </c>
      <c r="AQ35" s="14">
        <f>AI35-AK35-AM35-AO35</f>
        <v>33757</v>
      </c>
    </row>
    <row r="36" spans="2:43" ht="15">
      <c r="B36" s="52"/>
      <c r="F36" s="35"/>
      <c r="I36" s="171"/>
      <c r="J36" s="171"/>
      <c r="K36" s="171"/>
      <c r="L36" s="171"/>
      <c r="N36" s="33"/>
      <c r="O36" s="14"/>
      <c r="AI36" s="79" t="s">
        <v>1074</v>
      </c>
      <c r="AK36" s="79" t="s">
        <v>1074</v>
      </c>
      <c r="AM36" s="79" t="s">
        <v>1074</v>
      </c>
      <c r="AO36" s="79" t="s">
        <v>1074</v>
      </c>
      <c r="AQ36" s="79" t="s">
        <v>1074</v>
      </c>
    </row>
    <row r="37" spans="2:14" ht="15">
      <c r="B37" s="52"/>
      <c r="N37" s="14">
        <f>SUM(N32:N35)</f>
        <v>6456609.244899999</v>
      </c>
    </row>
    <row r="38" spans="2:43" ht="15">
      <c r="B38" s="52"/>
      <c r="N38" s="33" t="s">
        <v>1572</v>
      </c>
      <c r="AE38" s="9" t="s">
        <v>703</v>
      </c>
      <c r="AI38" s="14">
        <f>AI32+AI35</f>
        <v>6456609</v>
      </c>
      <c r="AK38" s="14">
        <f>AK32+AK35</f>
        <v>5960006</v>
      </c>
      <c r="AM38" s="14">
        <f>AM32+AM35</f>
        <v>156009</v>
      </c>
      <c r="AO38" s="14">
        <f>AO32+AO35</f>
        <v>292369</v>
      </c>
      <c r="AQ38" s="14">
        <f>AQ32+AQ35</f>
        <v>48225</v>
      </c>
    </row>
    <row r="39" spans="2:43" ht="15">
      <c r="B39" s="52"/>
      <c r="AI39" s="79" t="s">
        <v>1572</v>
      </c>
      <c r="AK39" s="79" t="s">
        <v>1572</v>
      </c>
      <c r="AM39" s="79" t="s">
        <v>1572</v>
      </c>
      <c r="AO39" s="79" t="s">
        <v>1572</v>
      </c>
      <c r="AQ39" s="79" t="s">
        <v>1572</v>
      </c>
    </row>
    <row r="40" spans="2:14" ht="15">
      <c r="B40" s="52"/>
      <c r="E40" s="14"/>
      <c r="F40" s="35"/>
      <c r="G40" s="14"/>
      <c r="H40" s="35"/>
      <c r="I40" s="14"/>
      <c r="M40" s="35"/>
      <c r="N40" s="30"/>
    </row>
    <row r="41" spans="2:14" ht="15">
      <c r="B41" s="52" t="s">
        <v>1062</v>
      </c>
      <c r="E41" s="14">
        <f>+F13</f>
        <v>76273</v>
      </c>
      <c r="F41" s="35" t="s">
        <v>1484</v>
      </c>
      <c r="G41" s="14">
        <f>SUM(F12:F13)</f>
        <v>254242</v>
      </c>
      <c r="H41" s="35" t="s">
        <v>520</v>
      </c>
      <c r="I41" s="14">
        <f>+N37</f>
        <v>6456609.244899999</v>
      </c>
      <c r="M41" s="35" t="s">
        <v>1572</v>
      </c>
      <c r="N41" s="30">
        <f>IF(F10=0,"0",ROUND(((E41/G41)*I41),0))</f>
        <v>1936993</v>
      </c>
    </row>
    <row r="42" spans="2:39" ht="15">
      <c r="B42" s="52" t="s">
        <v>1063</v>
      </c>
      <c r="E42" s="14">
        <f>+F12</f>
        <v>177969</v>
      </c>
      <c r="F42" s="35" t="s">
        <v>1484</v>
      </c>
      <c r="G42" s="14">
        <f>SUM(F12:F13)</f>
        <v>254242</v>
      </c>
      <c r="H42" s="35" t="s">
        <v>520</v>
      </c>
      <c r="I42" s="14">
        <f>+N37</f>
        <v>6456609.244899999</v>
      </c>
      <c r="M42" s="35" t="s">
        <v>1572</v>
      </c>
      <c r="N42" s="30">
        <f>IF(F10=0,"0",ROUND(((E42/G42)*I42),0))</f>
        <v>4519616</v>
      </c>
      <c r="AE42" s="35"/>
      <c r="AI42" s="14"/>
      <c r="AJ42" s="35"/>
      <c r="AM42" s="159"/>
    </row>
    <row r="43" spans="2:39" ht="15">
      <c r="B43" s="52"/>
      <c r="N43" s="33" t="s">
        <v>1074</v>
      </c>
      <c r="AM43" s="79"/>
    </row>
    <row r="44" spans="2:14" ht="15">
      <c r="B44" s="52"/>
      <c r="N44" s="14">
        <f>N37</f>
        <v>6456609.244899999</v>
      </c>
    </row>
    <row r="45" spans="2:14" ht="15">
      <c r="B45" s="52"/>
      <c r="N45" s="79" t="s">
        <v>1572</v>
      </c>
    </row>
    <row r="46" ht="15">
      <c r="B46" s="52"/>
    </row>
    <row r="47" ht="15">
      <c r="B47" s="52"/>
    </row>
    <row r="48" spans="2:11" ht="15">
      <c r="B48" s="52"/>
      <c r="E48" s="14">
        <f>+N37</f>
        <v>6456609.244899999</v>
      </c>
      <c r="F48" s="35" t="s">
        <v>1484</v>
      </c>
      <c r="G48" s="14">
        <f>SUM(F12:F13)</f>
        <v>254242</v>
      </c>
      <c r="H48" s="35" t="s">
        <v>1205</v>
      </c>
      <c r="I48" s="35" t="s">
        <v>1572</v>
      </c>
      <c r="J48" s="390">
        <f>IF(F10=0,"0",(E48/G48))</f>
        <v>25.395525699530367</v>
      </c>
      <c r="K48" s="35" t="s">
        <v>1583</v>
      </c>
    </row>
    <row r="50" ht="15">
      <c r="B50" s="52"/>
    </row>
    <row r="51" ht="15">
      <c r="AD51" s="35"/>
    </row>
    <row r="53" ht="15">
      <c r="A53" s="43"/>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30">
      <selection activeCell="A161" sqref="A1:IV161"/>
    </sheetView>
  </sheetViews>
  <sheetFormatPr defaultColWidth="9.7109375" defaultRowHeight="12.75"/>
  <cols>
    <col min="1" max="1" width="9.7109375" style="97" customWidth="1"/>
    <col min="2" max="2" width="11.7109375" style="9" customWidth="1"/>
    <col min="3" max="3" width="12.140625" style="9" bestFit="1" customWidth="1"/>
    <col min="4" max="4" width="47.57421875" style="9" customWidth="1"/>
    <col min="5" max="5" width="20.7109375" style="9" customWidth="1"/>
    <col min="6" max="6" width="9.7109375" style="9" customWidth="1"/>
    <col min="7" max="7" width="20.8515625" style="9" customWidth="1"/>
    <col min="8" max="8" width="7.7109375" style="9" customWidth="1"/>
    <col min="9" max="9" width="21.00390625" style="141" customWidth="1"/>
    <col min="10" max="10" width="47.8515625" style="53" customWidth="1"/>
    <col min="11" max="11" width="12.140625" style="9" customWidth="1"/>
    <col min="12" max="12" width="13.7109375" style="9" bestFit="1" customWidth="1"/>
    <col min="13" max="16384" width="9.7109375" style="9" customWidth="1"/>
  </cols>
  <sheetData>
    <row r="1" ht="15">
      <c r="A1" s="95"/>
    </row>
    <row r="2" spans="1:10" ht="15.75">
      <c r="A2" s="96"/>
      <c r="C2" s="169" t="s">
        <v>312</v>
      </c>
      <c r="D2" s="169"/>
      <c r="E2" s="169"/>
      <c r="I2" s="146" t="s">
        <v>1752</v>
      </c>
      <c r="J2" s="53" t="s">
        <v>1557</v>
      </c>
    </row>
    <row r="3" spans="3:9" ht="15.75">
      <c r="C3" s="98" t="s">
        <v>951</v>
      </c>
      <c r="D3" s="43"/>
      <c r="I3" s="146" t="str">
        <f>INSTRUCTIONS!Q13</f>
        <v>JMJ</v>
      </c>
    </row>
    <row r="4" spans="3:9" ht="15.75">
      <c r="C4" s="99" t="s">
        <v>1557</v>
      </c>
      <c r="D4" s="10" t="str">
        <f>INSTRUCTIONS!L7</f>
        <v>May, 2015</v>
      </c>
      <c r="F4" s="43"/>
      <c r="G4" s="38"/>
      <c r="H4" s="43"/>
      <c r="I4" s="147">
        <f ca="1">TODAY()</f>
        <v>42975</v>
      </c>
    </row>
    <row r="5" spans="1:10" ht="15.75" customHeight="1">
      <c r="A5" s="100" t="s">
        <v>1399</v>
      </c>
      <c r="B5" s="91"/>
      <c r="C5" s="91"/>
      <c r="D5" s="91"/>
      <c r="E5" s="91"/>
      <c r="F5" s="91"/>
      <c r="G5" s="91"/>
      <c r="H5" s="91"/>
      <c r="I5" s="91"/>
      <c r="J5" s="91"/>
    </row>
    <row r="6" spans="1:10" ht="15.75" customHeight="1">
      <c r="A6" s="100" t="s">
        <v>1400</v>
      </c>
      <c r="B6" s="91"/>
      <c r="C6" s="91"/>
      <c r="D6" s="91"/>
      <c r="E6" s="91"/>
      <c r="F6" s="91"/>
      <c r="G6" s="91"/>
      <c r="H6" s="91"/>
      <c r="I6" s="91"/>
      <c r="J6" s="91"/>
    </row>
    <row r="7" spans="3:10" ht="15.75">
      <c r="C7" s="169"/>
      <c r="D7" s="169"/>
      <c r="E7" s="169"/>
      <c r="F7" s="43"/>
      <c r="G7" s="38"/>
      <c r="H7" s="43"/>
      <c r="J7" s="54"/>
    </row>
    <row r="8" spans="1:10" ht="15.75">
      <c r="A8" s="101" t="s">
        <v>1597</v>
      </c>
      <c r="B8" s="43"/>
      <c r="C8" s="43"/>
      <c r="D8" s="43"/>
      <c r="E8" s="43"/>
      <c r="F8" s="43"/>
      <c r="G8" s="10" t="str">
        <f>D4</f>
        <v>May, 2015</v>
      </c>
      <c r="H8" s="38"/>
      <c r="I8" s="148" t="str">
        <f>+G8</f>
        <v>May, 2015</v>
      </c>
      <c r="J8" s="54"/>
    </row>
    <row r="9" spans="1:10" ht="15.75">
      <c r="A9" s="102" t="s">
        <v>1598</v>
      </c>
      <c r="B9" s="103"/>
      <c r="C9" s="103" t="s">
        <v>1599</v>
      </c>
      <c r="D9" s="103"/>
      <c r="E9" s="34" t="s">
        <v>1600</v>
      </c>
      <c r="F9" s="103"/>
      <c r="G9" s="34" t="s">
        <v>1638</v>
      </c>
      <c r="H9" s="34"/>
      <c r="I9" s="149" t="s">
        <v>1601</v>
      </c>
      <c r="J9" s="54"/>
    </row>
    <row r="10" ht="15.75">
      <c r="I10" s="150"/>
    </row>
    <row r="11" spans="1:9" ht="15">
      <c r="A11" s="97">
        <v>2</v>
      </c>
      <c r="C11" s="9" t="s">
        <v>1602</v>
      </c>
      <c r="E11" s="35"/>
      <c r="G11" s="143"/>
      <c r="I11" s="140"/>
    </row>
    <row r="12" spans="3:11" ht="15">
      <c r="C12" s="9" t="s">
        <v>149</v>
      </c>
      <c r="E12" s="35" t="s">
        <v>150</v>
      </c>
      <c r="G12" s="13">
        <v>12500</v>
      </c>
      <c r="H12" s="13"/>
      <c r="I12" s="13">
        <v>12500</v>
      </c>
      <c r="J12" s="104" t="s">
        <v>409</v>
      </c>
      <c r="K12" s="14"/>
    </row>
    <row r="13" spans="7:9" ht="15">
      <c r="G13" s="44"/>
      <c r="I13" s="44"/>
    </row>
    <row r="14" spans="1:10" ht="15">
      <c r="A14" s="97">
        <v>3</v>
      </c>
      <c r="C14" s="9" t="s">
        <v>509</v>
      </c>
      <c r="E14" s="35" t="s">
        <v>546</v>
      </c>
      <c r="G14" s="44">
        <v>0</v>
      </c>
      <c r="I14" s="44">
        <v>0</v>
      </c>
      <c r="J14" s="52" t="s">
        <v>546</v>
      </c>
    </row>
    <row r="15" spans="5:10" ht="15">
      <c r="E15" s="35"/>
      <c r="G15" s="13"/>
      <c r="I15" s="13"/>
      <c r="J15" s="52"/>
    </row>
    <row r="16" spans="1:9" ht="15">
      <c r="A16" s="97">
        <v>4</v>
      </c>
      <c r="C16" s="9" t="s">
        <v>1647</v>
      </c>
      <c r="G16" s="44"/>
      <c r="I16" s="44"/>
    </row>
    <row r="17" spans="3:11" ht="15">
      <c r="C17" s="9" t="s">
        <v>1011</v>
      </c>
      <c r="E17" s="35" t="s">
        <v>150</v>
      </c>
      <c r="G17" s="13">
        <v>-24500</v>
      </c>
      <c r="I17" s="13">
        <v>-24500</v>
      </c>
      <c r="J17" s="104" t="s">
        <v>410</v>
      </c>
      <c r="K17" s="14"/>
    </row>
    <row r="18" spans="1:9" ht="15">
      <c r="A18" s="97">
        <v>5</v>
      </c>
      <c r="C18" s="9" t="s">
        <v>1012</v>
      </c>
      <c r="E18" s="45" t="s">
        <v>150</v>
      </c>
      <c r="I18" s="9"/>
    </row>
    <row r="19" spans="3:11" ht="15">
      <c r="C19" s="9" t="s">
        <v>56</v>
      </c>
      <c r="G19" s="140">
        <v>0</v>
      </c>
      <c r="I19" s="140">
        <v>0</v>
      </c>
      <c r="J19" s="9" t="s">
        <v>1145</v>
      </c>
      <c r="K19" s="14"/>
    </row>
    <row r="20" spans="3:11" ht="15">
      <c r="C20" s="9" t="s">
        <v>1013</v>
      </c>
      <c r="E20" s="35"/>
      <c r="G20" s="13">
        <v>-74000</v>
      </c>
      <c r="I20" s="13">
        <v>-74000</v>
      </c>
      <c r="J20" s="53" t="s">
        <v>24</v>
      </c>
      <c r="K20" s="14"/>
    </row>
    <row r="21" spans="3:11" ht="15">
      <c r="C21" s="9" t="s">
        <v>44</v>
      </c>
      <c r="E21" s="35"/>
      <c r="G21" s="13">
        <v>764000</v>
      </c>
      <c r="I21" s="13">
        <v>764000</v>
      </c>
      <c r="J21" s="53" t="s">
        <v>411</v>
      </c>
      <c r="K21" s="14"/>
    </row>
    <row r="22" spans="3:11" ht="15">
      <c r="C22" s="9" t="s">
        <v>187</v>
      </c>
      <c r="E22" s="35"/>
      <c r="G22" s="140">
        <v>-299175.72</v>
      </c>
      <c r="I22" s="140">
        <v>43003</v>
      </c>
      <c r="J22" s="53" t="s">
        <v>86</v>
      </c>
      <c r="K22" s="14"/>
    </row>
    <row r="23" spans="3:11" ht="15">
      <c r="C23" s="9" t="s">
        <v>130</v>
      </c>
      <c r="E23" s="35"/>
      <c r="G23" s="140">
        <v>435</v>
      </c>
      <c r="I23" s="140">
        <v>435</v>
      </c>
      <c r="J23" s="53" t="s">
        <v>95</v>
      </c>
      <c r="K23" s="14"/>
    </row>
    <row r="24" spans="3:11" ht="15">
      <c r="C24" s="9" t="s">
        <v>1386</v>
      </c>
      <c r="E24" s="35"/>
      <c r="G24" s="140">
        <v>0</v>
      </c>
      <c r="H24" s="32"/>
      <c r="I24" s="140">
        <v>0</v>
      </c>
      <c r="J24" s="53" t="s">
        <v>400</v>
      </c>
      <c r="K24" s="14"/>
    </row>
    <row r="25" spans="3:11" ht="15">
      <c r="C25" s="9" t="s">
        <v>1211</v>
      </c>
      <c r="E25" s="35"/>
      <c r="G25" s="140">
        <v>7285.89</v>
      </c>
      <c r="I25" s="140">
        <v>7285.89</v>
      </c>
      <c r="J25" s="53" t="s">
        <v>569</v>
      </c>
      <c r="K25" s="14"/>
    </row>
    <row r="26" spans="3:11" ht="15">
      <c r="C26" s="9" t="s">
        <v>560</v>
      </c>
      <c r="E26" s="35"/>
      <c r="G26" s="140">
        <v>0</v>
      </c>
      <c r="H26" s="90"/>
      <c r="I26" s="140">
        <v>0</v>
      </c>
      <c r="J26" s="53" t="s">
        <v>1587</v>
      </c>
      <c r="K26" s="14"/>
    </row>
    <row r="27" spans="5:11" ht="15">
      <c r="E27" s="35"/>
      <c r="G27" s="140">
        <v>86000</v>
      </c>
      <c r="I27" s="140">
        <v>86000</v>
      </c>
      <c r="J27" s="53" t="s">
        <v>1931</v>
      </c>
      <c r="K27" s="14"/>
    </row>
    <row r="28" spans="3:11" ht="15">
      <c r="C28" s="9" t="s">
        <v>1374</v>
      </c>
      <c r="E28" s="35"/>
      <c r="G28" s="140">
        <v>665</v>
      </c>
      <c r="I28" s="140">
        <v>880</v>
      </c>
      <c r="J28" s="53" t="s">
        <v>60</v>
      </c>
      <c r="K28" s="14"/>
    </row>
    <row r="29" spans="3:14" ht="15.75">
      <c r="C29" s="9" t="s">
        <v>1401</v>
      </c>
      <c r="E29" s="35"/>
      <c r="G29" s="140">
        <v>0</v>
      </c>
      <c r="I29" s="140">
        <v>-66000</v>
      </c>
      <c r="J29" s="53" t="s">
        <v>1341</v>
      </c>
      <c r="K29" s="14"/>
      <c r="L29" s="105"/>
      <c r="M29" s="106"/>
      <c r="N29" s="106"/>
    </row>
    <row r="30" spans="3:11" ht="15">
      <c r="C30" s="9" t="s">
        <v>653</v>
      </c>
      <c r="D30" s="9" t="s">
        <v>653</v>
      </c>
      <c r="G30" s="140">
        <v>19183</v>
      </c>
      <c r="I30" s="140">
        <v>19082</v>
      </c>
      <c r="J30" s="53" t="s">
        <v>659</v>
      </c>
      <c r="K30" s="14"/>
    </row>
    <row r="31" spans="3:11" ht="15.75">
      <c r="C31" s="9" t="s">
        <v>890</v>
      </c>
      <c r="E31" s="35"/>
      <c r="G31" s="140">
        <v>0</v>
      </c>
      <c r="I31" s="140">
        <v>0</v>
      </c>
      <c r="J31" s="53" t="s">
        <v>1835</v>
      </c>
      <c r="K31" s="14"/>
    </row>
    <row r="32" spans="1:11" ht="15.75">
      <c r="A32" s="101"/>
      <c r="B32" s="43"/>
      <c r="C32" s="9" t="s">
        <v>1565</v>
      </c>
      <c r="G32" s="140">
        <v>0</v>
      </c>
      <c r="I32" s="140">
        <v>0</v>
      </c>
      <c r="J32" s="53" t="s">
        <v>1930</v>
      </c>
      <c r="K32" s="14"/>
    </row>
    <row r="33" spans="1:11" ht="15.75">
      <c r="A33" s="101"/>
      <c r="B33" s="43"/>
      <c r="C33" s="9" t="s">
        <v>861</v>
      </c>
      <c r="E33" s="35"/>
      <c r="G33" s="140">
        <v>-130000</v>
      </c>
      <c r="I33" s="140">
        <v>-130000</v>
      </c>
      <c r="J33" s="53" t="s">
        <v>1252</v>
      </c>
      <c r="K33" s="14"/>
    </row>
    <row r="34" spans="1:11" ht="15.75">
      <c r="A34" s="107"/>
      <c r="B34" s="43"/>
      <c r="C34" s="9" t="s">
        <v>1671</v>
      </c>
      <c r="G34" s="140">
        <v>89555.95</v>
      </c>
      <c r="I34" s="140">
        <v>107394.86</v>
      </c>
      <c r="J34" s="53" t="s">
        <v>1487</v>
      </c>
      <c r="K34" s="14"/>
    </row>
    <row r="35" spans="3:11" ht="15.75">
      <c r="C35" s="9" t="s">
        <v>1051</v>
      </c>
      <c r="E35" s="38" t="s">
        <v>267</v>
      </c>
      <c r="G35" s="140">
        <v>-921000</v>
      </c>
      <c r="I35" s="140">
        <v>-921000</v>
      </c>
      <c r="J35" s="53" t="s">
        <v>243</v>
      </c>
      <c r="K35" s="14"/>
    </row>
    <row r="36" spans="3:11" ht="15.75">
      <c r="C36" s="9" t="s">
        <v>370</v>
      </c>
      <c r="D36" s="108"/>
      <c r="E36" s="38" t="s">
        <v>267</v>
      </c>
      <c r="F36" s="108"/>
      <c r="G36" s="145">
        <v>202000</v>
      </c>
      <c r="H36" s="108"/>
      <c r="I36" s="145">
        <v>202000</v>
      </c>
      <c r="J36" s="108" t="s">
        <v>244</v>
      </c>
      <c r="K36" s="14"/>
    </row>
    <row r="37" spans="3:12" ht="15">
      <c r="C37" s="9" t="s">
        <v>989</v>
      </c>
      <c r="G37" s="143">
        <f>SUM(G19:G36)</f>
        <v>-255050.87999999995</v>
      </c>
      <c r="I37" s="143">
        <f>SUM(I19:I36)</f>
        <v>39080.75</v>
      </c>
      <c r="J37" s="109"/>
      <c r="K37" s="14"/>
      <c r="L37" s="110"/>
    </row>
    <row r="38" spans="7:12" ht="15">
      <c r="G38" s="142" t="s">
        <v>1572</v>
      </c>
      <c r="I38" s="142" t="s">
        <v>1572</v>
      </c>
      <c r="J38" s="109"/>
      <c r="K38" s="110"/>
      <c r="L38" s="110"/>
    </row>
    <row r="39" spans="3:12" ht="15.75">
      <c r="C39" s="43" t="s">
        <v>530</v>
      </c>
      <c r="G39" s="143">
        <f>G12+G14+G17+G37</f>
        <v>-267050.87999999995</v>
      </c>
      <c r="I39" s="143">
        <f>I12+I14+I17+I37</f>
        <v>27080.75</v>
      </c>
      <c r="J39" s="111"/>
      <c r="K39" s="14"/>
      <c r="L39" s="110"/>
    </row>
    <row r="40" spans="7:9" ht="34.5" customHeight="1">
      <c r="G40" s="142" t="s">
        <v>1572</v>
      </c>
      <c r="I40" s="142" t="s">
        <v>1572</v>
      </c>
    </row>
    <row r="41" ht="15">
      <c r="G41" s="141"/>
    </row>
    <row r="42" spans="1:9" ht="15.75">
      <c r="A42" s="102" t="s">
        <v>1598</v>
      </c>
      <c r="C42" s="103" t="s">
        <v>608</v>
      </c>
      <c r="E42" s="34" t="s">
        <v>531</v>
      </c>
      <c r="G42" s="149" t="str">
        <f>G9</f>
        <v>ESTIMATE</v>
      </c>
      <c r="H42" s="34"/>
      <c r="I42" s="149" t="s">
        <v>1601</v>
      </c>
    </row>
    <row r="43" spans="1:11" ht="47.25">
      <c r="A43" s="97">
        <v>8</v>
      </c>
      <c r="C43" s="9" t="s">
        <v>532</v>
      </c>
      <c r="E43" s="112" t="s">
        <v>1373</v>
      </c>
      <c r="G43" s="140">
        <v>25996</v>
      </c>
      <c r="I43" s="140">
        <v>25996</v>
      </c>
      <c r="J43" s="52" t="s">
        <v>405</v>
      </c>
      <c r="K43" s="14"/>
    </row>
    <row r="44" spans="5:7" ht="15">
      <c r="E44" s="35"/>
      <c r="G44" s="141"/>
    </row>
    <row r="45" ht="15">
      <c r="G45" s="141"/>
    </row>
    <row r="46" spans="1:10" ht="15">
      <c r="A46" s="97">
        <v>9</v>
      </c>
      <c r="C46" s="9" t="s">
        <v>509</v>
      </c>
      <c r="E46" s="35" t="s">
        <v>546</v>
      </c>
      <c r="G46" s="13">
        <v>0</v>
      </c>
      <c r="I46" s="13">
        <v>0</v>
      </c>
      <c r="J46" s="52" t="s">
        <v>546</v>
      </c>
    </row>
    <row r="47" spans="7:10" ht="15.75">
      <c r="G47" s="141"/>
      <c r="J47" s="113"/>
    </row>
    <row r="48" spans="1:10" ht="47.25">
      <c r="A48" s="97">
        <v>10</v>
      </c>
      <c r="C48" s="9" t="s">
        <v>533</v>
      </c>
      <c r="E48" s="112" t="s">
        <v>1384</v>
      </c>
      <c r="G48" s="140">
        <v>0</v>
      </c>
      <c r="H48" s="35"/>
      <c r="I48" s="140">
        <v>0</v>
      </c>
      <c r="J48" s="53" t="s">
        <v>1922</v>
      </c>
    </row>
    <row r="49" spans="5:9" ht="15">
      <c r="E49" s="9" t="s">
        <v>1557</v>
      </c>
      <c r="G49" s="140"/>
      <c r="I49" s="140"/>
    </row>
    <row r="50" spans="1:7" ht="15.75">
      <c r="A50" s="97">
        <v>12</v>
      </c>
      <c r="C50" s="9" t="s">
        <v>534</v>
      </c>
      <c r="E50" s="38" t="s">
        <v>166</v>
      </c>
      <c r="G50" s="141"/>
    </row>
    <row r="51" spans="3:11" ht="15">
      <c r="C51" s="9" t="s">
        <v>779</v>
      </c>
      <c r="E51" s="35" t="s">
        <v>224</v>
      </c>
      <c r="G51" s="140">
        <v>-1626</v>
      </c>
      <c r="I51" s="140">
        <v>-1626</v>
      </c>
      <c r="J51" s="52" t="s">
        <v>1533</v>
      </c>
      <c r="K51" s="14"/>
    </row>
    <row r="52" spans="3:11" ht="15">
      <c r="C52" s="9" t="s">
        <v>225</v>
      </c>
      <c r="E52" s="35" t="s">
        <v>418</v>
      </c>
      <c r="G52" s="140">
        <v>-573</v>
      </c>
      <c r="I52" s="140">
        <v>-573</v>
      </c>
      <c r="J52" s="52" t="s">
        <v>418</v>
      </c>
      <c r="K52" s="14"/>
    </row>
    <row r="53" spans="7:9" ht="15">
      <c r="G53" s="140"/>
      <c r="I53" s="140"/>
    </row>
    <row r="54" spans="1:9" ht="15.75">
      <c r="A54" s="97">
        <v>13</v>
      </c>
      <c r="C54" s="9" t="s">
        <v>226</v>
      </c>
      <c r="E54" s="38" t="s">
        <v>166</v>
      </c>
      <c r="G54" s="140"/>
      <c r="I54" s="140"/>
    </row>
    <row r="55" spans="3:11" ht="15">
      <c r="C55" s="9" t="s">
        <v>1641</v>
      </c>
      <c r="E55" s="35" t="s">
        <v>1642</v>
      </c>
      <c r="G55" s="140">
        <v>-39</v>
      </c>
      <c r="I55" s="140">
        <v>-39</v>
      </c>
      <c r="J55" s="52" t="s">
        <v>1574</v>
      </c>
      <c r="K55" s="14"/>
    </row>
    <row r="56" spans="3:11" ht="15">
      <c r="C56" s="9" t="s">
        <v>797</v>
      </c>
      <c r="E56" s="35" t="s">
        <v>1478</v>
      </c>
      <c r="G56" s="140">
        <v>-11.5</v>
      </c>
      <c r="I56" s="140">
        <v>-11.5</v>
      </c>
      <c r="J56" s="52" t="s">
        <v>1534</v>
      </c>
      <c r="K56" s="14"/>
    </row>
    <row r="57" spans="7:9" ht="15">
      <c r="G57" s="140"/>
      <c r="I57" s="140"/>
    </row>
    <row r="58" spans="1:9" ht="15.75">
      <c r="A58" s="97">
        <v>14</v>
      </c>
      <c r="C58" s="9" t="s">
        <v>913</v>
      </c>
      <c r="E58" s="38" t="s">
        <v>166</v>
      </c>
      <c r="G58" s="140"/>
      <c r="I58" s="140"/>
    </row>
    <row r="59" spans="3:11" ht="25.5" customHeight="1">
      <c r="C59" s="9" t="s">
        <v>761</v>
      </c>
      <c r="E59" s="35" t="s">
        <v>1480</v>
      </c>
      <c r="G59" s="140">
        <v>-12742.15</v>
      </c>
      <c r="I59" s="140">
        <v>-12742.15</v>
      </c>
      <c r="J59" s="53" t="s">
        <v>106</v>
      </c>
      <c r="K59" s="14"/>
    </row>
    <row r="60" spans="3:11" ht="15">
      <c r="C60" s="9" t="s">
        <v>762</v>
      </c>
      <c r="E60" s="35" t="s">
        <v>11</v>
      </c>
      <c r="G60" s="140">
        <v>-388</v>
      </c>
      <c r="I60" s="140">
        <v>-388</v>
      </c>
      <c r="J60" s="52" t="s">
        <v>420</v>
      </c>
      <c r="K60" s="14"/>
    </row>
    <row r="61" spans="3:11" ht="15">
      <c r="C61" s="9" t="s">
        <v>1643</v>
      </c>
      <c r="E61" s="35" t="s">
        <v>1644</v>
      </c>
      <c r="G61" s="140">
        <v>-1243</v>
      </c>
      <c r="I61" s="140">
        <v>-1243</v>
      </c>
      <c r="J61" s="52" t="s">
        <v>1415</v>
      </c>
      <c r="K61" s="14"/>
    </row>
    <row r="62" spans="3:11" ht="15">
      <c r="C62" s="9" t="s">
        <v>1261</v>
      </c>
      <c r="E62" s="35" t="s">
        <v>1323</v>
      </c>
      <c r="G62" s="140">
        <v>-25152.59</v>
      </c>
      <c r="I62" s="140">
        <v>-31396.2</v>
      </c>
      <c r="J62" s="52" t="s">
        <v>948</v>
      </c>
      <c r="K62" s="14"/>
    </row>
    <row r="63" spans="3:11" ht="15">
      <c r="C63" s="9" t="s">
        <v>384</v>
      </c>
      <c r="E63" s="35" t="s">
        <v>827</v>
      </c>
      <c r="G63" s="140">
        <v>58</v>
      </c>
      <c r="I63" s="140">
        <v>58</v>
      </c>
      <c r="J63" s="52" t="s">
        <v>949</v>
      </c>
      <c r="K63" s="14"/>
    </row>
    <row r="64" spans="3:12" ht="15">
      <c r="C64" s="9" t="s">
        <v>385</v>
      </c>
      <c r="E64" s="35" t="s">
        <v>505</v>
      </c>
      <c r="G64" s="140">
        <v>104711.5</v>
      </c>
      <c r="I64" s="140">
        <v>-15051.21</v>
      </c>
      <c r="J64" s="52" t="s">
        <v>505</v>
      </c>
      <c r="K64" s="14"/>
      <c r="L64" s="9" t="s">
        <v>1557</v>
      </c>
    </row>
    <row r="65" spans="3:11" ht="15">
      <c r="C65" s="9" t="s">
        <v>786</v>
      </c>
      <c r="E65" s="35" t="s">
        <v>695</v>
      </c>
      <c r="G65" s="140">
        <v>-152</v>
      </c>
      <c r="I65" s="140">
        <v>-152</v>
      </c>
      <c r="J65" s="52" t="s">
        <v>695</v>
      </c>
      <c r="K65" s="14"/>
    </row>
    <row r="66" spans="3:11" ht="15">
      <c r="C66" s="9" t="s">
        <v>787</v>
      </c>
      <c r="E66" s="35" t="s">
        <v>874</v>
      </c>
      <c r="G66" s="140">
        <v>-2550.06</v>
      </c>
      <c r="I66" s="140">
        <v>-2550.06</v>
      </c>
      <c r="J66" s="52" t="s">
        <v>874</v>
      </c>
      <c r="K66" s="14"/>
    </row>
    <row r="67" spans="3:11" ht="15.75">
      <c r="C67" s="9" t="s">
        <v>1811</v>
      </c>
      <c r="E67" s="35" t="s">
        <v>947</v>
      </c>
      <c r="G67" s="140">
        <v>-7106</v>
      </c>
      <c r="I67" s="140">
        <f>-7106+23100</f>
        <v>15994</v>
      </c>
      <c r="J67" s="52" t="s">
        <v>622</v>
      </c>
      <c r="K67" s="14"/>
    </row>
    <row r="68" spans="3:11" ht="15">
      <c r="C68" s="9" t="s">
        <v>788</v>
      </c>
      <c r="E68" s="35" t="s">
        <v>274</v>
      </c>
      <c r="G68" s="140">
        <v>-4495</v>
      </c>
      <c r="H68" s="44"/>
      <c r="I68" s="140">
        <v>-4495</v>
      </c>
      <c r="J68" s="52" t="s">
        <v>274</v>
      </c>
      <c r="K68" s="14"/>
    </row>
    <row r="69" spans="3:11" ht="15">
      <c r="C69" s="9" t="s">
        <v>1051</v>
      </c>
      <c r="E69" s="35" t="s">
        <v>1052</v>
      </c>
      <c r="G69" s="151">
        <v>322350</v>
      </c>
      <c r="H69" s="44"/>
      <c r="I69" s="151">
        <v>322350</v>
      </c>
      <c r="J69" s="53" t="s">
        <v>243</v>
      </c>
      <c r="K69" s="14"/>
    </row>
    <row r="70" spans="3:11" ht="15">
      <c r="C70" s="9" t="s">
        <v>653</v>
      </c>
      <c r="E70" s="35" t="s">
        <v>970</v>
      </c>
      <c r="G70" s="140">
        <v>-6714.01</v>
      </c>
      <c r="H70" s="44"/>
      <c r="I70" s="140">
        <v>-6678.91</v>
      </c>
      <c r="J70" s="52" t="s">
        <v>658</v>
      </c>
      <c r="K70" s="14"/>
    </row>
    <row r="71" spans="3:11" ht="15">
      <c r="C71" s="9" t="s">
        <v>1435</v>
      </c>
      <c r="E71" s="35" t="s">
        <v>1436</v>
      </c>
      <c r="G71" s="140">
        <v>0</v>
      </c>
      <c r="H71" s="44"/>
      <c r="I71" s="140">
        <v>0</v>
      </c>
      <c r="J71" s="52" t="s">
        <v>1436</v>
      </c>
      <c r="K71" s="14"/>
    </row>
    <row r="72" spans="3:11" ht="15">
      <c r="C72" s="9" t="s">
        <v>56</v>
      </c>
      <c r="E72" s="35" t="s">
        <v>1405</v>
      </c>
      <c r="G72" s="140">
        <v>-30100</v>
      </c>
      <c r="H72" s="44"/>
      <c r="I72" s="140">
        <v>-30100</v>
      </c>
      <c r="J72" s="53" t="s">
        <v>1178</v>
      </c>
      <c r="K72" s="14"/>
    </row>
    <row r="73" spans="3:11" ht="15">
      <c r="C73" s="9" t="s">
        <v>1386</v>
      </c>
      <c r="E73" s="35" t="s">
        <v>1315</v>
      </c>
      <c r="G73" s="140">
        <v>0</v>
      </c>
      <c r="H73" s="44"/>
      <c r="I73" s="140">
        <v>0</v>
      </c>
      <c r="J73" s="53" t="s">
        <v>400</v>
      </c>
      <c r="K73" s="14"/>
    </row>
    <row r="74" spans="3:11" ht="15">
      <c r="C74" s="9" t="s">
        <v>370</v>
      </c>
      <c r="E74" s="35" t="s">
        <v>1405</v>
      </c>
      <c r="G74" s="140">
        <v>-70700</v>
      </c>
      <c r="H74" s="44"/>
      <c r="I74" s="140">
        <v>-70700</v>
      </c>
      <c r="J74" s="108" t="s">
        <v>244</v>
      </c>
      <c r="K74" s="14"/>
    </row>
    <row r="75" spans="3:11" ht="15">
      <c r="C75" s="9" t="s">
        <v>1220</v>
      </c>
      <c r="G75" s="141">
        <f>SUM(G59:G74)</f>
        <v>265776.69</v>
      </c>
      <c r="I75" s="141">
        <f>SUM(I59:I74)</f>
        <v>162905.47000000003</v>
      </c>
      <c r="J75" s="114"/>
      <c r="K75" s="14"/>
    </row>
    <row r="76" spans="7:9" ht="15">
      <c r="G76" s="142" t="s">
        <v>1572</v>
      </c>
      <c r="I76" s="142" t="s">
        <v>1572</v>
      </c>
    </row>
    <row r="77" spans="3:11" ht="15.75">
      <c r="C77" s="43" t="s">
        <v>1753</v>
      </c>
      <c r="G77" s="143">
        <f>G43+G46+G48+G51+G52+G55+G56+G75</f>
        <v>289523.19</v>
      </c>
      <c r="I77" s="143">
        <f>I43+I46+I48+I51+I52+I55+I56+I75</f>
        <v>186651.97000000003</v>
      </c>
      <c r="J77" s="111"/>
      <c r="K77" s="14"/>
    </row>
    <row r="78" spans="7:9" ht="15">
      <c r="G78" s="152"/>
      <c r="I78" s="152"/>
    </row>
    <row r="79" spans="2:11" ht="15.75">
      <c r="B79" s="52"/>
      <c r="C79" s="43" t="s">
        <v>284</v>
      </c>
      <c r="G79" s="146">
        <f>G77+G39</f>
        <v>22472.310000000056</v>
      </c>
      <c r="I79" s="146">
        <f>I77+I39</f>
        <v>213732.72000000003</v>
      </c>
      <c r="K79" s="14"/>
    </row>
    <row r="80" spans="2:9" ht="15">
      <c r="B80" s="52"/>
      <c r="G80" s="152"/>
      <c r="I80" s="152"/>
    </row>
    <row r="81" ht="15">
      <c r="G81" s="141"/>
    </row>
    <row r="82" spans="7:9" ht="15">
      <c r="G82" s="141" t="s">
        <v>1557</v>
      </c>
      <c r="I82" s="141" t="s">
        <v>1557</v>
      </c>
    </row>
    <row r="83" ht="15">
      <c r="G83" s="141"/>
    </row>
    <row r="84" spans="3:9" ht="15.75">
      <c r="C84" s="169" t="s">
        <v>312</v>
      </c>
      <c r="D84" s="169"/>
      <c r="E84" s="169"/>
      <c r="G84" s="146" t="s">
        <v>1752</v>
      </c>
      <c r="I84" s="146" t="s">
        <v>1752</v>
      </c>
    </row>
    <row r="85" spans="3:9" ht="15.75">
      <c r="C85" s="98" t="s">
        <v>645</v>
      </c>
      <c r="D85" s="43"/>
      <c r="G85" s="146">
        <f>G3</f>
        <v>0</v>
      </c>
      <c r="I85" s="146" t="str">
        <f>I3</f>
        <v>JMJ</v>
      </c>
    </row>
    <row r="86" spans="2:9" ht="15.75">
      <c r="B86" s="43"/>
      <c r="C86" s="99" t="s">
        <v>1557</v>
      </c>
      <c r="D86" s="10" t="str">
        <f>D4</f>
        <v>May, 2015</v>
      </c>
      <c r="F86" s="43"/>
      <c r="G86" s="153">
        <f ca="1">TODAY()</f>
        <v>42975</v>
      </c>
      <c r="H86" s="43"/>
      <c r="I86" s="153">
        <f ca="1">TODAY()</f>
        <v>42975</v>
      </c>
    </row>
    <row r="87" spans="2:10" ht="15.75">
      <c r="B87" s="103"/>
      <c r="F87" s="43"/>
      <c r="G87" s="141"/>
      <c r="H87" s="43"/>
      <c r="J87" s="53" t="s">
        <v>1557</v>
      </c>
    </row>
    <row r="88" spans="1:9" ht="15.75">
      <c r="A88" s="101"/>
      <c r="C88" s="43"/>
      <c r="D88" s="43"/>
      <c r="E88" s="38"/>
      <c r="F88" s="38"/>
      <c r="G88" s="148">
        <f>+E8</f>
        <v>0</v>
      </c>
      <c r="H88" s="35"/>
      <c r="I88" s="148" t="str">
        <f>+G8</f>
        <v>May, 2015</v>
      </c>
    </row>
    <row r="89" spans="1:9" ht="15.75">
      <c r="A89" s="102" t="s">
        <v>1598</v>
      </c>
      <c r="C89" s="34" t="s">
        <v>1599</v>
      </c>
      <c r="D89" s="103"/>
      <c r="E89" s="34" t="s">
        <v>1600</v>
      </c>
      <c r="F89" s="34"/>
      <c r="G89" s="149" t="str">
        <f>G42</f>
        <v>ESTIMATE</v>
      </c>
      <c r="H89" s="34"/>
      <c r="I89" s="149" t="s">
        <v>1601</v>
      </c>
    </row>
    <row r="90" spans="1:9" ht="15.75">
      <c r="A90" s="97">
        <v>2</v>
      </c>
      <c r="C90" s="9" t="s">
        <v>1602</v>
      </c>
      <c r="E90" s="35"/>
      <c r="G90" s="150"/>
      <c r="H90" s="44"/>
      <c r="I90" s="150"/>
    </row>
    <row r="91" spans="3:11" ht="15">
      <c r="C91" s="9" t="s">
        <v>149</v>
      </c>
      <c r="E91" s="35" t="s">
        <v>150</v>
      </c>
      <c r="G91" s="13">
        <v>12500</v>
      </c>
      <c r="H91" s="44"/>
      <c r="I91" s="13">
        <v>12500</v>
      </c>
      <c r="J91" s="104" t="s">
        <v>409</v>
      </c>
      <c r="K91" s="14"/>
    </row>
    <row r="92" spans="5:9" ht="15">
      <c r="E92" s="35"/>
      <c r="G92" s="44"/>
      <c r="I92" s="44"/>
    </row>
    <row r="93" spans="1:10" ht="15">
      <c r="A93" s="97">
        <v>3</v>
      </c>
      <c r="C93" s="9" t="s">
        <v>509</v>
      </c>
      <c r="E93" s="52" t="s">
        <v>546</v>
      </c>
      <c r="G93" s="13">
        <v>0</v>
      </c>
      <c r="I93" s="13">
        <v>0</v>
      </c>
      <c r="J93" s="52" t="s">
        <v>546</v>
      </c>
    </row>
    <row r="94" spans="5:9" ht="15">
      <c r="E94" s="35"/>
      <c r="G94" s="44"/>
      <c r="I94" s="44"/>
    </row>
    <row r="95" spans="1:9" ht="15">
      <c r="A95" s="97">
        <v>4</v>
      </c>
      <c r="C95" s="9" t="s">
        <v>1647</v>
      </c>
      <c r="E95" s="35"/>
      <c r="G95" s="44"/>
      <c r="I95" s="44"/>
    </row>
    <row r="96" spans="3:11" ht="15">
      <c r="C96" s="9" t="s">
        <v>44</v>
      </c>
      <c r="E96" s="35" t="s">
        <v>150</v>
      </c>
      <c r="G96" s="13">
        <v>335000</v>
      </c>
      <c r="I96" s="13">
        <v>335000</v>
      </c>
      <c r="J96" s="53" t="s">
        <v>467</v>
      </c>
      <c r="K96" s="14"/>
    </row>
    <row r="97" spans="3:11" ht="15">
      <c r="C97" s="9" t="s">
        <v>1754</v>
      </c>
      <c r="E97" s="35" t="s">
        <v>150</v>
      </c>
      <c r="G97" s="13">
        <v>-24500</v>
      </c>
      <c r="I97" s="13">
        <v>-24500</v>
      </c>
      <c r="J97" s="104" t="s">
        <v>410</v>
      </c>
      <c r="K97" s="14"/>
    </row>
    <row r="98" spans="1:9" ht="15">
      <c r="A98" s="97">
        <v>5</v>
      </c>
      <c r="C98" s="9" t="s">
        <v>1755</v>
      </c>
      <c r="E98" s="35" t="s">
        <v>150</v>
      </c>
      <c r="G98" s="44"/>
      <c r="I98" s="44"/>
    </row>
    <row r="99" spans="3:11" ht="15">
      <c r="C99" s="9" t="s">
        <v>653</v>
      </c>
      <c r="G99" s="13">
        <v>0</v>
      </c>
      <c r="I99" s="13">
        <v>0</v>
      </c>
      <c r="J99" s="53" t="s">
        <v>654</v>
      </c>
      <c r="K99" s="14"/>
    </row>
    <row r="100" spans="3:11" ht="15">
      <c r="C100" s="9" t="s">
        <v>1013</v>
      </c>
      <c r="G100" s="13">
        <v>102000</v>
      </c>
      <c r="H100" s="44"/>
      <c r="I100" s="13">
        <v>102000</v>
      </c>
      <c r="J100" s="53" t="s">
        <v>25</v>
      </c>
      <c r="K100" s="14"/>
    </row>
    <row r="101" spans="3:11" ht="15">
      <c r="C101" s="9" t="s">
        <v>861</v>
      </c>
      <c r="E101" s="35"/>
      <c r="G101" s="13">
        <v>0</v>
      </c>
      <c r="I101" s="13">
        <v>0</v>
      </c>
      <c r="J101" s="53" t="s">
        <v>862</v>
      </c>
      <c r="K101" s="14"/>
    </row>
    <row r="102" spans="3:11" ht="15">
      <c r="C102" s="9" t="s">
        <v>1386</v>
      </c>
      <c r="E102" s="35"/>
      <c r="G102" s="13">
        <v>0</v>
      </c>
      <c r="H102" s="32"/>
      <c r="I102" s="13">
        <v>0</v>
      </c>
      <c r="J102" s="53" t="s">
        <v>400</v>
      </c>
      <c r="K102" s="14"/>
    </row>
    <row r="103" spans="3:11" ht="15">
      <c r="C103" s="9" t="s">
        <v>14</v>
      </c>
      <c r="E103" s="35"/>
      <c r="G103" s="13">
        <v>-464246</v>
      </c>
      <c r="I103" s="13">
        <v>-464246</v>
      </c>
      <c r="J103" s="53" t="s">
        <v>83</v>
      </c>
      <c r="K103" s="14"/>
    </row>
    <row r="104" spans="3:11" ht="15">
      <c r="C104" s="9" t="s">
        <v>130</v>
      </c>
      <c r="E104" s="35"/>
      <c r="G104" s="13">
        <f>G23</f>
        <v>435</v>
      </c>
      <c r="I104" s="13">
        <f>I23</f>
        <v>435</v>
      </c>
      <c r="J104" s="53" t="s">
        <v>95</v>
      </c>
      <c r="K104" s="14"/>
    </row>
    <row r="105" spans="3:16" ht="15">
      <c r="C105" s="9" t="s">
        <v>187</v>
      </c>
      <c r="E105" s="35"/>
      <c r="G105" s="13">
        <f>G22</f>
        <v>-299175.72</v>
      </c>
      <c r="I105" s="13">
        <f>I22</f>
        <v>43003</v>
      </c>
      <c r="J105" s="53" t="s">
        <v>1441</v>
      </c>
      <c r="K105" s="14"/>
      <c r="O105" s="106"/>
      <c r="P105" s="106"/>
    </row>
    <row r="106" spans="3:14" ht="15">
      <c r="C106" s="9" t="s">
        <v>1277</v>
      </c>
      <c r="E106" s="35"/>
      <c r="G106" s="13">
        <v>2945</v>
      </c>
      <c r="I106" s="13">
        <v>2945</v>
      </c>
      <c r="J106" s="53" t="s">
        <v>82</v>
      </c>
      <c r="K106" s="14"/>
      <c r="L106" s="105"/>
      <c r="M106" s="106"/>
      <c r="N106" s="106"/>
    </row>
    <row r="107" spans="3:11" ht="15">
      <c r="C107" s="9" t="s">
        <v>1211</v>
      </c>
      <c r="E107" s="35"/>
      <c r="G107" s="13">
        <v>7285.89</v>
      </c>
      <c r="I107" s="13">
        <v>7285.89</v>
      </c>
      <c r="J107" s="53" t="s">
        <v>569</v>
      </c>
      <c r="K107" s="14"/>
    </row>
    <row r="108" spans="3:11" ht="15">
      <c r="C108" s="9" t="s">
        <v>560</v>
      </c>
      <c r="E108" s="35"/>
      <c r="G108" s="13">
        <f>G33</f>
        <v>-130000</v>
      </c>
      <c r="H108" s="90"/>
      <c r="I108" s="13">
        <v>-130000</v>
      </c>
      <c r="J108" s="53" t="s">
        <v>1251</v>
      </c>
      <c r="K108" s="14"/>
    </row>
    <row r="109" spans="3:11" ht="15.75">
      <c r="C109" s="9" t="s">
        <v>1401</v>
      </c>
      <c r="E109" s="35"/>
      <c r="G109" s="13">
        <f>G29</f>
        <v>0</v>
      </c>
      <c r="I109" s="13">
        <f>I29</f>
        <v>-66000</v>
      </c>
      <c r="J109" s="53" t="s">
        <v>946</v>
      </c>
      <c r="K109" s="14"/>
    </row>
    <row r="110" spans="3:11" ht="15">
      <c r="C110" s="9" t="s">
        <v>763</v>
      </c>
      <c r="E110" s="35"/>
      <c r="G110" s="13">
        <f>G28</f>
        <v>665</v>
      </c>
      <c r="I110" s="13">
        <f>I28</f>
        <v>880</v>
      </c>
      <c r="J110" s="53" t="s">
        <v>60</v>
      </c>
      <c r="K110" s="14"/>
    </row>
    <row r="111" spans="3:11" ht="15">
      <c r="C111" s="9" t="e">
        <f>-aro</f>
        <v>#NAME?</v>
      </c>
      <c r="E111" s="35"/>
      <c r="G111" s="13">
        <f>G30</f>
        <v>19183</v>
      </c>
      <c r="I111" s="13">
        <f>I30</f>
        <v>19082</v>
      </c>
      <c r="J111" s="53" t="s">
        <v>655</v>
      </c>
      <c r="K111" s="14"/>
    </row>
    <row r="112" spans="3:11" ht="15">
      <c r="C112" s="9" t="s">
        <v>165</v>
      </c>
      <c r="E112" s="35"/>
      <c r="G112" s="13">
        <f>G27</f>
        <v>86000</v>
      </c>
      <c r="I112" s="13">
        <f>I27</f>
        <v>86000</v>
      </c>
      <c r="J112" s="53" t="s">
        <v>1932</v>
      </c>
      <c r="K112" s="14"/>
    </row>
    <row r="113" spans="3:11" ht="15.75">
      <c r="C113" s="9" t="s">
        <v>653</v>
      </c>
      <c r="E113" s="35"/>
      <c r="G113" s="13">
        <v>0</v>
      </c>
      <c r="I113" s="13">
        <v>0</v>
      </c>
      <c r="J113" s="53" t="s">
        <v>1835</v>
      </c>
      <c r="K113" s="14"/>
    </row>
    <row r="114" spans="1:11" ht="15.75">
      <c r="A114" s="101"/>
      <c r="C114" s="9" t="s">
        <v>1565</v>
      </c>
      <c r="E114" s="35"/>
      <c r="G114" s="13">
        <v>0</v>
      </c>
      <c r="I114" s="13">
        <v>0</v>
      </c>
      <c r="J114" s="53" t="s">
        <v>1486</v>
      </c>
      <c r="K114" s="14"/>
    </row>
    <row r="115" spans="1:11" ht="15.75">
      <c r="A115" s="101"/>
      <c r="C115" s="9" t="s">
        <v>296</v>
      </c>
      <c r="E115" s="35" t="s">
        <v>1557</v>
      </c>
      <c r="G115" s="13">
        <v>0</v>
      </c>
      <c r="I115" s="13">
        <v>-56690.05</v>
      </c>
      <c r="J115" s="53" t="s">
        <v>1278</v>
      </c>
      <c r="K115" s="14"/>
    </row>
    <row r="116" spans="1:11" ht="15.75">
      <c r="A116" s="107"/>
      <c r="C116" s="9" t="s">
        <v>708</v>
      </c>
      <c r="E116" s="35"/>
      <c r="G116" s="13">
        <v>0</v>
      </c>
      <c r="I116" s="13">
        <v>0</v>
      </c>
      <c r="J116" s="53" t="s">
        <v>1481</v>
      </c>
      <c r="K116" s="14"/>
    </row>
    <row r="117" spans="3:11" ht="15">
      <c r="C117" s="9" t="s">
        <v>56</v>
      </c>
      <c r="G117" s="140">
        <v>0</v>
      </c>
      <c r="I117" s="140">
        <f>I32</f>
        <v>0</v>
      </c>
      <c r="J117" s="9" t="s">
        <v>1145</v>
      </c>
      <c r="K117" s="14"/>
    </row>
    <row r="118" spans="3:11" ht="15">
      <c r="C118" s="9" t="s">
        <v>435</v>
      </c>
      <c r="G118" s="143">
        <f>SUM(G99:G117)</f>
        <v>-674907.83</v>
      </c>
      <c r="I118" s="143">
        <f>SUM(I99:I117)</f>
        <v>-455305.16</v>
      </c>
      <c r="K118" s="14"/>
    </row>
    <row r="119" spans="7:9" ht="15">
      <c r="G119" s="142" t="s">
        <v>1572</v>
      </c>
      <c r="I119" s="142" t="s">
        <v>1572</v>
      </c>
    </row>
    <row r="120" spans="3:11" ht="15.75">
      <c r="C120" s="43" t="s">
        <v>530</v>
      </c>
      <c r="G120" s="143">
        <f>G91+G96+G97+G118</f>
        <v>-351907.82999999996</v>
      </c>
      <c r="I120" s="143">
        <f>I91+I96+I97+I118</f>
        <v>-132305.15999999997</v>
      </c>
      <c r="K120" s="14"/>
    </row>
    <row r="121" spans="7:10" ht="15">
      <c r="G121" s="142" t="s">
        <v>1572</v>
      </c>
      <c r="I121" s="142" t="s">
        <v>1572</v>
      </c>
      <c r="J121" s="53" t="s">
        <v>1557</v>
      </c>
    </row>
    <row r="122" spans="7:11" ht="15">
      <c r="G122" s="141"/>
      <c r="K122" s="14"/>
    </row>
    <row r="123" spans="1:9" ht="15.75">
      <c r="A123" s="102" t="s">
        <v>1598</v>
      </c>
      <c r="C123" s="103" t="s">
        <v>608</v>
      </c>
      <c r="E123" s="34" t="s">
        <v>436</v>
      </c>
      <c r="G123" s="149" t="str">
        <f>G42</f>
        <v>ESTIMATE</v>
      </c>
      <c r="H123" s="34"/>
      <c r="I123" s="149" t="s">
        <v>1601</v>
      </c>
    </row>
    <row r="124" spans="1:11" ht="15">
      <c r="A124" s="97">
        <v>8</v>
      </c>
      <c r="C124" s="9" t="s">
        <v>532</v>
      </c>
      <c r="E124" s="52" t="s">
        <v>406</v>
      </c>
      <c r="G124" s="140">
        <v>-35504</v>
      </c>
      <c r="I124" s="140">
        <v>-35504</v>
      </c>
      <c r="J124" s="52" t="s">
        <v>406</v>
      </c>
      <c r="K124" s="14"/>
    </row>
    <row r="125" spans="5:7" ht="15">
      <c r="E125" s="35"/>
      <c r="G125" s="141"/>
    </row>
    <row r="126" spans="1:10" ht="15">
      <c r="A126" s="97">
        <v>9</v>
      </c>
      <c r="C126" s="9" t="s">
        <v>509</v>
      </c>
      <c r="E126" s="52" t="s">
        <v>546</v>
      </c>
      <c r="G126" s="46">
        <v>0</v>
      </c>
      <c r="I126" s="46">
        <v>0</v>
      </c>
      <c r="J126" s="52" t="s">
        <v>546</v>
      </c>
    </row>
    <row r="127" spans="7:9" ht="15">
      <c r="G127" s="140"/>
      <c r="I127" s="140"/>
    </row>
    <row r="128" spans="1:10" ht="31.5">
      <c r="A128" s="97">
        <v>10</v>
      </c>
      <c r="C128" s="9" t="s">
        <v>533</v>
      </c>
      <c r="E128" s="115" t="s">
        <v>1382</v>
      </c>
      <c r="G128" s="140">
        <v>0</v>
      </c>
      <c r="H128" s="32"/>
      <c r="I128" s="140">
        <v>0</v>
      </c>
      <c r="J128" s="53" t="s">
        <v>1922</v>
      </c>
    </row>
    <row r="129" spans="5:9" ht="15">
      <c r="E129" s="9" t="s">
        <v>1557</v>
      </c>
      <c r="G129" s="140"/>
      <c r="I129" s="140"/>
    </row>
    <row r="130" spans="1:9" ht="15.75">
      <c r="A130" s="97">
        <v>12</v>
      </c>
      <c r="C130" s="116" t="s">
        <v>534</v>
      </c>
      <c r="E130" s="38" t="s">
        <v>166</v>
      </c>
      <c r="G130" s="140"/>
      <c r="I130" s="140"/>
    </row>
    <row r="131" spans="3:11" ht="15">
      <c r="C131" s="9" t="s">
        <v>437</v>
      </c>
      <c r="E131" s="35" t="s">
        <v>417</v>
      </c>
      <c r="G131" s="140">
        <v>-11707</v>
      </c>
      <c r="I131" s="140">
        <f>-11707+19841.51</f>
        <v>8134.509999999998</v>
      </c>
      <c r="J131" s="53" t="s">
        <v>101</v>
      </c>
      <c r="K131" s="14"/>
    </row>
    <row r="132" spans="3:11" ht="15">
      <c r="C132" s="9" t="s">
        <v>438</v>
      </c>
      <c r="E132" s="35" t="s">
        <v>418</v>
      </c>
      <c r="G132" s="140">
        <v>-573</v>
      </c>
      <c r="I132" s="140">
        <v>-573</v>
      </c>
      <c r="J132" s="52" t="s">
        <v>418</v>
      </c>
      <c r="K132" s="14"/>
    </row>
    <row r="133" ht="15">
      <c r="G133" s="141"/>
    </row>
    <row r="134" spans="1:7" ht="15.75">
      <c r="A134" s="97">
        <v>13</v>
      </c>
      <c r="C134" s="116" t="s">
        <v>226</v>
      </c>
      <c r="E134" s="38" t="s">
        <v>166</v>
      </c>
      <c r="G134" s="141"/>
    </row>
    <row r="135" spans="3:11" ht="15">
      <c r="C135" s="9" t="s">
        <v>439</v>
      </c>
      <c r="E135" s="35" t="s">
        <v>419</v>
      </c>
      <c r="G135" s="140">
        <v>-169</v>
      </c>
      <c r="I135" s="140">
        <v>-169</v>
      </c>
      <c r="J135" s="52" t="s">
        <v>419</v>
      </c>
      <c r="K135" s="14"/>
    </row>
    <row r="136" spans="3:11" ht="15">
      <c r="C136" s="9" t="s">
        <v>797</v>
      </c>
      <c r="E136" s="35" t="s">
        <v>1478</v>
      </c>
      <c r="G136" s="140">
        <v>-11.5</v>
      </c>
      <c r="I136" s="140">
        <v>-11.5</v>
      </c>
      <c r="J136" s="52" t="s">
        <v>1534</v>
      </c>
      <c r="K136" s="14"/>
    </row>
    <row r="137" ht="15">
      <c r="G137" s="141"/>
    </row>
    <row r="138" spans="1:9" ht="15">
      <c r="A138" s="97">
        <v>14</v>
      </c>
      <c r="G138" s="140"/>
      <c r="I138" s="140"/>
    </row>
    <row r="139" spans="3:9" ht="15.75">
      <c r="C139" s="116" t="s">
        <v>913</v>
      </c>
      <c r="E139" s="38" t="s">
        <v>166</v>
      </c>
      <c r="G139" s="140"/>
      <c r="I139" s="140"/>
    </row>
    <row r="140" spans="3:11" ht="27" customHeight="1">
      <c r="C140" s="9" t="s">
        <v>428</v>
      </c>
      <c r="E140" s="35" t="s">
        <v>1479</v>
      </c>
      <c r="G140" s="140">
        <v>-13693.84</v>
      </c>
      <c r="I140" s="140">
        <v>-13693.84</v>
      </c>
      <c r="J140" s="53" t="s">
        <v>106</v>
      </c>
      <c r="K140" s="14"/>
    </row>
    <row r="141" spans="3:11" ht="15">
      <c r="C141" s="9" t="s">
        <v>1157</v>
      </c>
      <c r="E141" s="35" t="s">
        <v>1383</v>
      </c>
      <c r="G141" s="140">
        <v>157843.64</v>
      </c>
      <c r="I141" s="140">
        <v>157843.64</v>
      </c>
      <c r="J141" s="53" t="s">
        <v>1383</v>
      </c>
      <c r="K141" s="14"/>
    </row>
    <row r="142" spans="3:11" ht="15">
      <c r="C142" s="9" t="s">
        <v>381</v>
      </c>
      <c r="E142" s="35" t="s">
        <v>382</v>
      </c>
      <c r="G142" s="140">
        <v>31196</v>
      </c>
      <c r="I142" s="140">
        <v>31196</v>
      </c>
      <c r="J142" s="52" t="s">
        <v>950</v>
      </c>
      <c r="K142" s="14"/>
    </row>
    <row r="143" spans="3:11" ht="15">
      <c r="C143" s="9" t="s">
        <v>656</v>
      </c>
      <c r="E143" s="35"/>
      <c r="G143" s="140">
        <f>G70</f>
        <v>-6714.01</v>
      </c>
      <c r="I143" s="140">
        <f>I70</f>
        <v>-6678.91</v>
      </c>
      <c r="J143" s="52" t="s">
        <v>657</v>
      </c>
      <c r="K143" s="14"/>
    </row>
    <row r="144" spans="3:11" ht="15">
      <c r="C144" s="9" t="s">
        <v>145</v>
      </c>
      <c r="E144" s="35" t="s">
        <v>695</v>
      </c>
      <c r="G144" s="140">
        <f>G65</f>
        <v>-152</v>
      </c>
      <c r="I144" s="140">
        <f>I65</f>
        <v>-152</v>
      </c>
      <c r="J144" s="53" t="s">
        <v>695</v>
      </c>
      <c r="K144" s="14"/>
    </row>
    <row r="145" spans="3:11" ht="15">
      <c r="C145" s="9" t="s">
        <v>146</v>
      </c>
      <c r="E145" s="35" t="s">
        <v>1481</v>
      </c>
      <c r="G145" s="140">
        <v>58</v>
      </c>
      <c r="I145" s="140">
        <v>58</v>
      </c>
      <c r="J145" s="52" t="s">
        <v>949</v>
      </c>
      <c r="K145" s="14"/>
    </row>
    <row r="146" spans="3:11" ht="15">
      <c r="C146" s="9" t="s">
        <v>831</v>
      </c>
      <c r="E146" s="35" t="s">
        <v>505</v>
      </c>
      <c r="G146" s="140">
        <f>G64</f>
        <v>104711.5</v>
      </c>
      <c r="I146" s="140">
        <f>I64</f>
        <v>-15051.21</v>
      </c>
      <c r="J146" s="52" t="s">
        <v>505</v>
      </c>
      <c r="K146" s="14"/>
    </row>
    <row r="147" spans="3:11" ht="15">
      <c r="C147" s="9" t="s">
        <v>832</v>
      </c>
      <c r="E147" s="35" t="s">
        <v>506</v>
      </c>
      <c r="G147" s="140">
        <v>-1030.75</v>
      </c>
      <c r="I147" s="140">
        <v>-1030.75</v>
      </c>
      <c r="J147" s="52" t="s">
        <v>506</v>
      </c>
      <c r="K147" s="14"/>
    </row>
    <row r="148" spans="3:11" ht="15">
      <c r="C148" s="9" t="s">
        <v>833</v>
      </c>
      <c r="E148" s="35" t="s">
        <v>874</v>
      </c>
      <c r="G148" s="140">
        <v>-2550.06</v>
      </c>
      <c r="I148" s="140">
        <v>-2550.06</v>
      </c>
      <c r="J148" s="52" t="s">
        <v>874</v>
      </c>
      <c r="K148" s="14"/>
    </row>
    <row r="149" spans="3:11" ht="15.75">
      <c r="C149" s="9" t="s">
        <v>1811</v>
      </c>
      <c r="E149" s="35" t="s">
        <v>947</v>
      </c>
      <c r="G149" s="140">
        <f>G67</f>
        <v>-7106</v>
      </c>
      <c r="H149" s="44"/>
      <c r="I149" s="140">
        <f>I67</f>
        <v>15994</v>
      </c>
      <c r="J149" s="52" t="s">
        <v>622</v>
      </c>
      <c r="K149" s="14"/>
    </row>
    <row r="150" spans="3:11" ht="15">
      <c r="C150" s="9" t="s">
        <v>1836</v>
      </c>
      <c r="E150" s="35" t="s">
        <v>970</v>
      </c>
      <c r="G150" s="140">
        <v>0</v>
      </c>
      <c r="H150" s="44"/>
      <c r="I150" s="140">
        <v>0</v>
      </c>
      <c r="J150" s="52" t="s">
        <v>970</v>
      </c>
      <c r="K150" s="14"/>
    </row>
    <row r="151" spans="3:11" ht="15">
      <c r="C151" s="9" t="s">
        <v>1386</v>
      </c>
      <c r="E151" s="35" t="s">
        <v>1315</v>
      </c>
      <c r="G151" s="140">
        <v>0</v>
      </c>
      <c r="H151" s="44"/>
      <c r="I151" s="140">
        <v>0</v>
      </c>
      <c r="J151" s="53" t="s">
        <v>400</v>
      </c>
      <c r="K151" s="14"/>
    </row>
    <row r="152" spans="3:11" ht="15">
      <c r="C152" s="9" t="s">
        <v>1435</v>
      </c>
      <c r="E152" s="35" t="s">
        <v>1436</v>
      </c>
      <c r="G152" s="140">
        <v>0</v>
      </c>
      <c r="H152" s="44"/>
      <c r="I152" s="140">
        <v>0</v>
      </c>
      <c r="J152" s="52" t="s">
        <v>1436</v>
      </c>
      <c r="K152" s="14"/>
    </row>
    <row r="153" spans="3:11" ht="15">
      <c r="C153" s="9" t="s">
        <v>1697</v>
      </c>
      <c r="E153" s="35" t="s">
        <v>274</v>
      </c>
      <c r="G153" s="140">
        <f>G68</f>
        <v>-4495</v>
      </c>
      <c r="H153" s="44"/>
      <c r="I153" s="140">
        <f>I68</f>
        <v>-4495</v>
      </c>
      <c r="J153" s="52" t="s">
        <v>274</v>
      </c>
      <c r="K153" s="14"/>
    </row>
    <row r="154" spans="3:11" ht="15">
      <c r="C154" s="9" t="s">
        <v>148</v>
      </c>
      <c r="E154" s="115" t="s">
        <v>163</v>
      </c>
      <c r="G154" s="140">
        <v>0</v>
      </c>
      <c r="H154" s="44"/>
      <c r="I154" s="140">
        <v>0</v>
      </c>
      <c r="J154" s="117" t="s">
        <v>1588</v>
      </c>
      <c r="K154" s="14"/>
    </row>
    <row r="155" spans="3:11" ht="15">
      <c r="C155" s="9" t="s">
        <v>56</v>
      </c>
      <c r="E155" s="35" t="s">
        <v>1405</v>
      </c>
      <c r="G155" s="140">
        <f>G72</f>
        <v>-30100</v>
      </c>
      <c r="H155" s="44"/>
      <c r="I155" s="140">
        <f>I72</f>
        <v>-30100</v>
      </c>
      <c r="J155" s="53" t="s">
        <v>55</v>
      </c>
      <c r="K155" s="14"/>
    </row>
    <row r="156" spans="3:11" ht="15">
      <c r="C156" s="9" t="s">
        <v>1238</v>
      </c>
      <c r="G156" s="143">
        <f>SUM(G140:G155)</f>
        <v>227967.48000000004</v>
      </c>
      <c r="I156" s="143">
        <f>SUM(I140:I155)</f>
        <v>131339.87000000002</v>
      </c>
      <c r="K156" s="14"/>
    </row>
    <row r="157" spans="7:9" ht="15">
      <c r="G157" s="142" t="s">
        <v>1572</v>
      </c>
      <c r="I157" s="142" t="s">
        <v>1572</v>
      </c>
    </row>
    <row r="158" spans="3:11" ht="15.75">
      <c r="C158" s="43" t="s">
        <v>1753</v>
      </c>
      <c r="G158" s="143">
        <f>G124+G126+G128+G131+G132+G135+G136+G156</f>
        <v>180002.98000000004</v>
      </c>
      <c r="I158" s="143">
        <f>I124+I126+I128+I131+I132+I135+I136+I156</f>
        <v>103216.88000000002</v>
      </c>
      <c r="K158" s="14"/>
    </row>
    <row r="159" spans="7:9" ht="15">
      <c r="G159" s="142"/>
      <c r="I159" s="152"/>
    </row>
    <row r="160" spans="3:11" ht="15.75">
      <c r="C160" s="43" t="s">
        <v>284</v>
      </c>
      <c r="G160" s="144">
        <f>G158+G120</f>
        <v>-171904.84999999992</v>
      </c>
      <c r="I160" s="146">
        <f>I158+I120</f>
        <v>-29088.279999999955</v>
      </c>
      <c r="K160" s="14"/>
    </row>
    <row r="161" spans="3:9" ht="15.75">
      <c r="C161" s="43"/>
      <c r="G161" s="159"/>
      <c r="I161" s="146"/>
    </row>
    <row r="162" spans="2:10" ht="15">
      <c r="B162" s="52" t="s">
        <v>324</v>
      </c>
      <c r="G162" s="140">
        <v>-618959.01</v>
      </c>
      <c r="I162" s="140">
        <v>-105222.65</v>
      </c>
      <c r="J162" s="118"/>
    </row>
    <row r="163" spans="2:11" ht="15">
      <c r="B163" s="52" t="s">
        <v>1241</v>
      </c>
      <c r="G163" s="141">
        <f>ROUND(G39+G120,0)</f>
        <v>-618959</v>
      </c>
      <c r="I163" s="141">
        <f>ROUND(I39+I120,0)</f>
        <v>-105224</v>
      </c>
      <c r="J163" s="119"/>
      <c r="K163" s="14"/>
    </row>
    <row r="164" spans="2:9" ht="15">
      <c r="B164" s="52" t="s">
        <v>252</v>
      </c>
      <c r="G164" s="141">
        <f>G162-G163</f>
        <v>-0.010000000009313226</v>
      </c>
      <c r="I164" s="141">
        <f>I162-I163</f>
        <v>1.3500000000058208</v>
      </c>
    </row>
    <row r="165" spans="7:10" ht="15">
      <c r="G165" s="141"/>
      <c r="J165" s="53" t="s">
        <v>1557</v>
      </c>
    </row>
    <row r="166" spans="2:9" ht="15">
      <c r="B166" s="52" t="s">
        <v>685</v>
      </c>
      <c r="G166" s="140">
        <f>758162.6-288635.61</f>
        <v>469526.99</v>
      </c>
      <c r="I166" s="140">
        <f>614574.61-324705.29</f>
        <v>289869.32</v>
      </c>
    </row>
    <row r="167" spans="2:11" ht="15">
      <c r="B167" s="52" t="s">
        <v>96</v>
      </c>
      <c r="G167" s="141">
        <f>ROUND(G77+G158,0)</f>
        <v>469526</v>
      </c>
      <c r="I167" s="141">
        <f>ROUND(I77+I158,0)</f>
        <v>289869</v>
      </c>
      <c r="J167" s="119"/>
      <c r="K167" s="14"/>
    </row>
    <row r="168" spans="2:11" ht="15">
      <c r="B168" s="52" t="s">
        <v>1340</v>
      </c>
      <c r="G168" s="141">
        <f>G166-G167</f>
        <v>0.9899999999906868</v>
      </c>
      <c r="I168" s="141">
        <f>I166-I167</f>
        <v>0.3200000000069849</v>
      </c>
      <c r="K168" s="14"/>
    </row>
    <row r="169" spans="8:10" ht="15" thickBot="1">
      <c r="H169" s="32"/>
      <c r="J169" s="84"/>
    </row>
    <row r="170" spans="6:10" ht="15">
      <c r="F170" s="120"/>
      <c r="G170" s="92"/>
      <c r="H170" s="92"/>
      <c r="I170" s="154" t="s">
        <v>1166</v>
      </c>
      <c r="J170" s="53" t="s">
        <v>1557</v>
      </c>
    </row>
    <row r="171" spans="6:9" ht="15">
      <c r="F171" s="121"/>
      <c r="G171" s="78" t="s">
        <v>1853</v>
      </c>
      <c r="H171" s="78"/>
      <c r="I171" s="155">
        <f>I167</f>
        <v>289869</v>
      </c>
    </row>
    <row r="172" spans="1:10" ht="15.75" thickBot="1">
      <c r="A172" s="101"/>
      <c r="F172" s="121"/>
      <c r="G172" s="93" t="s">
        <v>67</v>
      </c>
      <c r="H172" s="93"/>
      <c r="I172" s="156">
        <v>0</v>
      </c>
      <c r="J172" s="84"/>
    </row>
    <row r="173" spans="6:9" ht="15">
      <c r="F173" s="122"/>
      <c r="G173" s="94"/>
      <c r="H173" s="94"/>
      <c r="I173" s="157">
        <f>SUM(I171:I172)</f>
        <v>289869</v>
      </c>
    </row>
    <row r="174" spans="6:10" ht="15">
      <c r="F174" s="77" t="s">
        <v>68</v>
      </c>
      <c r="G174" s="8"/>
      <c r="H174" s="78"/>
      <c r="I174" s="158">
        <v>0</v>
      </c>
      <c r="J174" s="84">
        <f>I174-I173</f>
        <v>-289869</v>
      </c>
    </row>
    <row r="175" spans="6:9" ht="15.75" thickBot="1">
      <c r="F175" s="123" t="s">
        <v>182</v>
      </c>
      <c r="G175" s="160" t="s">
        <v>69</v>
      </c>
      <c r="H175" s="93"/>
      <c r="I175" s="156"/>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L25" sqref="L25"/>
    </sheetView>
  </sheetViews>
  <sheetFormatPr defaultColWidth="9.7109375" defaultRowHeight="12.75"/>
  <cols>
    <col min="1" max="2" width="9.7109375" style="41" customWidth="1"/>
    <col min="3" max="3" width="11.28125" style="41" customWidth="1"/>
    <col min="4" max="9" width="9.7109375" style="41" customWidth="1"/>
    <col min="10" max="10" width="24.00390625" style="41" customWidth="1"/>
    <col min="11" max="11" width="13.7109375" style="41" customWidth="1"/>
    <col min="12" max="12" width="28.57421875" style="41" customWidth="1"/>
    <col min="13" max="13" width="12.7109375" style="41" bestFit="1" customWidth="1"/>
    <col min="14" max="15" width="9.7109375" style="41" customWidth="1"/>
    <col min="16" max="16" width="19.57421875" style="41" customWidth="1"/>
    <col min="17" max="17" width="21.00390625" style="41" customWidth="1"/>
    <col min="18" max="18" width="6.8515625" style="41" customWidth="1"/>
    <col min="19" max="19" width="9.8515625" style="41" customWidth="1"/>
    <col min="20" max="20" width="14.140625" style="41" customWidth="1"/>
    <col min="21" max="21" width="9.7109375" style="0" customWidth="1"/>
  </cols>
  <sheetData>
    <row r="1" spans="1:19" ht="15.75">
      <c r="A1" s="103" t="s">
        <v>1624</v>
      </c>
      <c r="B1" s="11"/>
      <c r="C1" s="11"/>
      <c r="D1" s="43" t="s">
        <v>1557</v>
      </c>
      <c r="F1" s="11"/>
      <c r="G1" s="11"/>
      <c r="H1" s="11"/>
      <c r="I1" s="11"/>
      <c r="J1" s="11"/>
      <c r="K1" s="11"/>
      <c r="L1" s="11"/>
      <c r="M1" s="169" t="s">
        <v>312</v>
      </c>
      <c r="N1" s="169"/>
      <c r="O1" s="169"/>
      <c r="P1" s="391" t="s">
        <v>309</v>
      </c>
      <c r="Q1" s="391"/>
      <c r="R1" s="41">
        <v>0</v>
      </c>
      <c r="S1" s="41" t="s">
        <v>1219</v>
      </c>
    </row>
    <row r="2" spans="1:19" ht="18">
      <c r="A2" s="11"/>
      <c r="B2" s="11"/>
      <c r="C2" s="11"/>
      <c r="D2" s="103"/>
      <c r="E2" s="11"/>
      <c r="F2" s="11"/>
      <c r="G2" s="11"/>
      <c r="H2" s="11"/>
      <c r="I2" s="11"/>
      <c r="J2" s="11"/>
      <c r="K2" s="11"/>
      <c r="L2" s="392" t="s">
        <v>1044</v>
      </c>
      <c r="M2" s="11"/>
      <c r="N2" s="393"/>
      <c r="R2" s="41">
        <v>1</v>
      </c>
      <c r="S2" s="41" t="s">
        <v>789</v>
      </c>
    </row>
    <row r="3" spans="1:19" ht="18">
      <c r="A3" s="103" t="s">
        <v>238</v>
      </c>
      <c r="B3" s="11"/>
      <c r="C3" s="11"/>
      <c r="D3" s="103"/>
      <c r="E3" s="11"/>
      <c r="F3" s="11"/>
      <c r="G3" s="11"/>
      <c r="H3" s="11"/>
      <c r="I3" s="11"/>
      <c r="J3" s="11"/>
      <c r="K3" s="11"/>
      <c r="L3" s="394">
        <v>5</v>
      </c>
      <c r="M3" s="50" t="s">
        <v>887</v>
      </c>
      <c r="N3" s="393"/>
      <c r="P3" s="395" t="s">
        <v>1520</v>
      </c>
      <c r="Q3" s="395"/>
      <c r="R3" s="41">
        <v>2</v>
      </c>
      <c r="S3" s="41" t="s">
        <v>790</v>
      </c>
    </row>
    <row r="4" spans="1:19" ht="18">
      <c r="A4" s="103"/>
      <c r="B4" s="11"/>
      <c r="C4" s="11"/>
      <c r="D4" s="103"/>
      <c r="E4" s="11"/>
      <c r="F4" s="11"/>
      <c r="G4" s="11"/>
      <c r="H4" s="11"/>
      <c r="I4" s="11"/>
      <c r="J4" s="11"/>
      <c r="K4" s="11"/>
      <c r="L4" s="396" t="s">
        <v>1929</v>
      </c>
      <c r="M4" s="11" t="s">
        <v>1701</v>
      </c>
      <c r="N4" s="393"/>
      <c r="P4" s="397" t="str">
        <f>"Average Rate for "&amp;VLOOKUP($L$3,MONTHS,2,TRUE)</f>
        <v>Average Rate for May</v>
      </c>
      <c r="Q4" s="398">
        <v>0.004537</v>
      </c>
      <c r="R4" s="41">
        <v>3</v>
      </c>
      <c r="S4" s="41" t="s">
        <v>791</v>
      </c>
    </row>
    <row r="5" spans="1:19" ht="18">
      <c r="A5" s="103" t="s">
        <v>15</v>
      </c>
      <c r="B5" s="11"/>
      <c r="C5" s="11"/>
      <c r="D5" s="103"/>
      <c r="E5" s="11"/>
      <c r="F5" s="11"/>
      <c r="G5" s="11"/>
      <c r="H5" s="11"/>
      <c r="I5" s="11"/>
      <c r="J5" s="11"/>
      <c r="K5" s="11"/>
      <c r="L5" s="399" t="str">
        <f>VLOOKUP(L3-1,R1:S13,2)</f>
        <v>April</v>
      </c>
      <c r="M5" s="11" t="s">
        <v>113</v>
      </c>
      <c r="N5" s="393"/>
      <c r="R5" s="41">
        <v>4</v>
      </c>
      <c r="S5" s="41" t="s">
        <v>931</v>
      </c>
    </row>
    <row r="6" spans="1:19" ht="18">
      <c r="A6" s="11"/>
      <c r="B6" s="11"/>
      <c r="C6" s="11"/>
      <c r="D6" s="11"/>
      <c r="E6" s="11"/>
      <c r="F6" s="11"/>
      <c r="G6" s="11"/>
      <c r="H6" s="11"/>
      <c r="I6" s="11"/>
      <c r="J6" s="11"/>
      <c r="K6" s="11"/>
      <c r="L6" s="400" t="str">
        <f>VLOOKUP(L3,MONTHS,2,TRUE)</f>
        <v>May</v>
      </c>
      <c r="M6" s="50" t="s">
        <v>887</v>
      </c>
      <c r="N6" s="393"/>
      <c r="P6" s="401"/>
      <c r="R6" s="41">
        <v>5</v>
      </c>
      <c r="S6" s="41" t="s">
        <v>932</v>
      </c>
    </row>
    <row r="7" spans="1:19" ht="18">
      <c r="A7" s="11" t="s">
        <v>1214</v>
      </c>
      <c r="B7" s="11"/>
      <c r="C7" s="11"/>
      <c r="D7" s="11"/>
      <c r="E7" s="11"/>
      <c r="F7" s="11"/>
      <c r="G7" s="11"/>
      <c r="H7" s="11"/>
      <c r="I7" s="11"/>
      <c r="J7" s="11"/>
      <c r="K7" s="11"/>
      <c r="L7" s="400" t="str">
        <f>L6&amp;", "&amp;L4</f>
        <v>May, 2015</v>
      </c>
      <c r="M7" s="50" t="s">
        <v>1702</v>
      </c>
      <c r="N7" s="393"/>
      <c r="P7" s="395" t="s">
        <v>634</v>
      </c>
      <c r="Q7" s="395"/>
      <c r="R7" s="41">
        <v>6</v>
      </c>
      <c r="S7" s="41" t="s">
        <v>933</v>
      </c>
    </row>
    <row r="8" spans="1:19" ht="18">
      <c r="A8" s="11" t="s">
        <v>112</v>
      </c>
      <c r="B8" s="11"/>
      <c r="C8" s="11"/>
      <c r="D8" s="11"/>
      <c r="E8" s="11"/>
      <c r="F8" s="11"/>
      <c r="G8" s="11"/>
      <c r="H8" s="11"/>
      <c r="I8" s="11"/>
      <c r="J8" s="11"/>
      <c r="K8" s="11"/>
      <c r="L8" s="394" t="s">
        <v>1638</v>
      </c>
      <c r="M8" s="50"/>
      <c r="N8" s="393"/>
      <c r="P8" s="402" t="s">
        <v>894</v>
      </c>
      <c r="Q8" s="403">
        <v>42164</v>
      </c>
      <c r="R8" s="41">
        <v>7</v>
      </c>
      <c r="S8" s="41" t="s">
        <v>934</v>
      </c>
    </row>
    <row r="9" spans="1:20" ht="17.25">
      <c r="A9" s="11"/>
      <c r="B9" s="11"/>
      <c r="C9" s="11"/>
      <c r="D9" s="11"/>
      <c r="E9" s="11"/>
      <c r="F9" s="11"/>
      <c r="G9" s="11"/>
      <c r="H9" s="11"/>
      <c r="I9" s="11"/>
      <c r="J9" s="11"/>
      <c r="K9" s="11"/>
      <c r="L9" s="404"/>
      <c r="N9" s="393"/>
      <c r="P9" s="402" t="s">
        <v>1357</v>
      </c>
      <c r="Q9" s="405">
        <f>+Q8+10</f>
        <v>42174</v>
      </c>
      <c r="R9" s="41">
        <v>8</v>
      </c>
      <c r="S9" s="41" t="s">
        <v>935</v>
      </c>
      <c r="T9" s="406">
        <f>WEEKDAY(Q9)</f>
        <v>6</v>
      </c>
    </row>
    <row r="10" spans="1:20" ht="17.25">
      <c r="A10" s="11" t="s">
        <v>1276</v>
      </c>
      <c r="B10" s="11"/>
      <c r="C10" s="11"/>
      <c r="D10" s="11"/>
      <c r="E10" s="11"/>
      <c r="F10" s="11"/>
      <c r="G10" s="11"/>
      <c r="H10" s="11"/>
      <c r="I10" s="11"/>
      <c r="J10" s="11"/>
      <c r="K10" s="11"/>
      <c r="L10" s="407" t="s">
        <v>13</v>
      </c>
      <c r="N10" s="393"/>
      <c r="P10" s="402" t="s">
        <v>635</v>
      </c>
      <c r="Q10" s="403">
        <f>Q9+2</f>
        <v>42176</v>
      </c>
      <c r="R10" s="41">
        <v>9</v>
      </c>
      <c r="S10" s="41" t="s">
        <v>1242</v>
      </c>
      <c r="T10" s="406">
        <f>WEEKDAY(Q10)</f>
        <v>1</v>
      </c>
    </row>
    <row r="11" spans="1:19" ht="17.25">
      <c r="A11" s="11" t="s">
        <v>73</v>
      </c>
      <c r="B11" s="11"/>
      <c r="C11" s="11"/>
      <c r="D11" s="11"/>
      <c r="E11" s="11"/>
      <c r="F11" s="11"/>
      <c r="G11" s="11"/>
      <c r="H11" s="11"/>
      <c r="I11" s="11"/>
      <c r="J11" s="11"/>
      <c r="K11" s="11"/>
      <c r="L11" s="408">
        <f>+Q9</f>
        <v>42174</v>
      </c>
      <c r="M11" s="409"/>
      <c r="N11" s="393"/>
      <c r="R11" s="41">
        <v>10</v>
      </c>
      <c r="S11" s="41" t="s">
        <v>1217</v>
      </c>
    </row>
    <row r="12" spans="1:19" ht="17.25">
      <c r="A12" s="11" t="s">
        <v>245</v>
      </c>
      <c r="B12" s="11"/>
      <c r="C12" s="11"/>
      <c r="D12" s="11"/>
      <c r="E12" s="11"/>
      <c r="F12" s="11"/>
      <c r="G12" s="11"/>
      <c r="H12" s="11"/>
      <c r="I12" s="11"/>
      <c r="J12" s="11"/>
      <c r="K12" s="11"/>
      <c r="N12" s="393"/>
      <c r="R12" s="41">
        <v>11</v>
      </c>
      <c r="S12" s="41" t="s">
        <v>1218</v>
      </c>
    </row>
    <row r="13" spans="1:19" ht="17.25">
      <c r="A13" s="11"/>
      <c r="B13" s="11"/>
      <c r="C13" s="11"/>
      <c r="D13" s="11"/>
      <c r="E13" s="11"/>
      <c r="F13" s="11"/>
      <c r="G13" s="11"/>
      <c r="H13" s="11"/>
      <c r="I13" s="11"/>
      <c r="J13" s="11"/>
      <c r="K13" s="11"/>
      <c r="L13" s="409"/>
      <c r="M13" s="409"/>
      <c r="N13" s="393"/>
      <c r="P13" s="41" t="s">
        <v>912</v>
      </c>
      <c r="Q13" s="410" t="s">
        <v>369</v>
      </c>
      <c r="R13" s="41">
        <v>12</v>
      </c>
      <c r="S13" s="41" t="s">
        <v>1219</v>
      </c>
    </row>
    <row r="14" spans="1:14" ht="17.25">
      <c r="A14" s="11" t="s">
        <v>164</v>
      </c>
      <c r="B14" s="11"/>
      <c r="C14" s="11"/>
      <c r="D14" s="11"/>
      <c r="E14" s="11"/>
      <c r="F14" s="11"/>
      <c r="G14" s="11"/>
      <c r="H14" s="11"/>
      <c r="I14" s="11"/>
      <c r="J14" s="11"/>
      <c r="K14" s="11"/>
      <c r="L14" s="392" t="s">
        <v>1044</v>
      </c>
      <c r="M14" s="409"/>
      <c r="N14" s="393"/>
    </row>
    <row r="15" spans="1:14" ht="17.25">
      <c r="A15" s="11" t="s">
        <v>1272</v>
      </c>
      <c r="B15" s="11"/>
      <c r="C15" s="11"/>
      <c r="D15" s="11"/>
      <c r="E15" s="11"/>
      <c r="F15" s="11"/>
      <c r="G15" s="11"/>
      <c r="H15" s="11"/>
      <c r="I15" s="11"/>
      <c r="J15" s="11"/>
      <c r="K15" s="11"/>
      <c r="L15" s="394">
        <v>31</v>
      </c>
      <c r="M15" s="50" t="s">
        <v>1913</v>
      </c>
      <c r="N15" s="393"/>
    </row>
    <row r="16" spans="1:14" ht="17.25">
      <c r="A16" s="11" t="s">
        <v>1875</v>
      </c>
      <c r="B16" s="11"/>
      <c r="C16" s="11"/>
      <c r="D16" s="11"/>
      <c r="E16" s="11"/>
      <c r="F16" s="11"/>
      <c r="G16" s="11"/>
      <c r="H16" s="11"/>
      <c r="I16" s="11"/>
      <c r="J16" s="11"/>
      <c r="K16" s="11"/>
      <c r="L16" s="394">
        <v>365</v>
      </c>
      <c r="M16" s="50" t="s">
        <v>1914</v>
      </c>
      <c r="N16" s="393"/>
    </row>
    <row r="17" spans="1:14" ht="17.25">
      <c r="A17" s="11" t="s">
        <v>1432</v>
      </c>
      <c r="B17" s="11"/>
      <c r="C17" s="11"/>
      <c r="D17" s="11"/>
      <c r="E17" s="11"/>
      <c r="F17" s="11"/>
      <c r="G17" s="11"/>
      <c r="H17" s="11"/>
      <c r="I17" s="11"/>
      <c r="J17" s="11"/>
      <c r="K17" s="11"/>
      <c r="L17" s="11"/>
      <c r="M17" s="409"/>
      <c r="N17" s="393"/>
    </row>
    <row r="18" spans="11:14" ht="17.25">
      <c r="K18" s="11"/>
      <c r="L18" s="11"/>
      <c r="M18" s="409"/>
      <c r="N18" s="393"/>
    </row>
    <row r="19" spans="1:14" ht="17.25">
      <c r="A19" s="11" t="s">
        <v>142</v>
      </c>
      <c r="K19" s="11"/>
      <c r="L19" s="43" t="s">
        <v>1442</v>
      </c>
      <c r="M19" s="411">
        <v>0.7</v>
      </c>
      <c r="N19" s="393"/>
    </row>
    <row r="20" spans="1:14" ht="17.25">
      <c r="A20" s="11" t="s">
        <v>157</v>
      </c>
      <c r="K20" s="11"/>
      <c r="L20" s="43" t="s">
        <v>1443</v>
      </c>
      <c r="M20" s="411">
        <v>0.3</v>
      </c>
      <c r="N20" s="393"/>
    </row>
    <row r="21" spans="1:14" ht="17.25">
      <c r="A21" s="11"/>
      <c r="B21" s="11"/>
      <c r="C21" s="11"/>
      <c r="D21" s="11"/>
      <c r="E21" s="11"/>
      <c r="F21" s="11"/>
      <c r="G21" s="11"/>
      <c r="H21" s="11"/>
      <c r="I21" s="11"/>
      <c r="J21" s="11"/>
      <c r="K21" s="11"/>
      <c r="L21" s="11"/>
      <c r="M21" s="409"/>
      <c r="N21" s="393"/>
    </row>
    <row r="22" spans="1:14" ht="17.25">
      <c r="A22" s="11" t="s">
        <v>839</v>
      </c>
      <c r="B22" s="11"/>
      <c r="C22" s="11"/>
      <c r="D22" s="11"/>
      <c r="E22" s="11"/>
      <c r="F22" s="11"/>
      <c r="G22" s="11"/>
      <c r="H22" s="11"/>
      <c r="I22" s="11"/>
      <c r="J22" s="11"/>
      <c r="K22" s="11"/>
      <c r="L22" s="11"/>
      <c r="M22" s="409"/>
      <c r="N22" s="393"/>
    </row>
    <row r="23" spans="2:14" ht="17.25">
      <c r="B23" s="11"/>
      <c r="C23" s="11"/>
      <c r="D23" s="11"/>
      <c r="E23" s="11"/>
      <c r="F23" s="11"/>
      <c r="G23" s="11"/>
      <c r="H23" s="11"/>
      <c r="I23" s="11"/>
      <c r="J23" s="11"/>
      <c r="K23" s="11"/>
      <c r="L23" s="11"/>
      <c r="M23" s="409"/>
      <c r="N23" s="393"/>
    </row>
    <row r="24" spans="1:13" ht="12.75">
      <c r="A24" s="11" t="s">
        <v>358</v>
      </c>
      <c r="B24" s="11"/>
      <c r="C24" s="11"/>
      <c r="D24" s="11"/>
      <c r="E24" s="11"/>
      <c r="F24" s="11"/>
      <c r="G24" s="11"/>
      <c r="H24" s="11"/>
      <c r="I24" s="11"/>
      <c r="J24" s="11"/>
      <c r="K24" s="11"/>
      <c r="L24" s="11"/>
      <c r="M24" s="11"/>
    </row>
    <row r="25" spans="2:13" ht="12.75">
      <c r="B25" s="11"/>
      <c r="C25" s="11"/>
      <c r="D25" s="11"/>
      <c r="E25" s="11"/>
      <c r="F25" s="11"/>
      <c r="G25" s="11"/>
      <c r="H25" s="11"/>
      <c r="I25" s="11"/>
      <c r="J25" s="11"/>
      <c r="K25" s="11"/>
      <c r="L25" s="11"/>
      <c r="M25" s="11"/>
    </row>
    <row r="26" spans="1:13" ht="12.75">
      <c r="A26" s="11"/>
      <c r="B26" s="11"/>
      <c r="C26" s="11"/>
      <c r="D26" s="11"/>
      <c r="E26" s="11"/>
      <c r="F26" s="11"/>
      <c r="G26" s="11"/>
      <c r="H26" s="11"/>
      <c r="I26" s="11"/>
      <c r="J26" s="11"/>
      <c r="K26" s="11"/>
      <c r="L26" s="11"/>
      <c r="M26" s="11"/>
    </row>
    <row r="27" spans="1:13" ht="15">
      <c r="A27" s="103" t="s">
        <v>359</v>
      </c>
      <c r="B27" s="11"/>
      <c r="C27" s="11"/>
      <c r="D27" s="11"/>
      <c r="E27" s="11"/>
      <c r="F27" s="11"/>
      <c r="G27" s="11"/>
      <c r="H27" s="11"/>
      <c r="I27" s="11"/>
      <c r="J27" s="11"/>
      <c r="K27" s="11"/>
      <c r="L27" s="11"/>
      <c r="M27" s="11"/>
    </row>
    <row r="28" spans="1:13" ht="12.75">
      <c r="A28" s="11"/>
      <c r="B28" s="11"/>
      <c r="C28" s="11"/>
      <c r="D28" s="11"/>
      <c r="E28" s="11"/>
      <c r="F28" s="11"/>
      <c r="G28" s="11"/>
      <c r="H28" s="11"/>
      <c r="I28" s="11"/>
      <c r="J28" s="11"/>
      <c r="K28" s="11"/>
      <c r="L28" s="11"/>
      <c r="M28" s="11"/>
    </row>
    <row r="29" spans="1:13" ht="17.25">
      <c r="A29" s="11" t="s">
        <v>98</v>
      </c>
      <c r="B29" s="11"/>
      <c r="C29" s="11"/>
      <c r="D29" s="11"/>
      <c r="E29" s="11"/>
      <c r="F29" s="11"/>
      <c r="G29" s="11"/>
      <c r="H29" s="11"/>
      <c r="I29" s="11"/>
      <c r="J29" s="11"/>
      <c r="K29" s="11"/>
      <c r="L29" s="412" t="str">
        <f>UPPER(L8)</f>
        <v>ESTIMATE</v>
      </c>
      <c r="M29" s="413"/>
    </row>
    <row r="30" spans="1:13" ht="12.75">
      <c r="A30" s="11" t="s">
        <v>1409</v>
      </c>
      <c r="B30" s="11"/>
      <c r="C30" s="11"/>
      <c r="D30" s="11"/>
      <c r="E30" s="11"/>
      <c r="F30" s="11"/>
      <c r="G30" s="11"/>
      <c r="H30" s="11"/>
      <c r="I30" s="11"/>
      <c r="J30" s="11"/>
      <c r="K30" s="11"/>
      <c r="L30" s="11"/>
      <c r="M30" s="11"/>
    </row>
    <row r="31" spans="1:13" ht="12.75">
      <c r="A31" s="11" t="s">
        <v>240</v>
      </c>
      <c r="B31" s="11"/>
      <c r="C31" s="11"/>
      <c r="D31" s="11"/>
      <c r="E31" s="11"/>
      <c r="F31" s="11"/>
      <c r="G31" s="11"/>
      <c r="H31" s="11"/>
      <c r="I31" s="11"/>
      <c r="J31" s="11"/>
      <c r="K31" s="11"/>
      <c r="L31" s="11"/>
      <c r="M31" s="11"/>
    </row>
    <row r="32" spans="1:13" ht="12.75">
      <c r="A32" s="11"/>
      <c r="B32" s="11"/>
      <c r="C32" s="11"/>
      <c r="D32" s="11"/>
      <c r="E32" s="11"/>
      <c r="F32" s="11"/>
      <c r="G32" s="11"/>
      <c r="H32" s="11"/>
      <c r="I32" s="11"/>
      <c r="J32" s="11"/>
      <c r="K32" s="11"/>
      <c r="L32" s="11"/>
      <c r="M32" s="11"/>
    </row>
    <row r="33" spans="1:13" ht="12.75">
      <c r="A33" s="11"/>
      <c r="B33" s="11"/>
      <c r="C33" s="11"/>
      <c r="D33" s="11"/>
      <c r="E33" s="11"/>
      <c r="F33" s="11"/>
      <c r="G33" s="11"/>
      <c r="H33" s="11"/>
      <c r="I33" s="11"/>
      <c r="J33" s="11"/>
      <c r="K33" s="11"/>
      <c r="L33" s="11"/>
      <c r="M33" s="11"/>
    </row>
    <row r="34" spans="1:13" ht="12.75">
      <c r="A34" s="11" t="s">
        <v>415</v>
      </c>
      <c r="B34" s="11"/>
      <c r="C34" s="11"/>
      <c r="D34" s="11"/>
      <c r="E34" s="11"/>
      <c r="F34" s="11"/>
      <c r="G34" s="11"/>
      <c r="H34" s="11"/>
      <c r="I34" s="11"/>
      <c r="J34" s="11"/>
      <c r="K34" s="11"/>
      <c r="L34" s="11"/>
      <c r="M34" s="11"/>
    </row>
    <row r="35" spans="1:13" ht="12.75">
      <c r="A35" s="11" t="s">
        <v>239</v>
      </c>
      <c r="B35" s="11"/>
      <c r="C35" s="11"/>
      <c r="D35" s="11"/>
      <c r="E35" s="11"/>
      <c r="F35" s="11"/>
      <c r="G35" s="11"/>
      <c r="H35" s="11"/>
      <c r="I35" s="11"/>
      <c r="J35" s="11"/>
      <c r="K35" s="11"/>
      <c r="L35" s="11"/>
      <c r="M35" s="11"/>
    </row>
    <row r="36" spans="1:13" ht="12.75">
      <c r="A36" s="11" t="s">
        <v>1854</v>
      </c>
      <c r="B36" s="11"/>
      <c r="C36" s="11"/>
      <c r="D36" s="11"/>
      <c r="E36" s="11"/>
      <c r="F36" s="11"/>
      <c r="G36" s="11"/>
      <c r="H36" s="11"/>
      <c r="I36" s="11"/>
      <c r="J36" s="11"/>
      <c r="K36" s="11"/>
      <c r="L36" s="11"/>
      <c r="M36" s="11"/>
    </row>
    <row r="37" spans="1:13" ht="12.75">
      <c r="A37" s="11" t="s">
        <v>873</v>
      </c>
      <c r="B37" s="11"/>
      <c r="C37" s="11"/>
      <c r="D37" s="11"/>
      <c r="E37" s="11"/>
      <c r="F37" s="11"/>
      <c r="G37" s="11"/>
      <c r="H37" s="11"/>
      <c r="I37" s="11"/>
      <c r="J37" s="11"/>
      <c r="K37" s="11"/>
      <c r="L37" s="11"/>
      <c r="M37" s="11"/>
    </row>
    <row r="38" spans="1:13" ht="12.75">
      <c r="A38" s="11" t="s">
        <v>1160</v>
      </c>
      <c r="B38" s="11"/>
      <c r="C38" s="11"/>
      <c r="D38" s="11"/>
      <c r="E38" s="11"/>
      <c r="F38" s="11"/>
      <c r="G38" s="11"/>
      <c r="H38" s="11"/>
      <c r="I38" s="11"/>
      <c r="J38" s="11"/>
      <c r="K38" s="11"/>
      <c r="L38" s="11"/>
      <c r="M38" s="11"/>
    </row>
    <row r="39" spans="1:13" ht="12.75">
      <c r="A39" s="11" t="s">
        <v>1606</v>
      </c>
      <c r="B39" s="11"/>
      <c r="C39" s="11"/>
      <c r="D39" s="11"/>
      <c r="E39" s="11"/>
      <c r="F39" s="11"/>
      <c r="G39" s="11"/>
      <c r="H39" s="11"/>
      <c r="I39" s="11"/>
      <c r="J39" s="11"/>
      <c r="K39" s="11"/>
      <c r="L39" s="11"/>
      <c r="M39" s="11"/>
    </row>
    <row r="40" spans="1:13" ht="12.75">
      <c r="A40" s="11" t="s">
        <v>1670</v>
      </c>
      <c r="B40" s="11"/>
      <c r="C40" s="11"/>
      <c r="D40" s="11"/>
      <c r="E40" s="11"/>
      <c r="F40" s="11"/>
      <c r="G40" s="11"/>
      <c r="H40" s="11"/>
      <c r="I40" s="11"/>
      <c r="J40" s="11"/>
      <c r="K40" s="11"/>
      <c r="L40" s="11"/>
      <c r="M40" s="11"/>
    </row>
    <row r="41" spans="1:13" ht="12.75">
      <c r="A41" s="11" t="s">
        <v>880</v>
      </c>
      <c r="B41" s="11"/>
      <c r="C41" s="11"/>
      <c r="D41" s="11"/>
      <c r="E41" s="11"/>
      <c r="F41" s="11"/>
      <c r="G41" s="11"/>
      <c r="H41" s="11"/>
      <c r="I41" s="11"/>
      <c r="J41" s="11"/>
      <c r="K41" s="11"/>
      <c r="L41" s="11"/>
      <c r="M41" s="11"/>
    </row>
    <row r="42" spans="1:13" ht="12.75">
      <c r="A42" s="11" t="s">
        <v>1179</v>
      </c>
      <c r="B42" s="11"/>
      <c r="C42" s="11"/>
      <c r="D42" s="11"/>
      <c r="E42" s="11"/>
      <c r="F42" s="11"/>
      <c r="G42" s="11"/>
      <c r="H42" s="11"/>
      <c r="I42" s="11"/>
      <c r="J42" s="11"/>
      <c r="K42" s="11"/>
      <c r="L42" s="11"/>
      <c r="M42" s="11"/>
    </row>
    <row r="43" spans="1:13" ht="12.75">
      <c r="A43" s="11" t="s">
        <v>354</v>
      </c>
      <c r="B43" s="11"/>
      <c r="C43" s="11"/>
      <c r="D43" s="11"/>
      <c r="E43" s="11"/>
      <c r="F43" s="11"/>
      <c r="G43" s="11"/>
      <c r="H43" s="11"/>
      <c r="I43" s="11"/>
      <c r="J43" s="11"/>
      <c r="K43" s="11"/>
      <c r="L43" s="11"/>
      <c r="M43" s="11"/>
    </row>
    <row r="44" spans="1:13" ht="12.75">
      <c r="A44" s="11" t="s">
        <v>33</v>
      </c>
      <c r="B44" s="11"/>
      <c r="C44" s="11"/>
      <c r="D44" s="11"/>
      <c r="E44" s="11"/>
      <c r="F44" s="11"/>
      <c r="G44" s="11"/>
      <c r="H44" s="11"/>
      <c r="I44" s="11"/>
      <c r="J44" s="11"/>
      <c r="K44" s="11"/>
      <c r="L44" s="11"/>
      <c r="M44" s="11"/>
    </row>
    <row r="45" spans="2:13" ht="12.75">
      <c r="B45" s="11"/>
      <c r="C45" s="11"/>
      <c r="D45" s="11"/>
      <c r="E45" s="11"/>
      <c r="F45" s="11"/>
      <c r="G45" s="11"/>
      <c r="H45" s="11"/>
      <c r="I45" s="11"/>
      <c r="J45" s="11"/>
      <c r="K45" s="11"/>
      <c r="L45" s="11"/>
      <c r="M45" s="11"/>
    </row>
    <row r="46" spans="2:13" ht="12.75">
      <c r="B46" s="11"/>
      <c r="C46" s="11"/>
      <c r="D46" s="11"/>
      <c r="E46" s="11"/>
      <c r="F46" s="11"/>
      <c r="G46" s="11"/>
      <c r="H46" s="11"/>
      <c r="I46" s="11"/>
      <c r="J46" s="11"/>
      <c r="K46" s="11"/>
      <c r="L46" s="11"/>
      <c r="M46" s="11"/>
    </row>
    <row r="47" spans="2:13" ht="12.75">
      <c r="B47" s="11"/>
      <c r="C47" s="11"/>
      <c r="D47" s="11"/>
      <c r="E47" s="11"/>
      <c r="F47" s="11"/>
      <c r="G47" s="11"/>
      <c r="H47" s="11"/>
      <c r="I47" s="11"/>
      <c r="J47" s="11"/>
      <c r="K47" s="11"/>
      <c r="L47" s="11"/>
      <c r="M47" s="11"/>
    </row>
    <row r="48" spans="2:13" ht="12.75">
      <c r="B48" s="11"/>
      <c r="C48" s="11"/>
      <c r="D48" s="11"/>
      <c r="E48" s="11"/>
      <c r="F48" s="11"/>
      <c r="G48" s="11"/>
      <c r="H48" s="11"/>
      <c r="I48" s="11"/>
      <c r="J48" s="11"/>
      <c r="K48" s="11"/>
      <c r="L48" s="11"/>
      <c r="M48" s="11"/>
    </row>
    <row r="49" spans="1:13" ht="12.75">
      <c r="A49" s="11"/>
      <c r="B49" s="11"/>
      <c r="C49" s="11"/>
      <c r="D49" s="11"/>
      <c r="E49" s="11"/>
      <c r="F49" s="11"/>
      <c r="G49" s="11"/>
      <c r="H49" s="11"/>
      <c r="I49" s="11"/>
      <c r="J49" s="11"/>
      <c r="K49" s="11"/>
      <c r="L49" s="11"/>
      <c r="M49" s="11"/>
    </row>
    <row r="50" spans="1:13" ht="12.75">
      <c r="A50" s="11"/>
      <c r="B50" s="11"/>
      <c r="C50" s="11"/>
      <c r="D50" s="11"/>
      <c r="E50" s="11"/>
      <c r="F50" s="11"/>
      <c r="G50" s="11"/>
      <c r="H50" s="11"/>
      <c r="I50" s="11"/>
      <c r="J50" s="11"/>
      <c r="K50" s="11"/>
      <c r="L50" s="11"/>
      <c r="M50" s="11"/>
    </row>
    <row r="51" spans="1:13" ht="15">
      <c r="A51" s="103" t="s">
        <v>27</v>
      </c>
      <c r="B51" s="11"/>
      <c r="C51" s="11"/>
      <c r="D51" s="11"/>
      <c r="E51" s="11"/>
      <c r="F51" s="11"/>
      <c r="G51" s="11"/>
      <c r="H51" s="11"/>
      <c r="I51" s="11"/>
      <c r="J51" s="11"/>
      <c r="K51" s="11"/>
      <c r="L51" s="11"/>
      <c r="M51" s="11"/>
    </row>
    <row r="52" spans="1:13" ht="15">
      <c r="A52" s="52" t="s">
        <v>109</v>
      </c>
      <c r="B52" s="11"/>
      <c r="C52" s="11"/>
      <c r="D52" s="11"/>
      <c r="E52" s="11"/>
      <c r="F52" s="11"/>
      <c r="G52" s="11"/>
      <c r="H52" s="11"/>
      <c r="I52" s="11"/>
      <c r="J52" s="11"/>
      <c r="K52" s="11"/>
      <c r="L52" s="11"/>
      <c r="M52" s="11"/>
    </row>
    <row r="53" spans="1:13" ht="12.75">
      <c r="A53" s="11" t="s">
        <v>357</v>
      </c>
      <c r="B53" s="11"/>
      <c r="C53" s="11"/>
      <c r="D53" s="11"/>
      <c r="E53" s="11"/>
      <c r="F53" s="11"/>
      <c r="G53" s="11"/>
      <c r="H53" s="11"/>
      <c r="I53" s="11"/>
      <c r="J53" s="11"/>
      <c r="K53" s="11"/>
      <c r="L53" s="11"/>
      <c r="M53" s="11"/>
    </row>
    <row r="54" spans="1:13" ht="12.75">
      <c r="A54" s="11" t="s">
        <v>21</v>
      </c>
      <c r="B54" s="11"/>
      <c r="C54" s="11"/>
      <c r="D54" s="11"/>
      <c r="E54" s="11"/>
      <c r="F54" s="11"/>
      <c r="G54" s="11"/>
      <c r="H54" s="11"/>
      <c r="I54" s="11"/>
      <c r="J54" s="11"/>
      <c r="K54" s="11"/>
      <c r="L54" s="11"/>
      <c r="M54" s="11"/>
    </row>
    <row r="55" spans="1:13" ht="12.75">
      <c r="A55" s="11"/>
      <c r="B55" s="11"/>
      <c r="C55" s="11"/>
      <c r="D55" s="11"/>
      <c r="E55" s="11"/>
      <c r="F55" s="11"/>
      <c r="G55" s="11"/>
      <c r="H55" s="11"/>
      <c r="I55" s="11"/>
      <c r="J55" s="11"/>
      <c r="K55" s="11"/>
      <c r="L55" s="11"/>
      <c r="M55" s="11"/>
    </row>
    <row r="56" spans="1:13" ht="12.75">
      <c r="A56" s="11"/>
      <c r="B56" s="11"/>
      <c r="C56" s="11"/>
      <c r="D56" s="11"/>
      <c r="E56" s="11"/>
      <c r="F56" s="11"/>
      <c r="G56" s="11"/>
      <c r="H56" s="11"/>
      <c r="I56" s="11"/>
      <c r="J56" s="11"/>
      <c r="K56" s="11"/>
      <c r="L56" s="11"/>
      <c r="M56" s="11"/>
    </row>
    <row r="57" spans="1:13" ht="12.75">
      <c r="A57" s="11" t="s">
        <v>1834</v>
      </c>
      <c r="B57" s="11"/>
      <c r="C57" s="11"/>
      <c r="D57" s="11"/>
      <c r="E57" s="11"/>
      <c r="F57" s="11"/>
      <c r="G57" s="11"/>
      <c r="H57" s="11"/>
      <c r="I57" s="11"/>
      <c r="J57" s="11"/>
      <c r="K57" s="11"/>
      <c r="L57" s="11"/>
      <c r="M57" s="11"/>
    </row>
    <row r="58" spans="1:13" ht="12.75">
      <c r="A58" s="11" t="s">
        <v>1891</v>
      </c>
      <c r="B58" s="11"/>
      <c r="C58" s="11"/>
      <c r="D58" s="11"/>
      <c r="E58" s="11"/>
      <c r="F58" s="11"/>
      <c r="G58" s="11"/>
      <c r="H58" s="11"/>
      <c r="I58" s="11"/>
      <c r="J58" s="11"/>
      <c r="K58" s="11"/>
      <c r="L58" s="11"/>
      <c r="M58" s="11"/>
    </row>
    <row r="59" spans="1:13" ht="12.75">
      <c r="A59" s="11" t="s">
        <v>1229</v>
      </c>
      <c r="B59" s="11"/>
      <c r="C59" s="11"/>
      <c r="D59" s="11"/>
      <c r="E59" s="11"/>
      <c r="F59" s="11"/>
      <c r="G59" s="11"/>
      <c r="H59" s="11"/>
      <c r="I59" s="11"/>
      <c r="J59" s="11"/>
      <c r="K59" s="11"/>
      <c r="L59" s="11"/>
      <c r="M59" s="11"/>
    </row>
    <row r="60" spans="1:13" ht="12.75">
      <c r="A60" s="11" t="s">
        <v>111</v>
      </c>
      <c r="B60" s="11"/>
      <c r="C60" s="11"/>
      <c r="D60" s="11"/>
      <c r="E60" s="11"/>
      <c r="F60" s="11"/>
      <c r="G60" s="11"/>
      <c r="H60" s="11"/>
      <c r="I60" s="11"/>
      <c r="J60" s="11"/>
      <c r="K60" s="11"/>
      <c r="L60" s="11"/>
      <c r="M60" s="11"/>
    </row>
    <row r="61" spans="1:13" ht="12.75">
      <c r="A61" s="11"/>
      <c r="B61" s="11"/>
      <c r="C61" s="11"/>
      <c r="D61" s="11"/>
      <c r="E61" s="11"/>
      <c r="F61" s="11"/>
      <c r="G61" s="11"/>
      <c r="H61" s="11"/>
      <c r="I61" s="11"/>
      <c r="J61" s="11"/>
      <c r="K61" s="11"/>
      <c r="L61" s="11"/>
      <c r="M61" s="11"/>
    </row>
    <row r="62" spans="1:13" ht="15">
      <c r="A62" s="103" t="s">
        <v>1402</v>
      </c>
      <c r="B62" s="11"/>
      <c r="C62" s="11"/>
      <c r="D62" s="11"/>
      <c r="E62" s="11"/>
      <c r="F62" s="11"/>
      <c r="G62" s="11"/>
      <c r="H62" s="11"/>
      <c r="I62" s="11"/>
      <c r="J62" s="11"/>
      <c r="K62" s="11"/>
      <c r="L62" s="11"/>
      <c r="M62" s="11"/>
    </row>
    <row r="63" spans="1:13" ht="12.75">
      <c r="A63" s="11" t="s">
        <v>392</v>
      </c>
      <c r="B63" s="11"/>
      <c r="C63" s="11"/>
      <c r="D63" s="11"/>
      <c r="E63" s="11"/>
      <c r="F63" s="11"/>
      <c r="G63" s="11"/>
      <c r="H63" s="11"/>
      <c r="I63" s="11"/>
      <c r="J63" s="11"/>
      <c r="K63" s="11"/>
      <c r="L63" s="11"/>
      <c r="M63" s="11"/>
    </row>
    <row r="64" spans="1:13" ht="12.75">
      <c r="A64" s="11" t="s">
        <v>1249</v>
      </c>
      <c r="B64" s="11"/>
      <c r="C64" s="11"/>
      <c r="D64" s="11"/>
      <c r="E64" s="11"/>
      <c r="F64" s="11"/>
      <c r="G64" s="11"/>
      <c r="H64" s="11"/>
      <c r="I64" s="11"/>
      <c r="J64" s="11"/>
      <c r="K64" s="11"/>
      <c r="L64" s="11"/>
      <c r="M64" s="11"/>
    </row>
    <row r="65" spans="1:13" ht="12.75">
      <c r="A65" s="11"/>
      <c r="B65" s="11"/>
      <c r="C65" s="11"/>
      <c r="D65" s="11"/>
      <c r="E65" s="11"/>
      <c r="F65" s="11"/>
      <c r="G65" s="11"/>
      <c r="H65" s="11"/>
      <c r="I65" s="11"/>
      <c r="J65" s="11"/>
      <c r="K65" s="11"/>
      <c r="L65" s="11"/>
      <c r="M65" s="11"/>
    </row>
    <row r="66" spans="1:13" ht="12.75">
      <c r="A66" s="11"/>
      <c r="B66" s="11"/>
      <c r="C66" s="11"/>
      <c r="D66" s="11"/>
      <c r="E66" s="11"/>
      <c r="F66" s="11"/>
      <c r="G66" s="11"/>
      <c r="H66" s="11"/>
      <c r="I66" s="11"/>
      <c r="J66" s="11"/>
      <c r="K66" s="11"/>
      <c r="L66" s="11"/>
      <c r="M66" s="11"/>
    </row>
    <row r="67" spans="1:13" ht="15">
      <c r="A67" s="103" t="s">
        <v>1250</v>
      </c>
      <c r="B67" s="11"/>
      <c r="C67" s="11"/>
      <c r="D67" s="11"/>
      <c r="E67" s="11"/>
      <c r="F67" s="11"/>
      <c r="G67" s="11"/>
      <c r="H67" s="11"/>
      <c r="I67" s="11"/>
      <c r="J67" s="11"/>
      <c r="K67" s="11"/>
      <c r="L67" s="11"/>
      <c r="M67" s="11"/>
    </row>
    <row r="68" spans="1:13" ht="12.75">
      <c r="A68" s="11" t="s">
        <v>1273</v>
      </c>
      <c r="B68" s="11"/>
      <c r="C68" s="11"/>
      <c r="D68" s="11"/>
      <c r="E68" s="11"/>
      <c r="F68" s="11"/>
      <c r="G68" s="11"/>
      <c r="H68" s="11"/>
      <c r="I68" s="11"/>
      <c r="J68" s="11"/>
      <c r="K68" s="11"/>
      <c r="L68" s="11"/>
      <c r="M68" s="11"/>
    </row>
    <row r="69" spans="1:13" ht="12.75">
      <c r="A69" s="11" t="s">
        <v>1010</v>
      </c>
      <c r="B69" s="11"/>
      <c r="C69" s="11"/>
      <c r="D69" s="11"/>
      <c r="E69" s="11"/>
      <c r="F69" s="11"/>
      <c r="G69" s="11"/>
      <c r="H69" s="11"/>
      <c r="I69" s="11"/>
      <c r="J69" s="11"/>
      <c r="K69" s="11"/>
      <c r="L69" s="11"/>
      <c r="M69" s="11"/>
    </row>
    <row r="70" spans="1:13" ht="12.75">
      <c r="A70" s="11" t="s">
        <v>1254</v>
      </c>
      <c r="B70" s="11"/>
      <c r="C70" s="11"/>
      <c r="D70" s="11"/>
      <c r="E70" s="11"/>
      <c r="F70" s="11"/>
      <c r="G70" s="11"/>
      <c r="H70" s="11"/>
      <c r="I70" s="11"/>
      <c r="J70" s="11"/>
      <c r="K70" s="11"/>
      <c r="L70" s="11"/>
      <c r="M70" s="11"/>
    </row>
    <row r="71" spans="1:13" ht="12.75">
      <c r="A71" s="11" t="s">
        <v>31</v>
      </c>
      <c r="B71" s="11"/>
      <c r="C71" s="11"/>
      <c r="D71" s="11"/>
      <c r="E71" s="11"/>
      <c r="F71" s="11"/>
      <c r="G71" s="11"/>
      <c r="H71" s="11"/>
      <c r="I71" s="11"/>
      <c r="J71" s="11"/>
      <c r="K71" s="11"/>
      <c r="L71" s="11"/>
      <c r="M71" s="11"/>
    </row>
    <row r="72" spans="1:13" ht="12.75">
      <c r="A72" s="11" t="s">
        <v>1842</v>
      </c>
      <c r="B72" s="11"/>
      <c r="C72" s="11"/>
      <c r="D72" s="11"/>
      <c r="E72" s="11"/>
      <c r="F72" s="11"/>
      <c r="G72" s="11"/>
      <c r="H72" s="11"/>
      <c r="I72" s="11"/>
      <c r="J72" s="11"/>
      <c r="K72" s="11"/>
      <c r="L72" s="11"/>
      <c r="M72" s="11"/>
    </row>
    <row r="73" spans="1:13" ht="12.75">
      <c r="A73" s="11" t="s">
        <v>279</v>
      </c>
      <c r="B73" s="11"/>
      <c r="C73" s="11"/>
      <c r="D73" s="11"/>
      <c r="E73" s="11"/>
      <c r="F73" s="11"/>
      <c r="G73" s="11"/>
      <c r="H73" s="11"/>
      <c r="I73" s="11"/>
      <c r="J73" s="11"/>
      <c r="K73" s="11"/>
      <c r="L73" s="11"/>
      <c r="M73" s="11"/>
    </row>
    <row r="74" spans="1:13" ht="12.75">
      <c r="A74" s="11" t="s">
        <v>857</v>
      </c>
      <c r="B74" s="11"/>
      <c r="C74" s="11"/>
      <c r="D74" s="11"/>
      <c r="E74" s="11"/>
      <c r="F74" s="11"/>
      <c r="G74" s="11"/>
      <c r="H74" s="11"/>
      <c r="I74" s="11"/>
      <c r="J74" s="11"/>
      <c r="K74" s="11"/>
      <c r="L74" s="11"/>
      <c r="M74" s="11"/>
    </row>
    <row r="75" spans="1:13" ht="12.75">
      <c r="A75" s="11"/>
      <c r="B75" s="11"/>
      <c r="C75" s="11"/>
      <c r="D75" s="11"/>
      <c r="E75" s="11"/>
      <c r="F75" s="11"/>
      <c r="G75" s="11"/>
      <c r="H75" s="11"/>
      <c r="I75" s="11"/>
      <c r="J75" s="11"/>
      <c r="K75" s="11"/>
      <c r="L75" s="11"/>
      <c r="M75" s="11"/>
    </row>
    <row r="76" spans="1:13" ht="12.75">
      <c r="A76" s="11" t="s">
        <v>500</v>
      </c>
      <c r="B76" s="11"/>
      <c r="C76" s="11"/>
      <c r="D76" s="11"/>
      <c r="E76" s="11"/>
      <c r="F76" s="11"/>
      <c r="G76" s="11"/>
      <c r="H76" s="11"/>
      <c r="I76" s="11"/>
      <c r="J76" s="11"/>
      <c r="K76" s="11"/>
      <c r="L76" s="11"/>
      <c r="M76" s="11"/>
    </row>
    <row r="77" spans="1:13" ht="12.75">
      <c r="A77" s="11"/>
      <c r="B77" s="11"/>
      <c r="C77" s="11"/>
      <c r="D77" s="11"/>
      <c r="E77" s="11"/>
      <c r="F77" s="11"/>
      <c r="G77" s="11"/>
      <c r="H77" s="11"/>
      <c r="I77" s="11"/>
      <c r="J77" s="11"/>
      <c r="K77" s="11"/>
      <c r="L77" s="11"/>
      <c r="M77" s="11"/>
    </row>
    <row r="78" spans="1:13" ht="12.75">
      <c r="A78" s="11" t="s">
        <v>1270</v>
      </c>
      <c r="B78" s="11"/>
      <c r="C78" s="11"/>
      <c r="D78" s="11"/>
      <c r="E78" s="11"/>
      <c r="F78" s="11"/>
      <c r="G78" s="11"/>
      <c r="H78" s="11"/>
      <c r="I78" s="11"/>
      <c r="J78" s="11"/>
      <c r="K78" s="11"/>
      <c r="L78" s="11"/>
      <c r="M78" s="11"/>
    </row>
    <row r="79" spans="1:13" ht="12.75">
      <c r="A79" s="11" t="s">
        <v>355</v>
      </c>
      <c r="B79" s="11"/>
      <c r="C79" s="11"/>
      <c r="D79" s="11"/>
      <c r="E79" s="11"/>
      <c r="F79" s="11"/>
      <c r="G79" s="11"/>
      <c r="H79" s="11"/>
      <c r="I79" s="11"/>
      <c r="J79" s="11"/>
      <c r="K79" s="11"/>
      <c r="L79" s="11"/>
      <c r="M79" s="11"/>
    </row>
    <row r="80" spans="1:13" ht="12.75">
      <c r="A80" s="11"/>
      <c r="B80" s="11"/>
      <c r="C80" s="11"/>
      <c r="D80" s="11"/>
      <c r="E80" s="11"/>
      <c r="F80" s="11"/>
      <c r="G80" s="11"/>
      <c r="H80" s="11"/>
      <c r="I80" s="11"/>
      <c r="J80" s="11"/>
      <c r="K80" s="11"/>
      <c r="L80" s="11"/>
      <c r="M80" s="11"/>
    </row>
    <row r="81" spans="1:13" ht="15">
      <c r="A81" s="103" t="s">
        <v>249</v>
      </c>
      <c r="B81" s="11"/>
      <c r="C81" s="11"/>
      <c r="D81" s="11"/>
      <c r="E81" s="11"/>
      <c r="F81" s="11"/>
      <c r="G81" s="11"/>
      <c r="H81" s="11"/>
      <c r="I81" s="11"/>
      <c r="J81" s="11"/>
      <c r="K81" s="11"/>
      <c r="L81" s="11"/>
      <c r="M81" s="11"/>
    </row>
    <row r="82" spans="1:13" ht="12.75">
      <c r="A82" s="11" t="s">
        <v>1860</v>
      </c>
      <c r="B82" s="11"/>
      <c r="C82" s="11"/>
      <c r="D82" s="11"/>
      <c r="E82" s="11"/>
      <c r="F82" s="11"/>
      <c r="G82" s="11"/>
      <c r="H82" s="11"/>
      <c r="I82" s="11"/>
      <c r="J82" s="11"/>
      <c r="K82" s="11"/>
      <c r="L82" s="11"/>
      <c r="M82" s="11"/>
    </row>
    <row r="83" spans="1:13" ht="12.75">
      <c r="A83" s="11" t="s">
        <v>1874</v>
      </c>
      <c r="B83" s="11"/>
      <c r="C83" s="11"/>
      <c r="D83" s="11"/>
      <c r="E83" s="11"/>
      <c r="F83" s="11"/>
      <c r="G83" s="11"/>
      <c r="H83" s="11"/>
      <c r="I83" s="11"/>
      <c r="J83" s="11"/>
      <c r="K83" s="11"/>
      <c r="L83" s="11"/>
      <c r="M83" s="11"/>
    </row>
    <row r="84" spans="1:13" ht="12.75">
      <c r="A84" s="11"/>
      <c r="B84" s="11"/>
      <c r="C84" s="11"/>
      <c r="D84" s="11"/>
      <c r="E84" s="11"/>
      <c r="F84" s="11"/>
      <c r="G84" s="11"/>
      <c r="H84" s="11"/>
      <c r="I84" s="11"/>
      <c r="J84" s="11"/>
      <c r="K84" s="11"/>
      <c r="L84" s="11"/>
      <c r="M84" s="11"/>
    </row>
    <row r="85" spans="1:13" ht="12.75">
      <c r="A85" s="11"/>
      <c r="B85" s="11"/>
      <c r="C85" s="11"/>
      <c r="D85" s="11"/>
      <c r="E85" s="11"/>
      <c r="F85" s="11"/>
      <c r="G85" s="11"/>
      <c r="H85" s="11"/>
      <c r="I85" s="11"/>
      <c r="J85" s="11"/>
      <c r="K85" s="11"/>
      <c r="L85" s="11"/>
      <c r="M85" s="11"/>
    </row>
    <row r="86" spans="1:13" ht="12.75">
      <c r="A86" s="11" t="s">
        <v>1556</v>
      </c>
      <c r="B86" s="11"/>
      <c r="C86" s="11"/>
      <c r="D86" s="11"/>
      <c r="E86" s="11"/>
      <c r="F86" s="11"/>
      <c r="G86" s="11"/>
      <c r="H86" s="11"/>
      <c r="I86" s="11"/>
      <c r="J86" s="11"/>
      <c r="K86" s="11"/>
      <c r="L86" s="11"/>
      <c r="M86" s="11"/>
    </row>
    <row r="87" spans="1:13" ht="12.75">
      <c r="A87" s="11"/>
      <c r="B87" s="11"/>
      <c r="C87" s="11"/>
      <c r="D87" s="11"/>
      <c r="E87" s="11"/>
      <c r="F87" s="11"/>
      <c r="G87" s="11"/>
      <c r="H87" s="11"/>
      <c r="I87" s="11"/>
      <c r="J87" s="11"/>
      <c r="K87" s="11"/>
      <c r="L87" s="11"/>
      <c r="M87" s="11"/>
    </row>
    <row r="88" spans="1:13" ht="12.75">
      <c r="A88" s="11" t="s">
        <v>781</v>
      </c>
      <c r="B88" s="11"/>
      <c r="C88" s="11"/>
      <c r="D88" s="11"/>
      <c r="E88" s="11"/>
      <c r="F88" s="11"/>
      <c r="G88" s="11"/>
      <c r="H88" s="11"/>
      <c r="I88" s="11"/>
      <c r="J88" s="11"/>
      <c r="K88" s="11"/>
      <c r="L88" s="11"/>
      <c r="M88" s="11"/>
    </row>
    <row r="89" spans="1:13" ht="12.75">
      <c r="A89" s="11" t="s">
        <v>51</v>
      </c>
      <c r="B89" s="11"/>
      <c r="C89" s="11"/>
      <c r="D89" s="11"/>
      <c r="E89" s="11"/>
      <c r="F89" s="11"/>
      <c r="G89" s="11"/>
      <c r="H89" s="11"/>
      <c r="I89" s="11"/>
      <c r="J89" s="11"/>
      <c r="K89" s="11"/>
      <c r="L89" s="11"/>
      <c r="M89" s="11"/>
    </row>
    <row r="90" spans="1:13" ht="12.75">
      <c r="A90" s="11" t="s">
        <v>471</v>
      </c>
      <c r="B90" s="11"/>
      <c r="C90" s="11"/>
      <c r="D90" s="11"/>
      <c r="E90" s="11"/>
      <c r="F90" s="11"/>
      <c r="G90" s="11"/>
      <c r="H90" s="11"/>
      <c r="I90" s="11"/>
      <c r="J90" s="11"/>
      <c r="K90" s="11"/>
      <c r="L90" s="11"/>
      <c r="M90" s="11"/>
    </row>
    <row r="91" spans="1:13" ht="12.75">
      <c r="A91" s="11" t="s">
        <v>1542</v>
      </c>
      <c r="B91" s="11"/>
      <c r="C91" s="11"/>
      <c r="D91" s="11"/>
      <c r="E91" s="11"/>
      <c r="F91" s="11"/>
      <c r="G91" s="11"/>
      <c r="H91" s="11"/>
      <c r="I91" s="11"/>
      <c r="J91" s="11"/>
      <c r="K91" s="11"/>
      <c r="L91" s="11"/>
      <c r="M91" s="11"/>
    </row>
    <row r="92" spans="1:13" ht="12.75">
      <c r="A92" s="11"/>
      <c r="B92" s="11"/>
      <c r="C92" s="11"/>
      <c r="D92" s="11"/>
      <c r="E92" s="11"/>
      <c r="F92" s="11"/>
      <c r="G92" s="11"/>
      <c r="H92" s="11"/>
      <c r="I92" s="11"/>
      <c r="J92" s="11"/>
      <c r="K92" s="11"/>
      <c r="L92" s="11"/>
      <c r="M92" s="11"/>
    </row>
    <row r="93" spans="1:13" ht="12.75">
      <c r="A93" s="11" t="s">
        <v>969</v>
      </c>
      <c r="B93" s="11"/>
      <c r="C93" s="11"/>
      <c r="D93" s="11"/>
      <c r="E93" s="11"/>
      <c r="F93" s="11"/>
      <c r="G93" s="11"/>
      <c r="H93" s="11"/>
      <c r="I93" s="11"/>
      <c r="J93" s="11"/>
      <c r="K93" s="11"/>
      <c r="L93" s="11"/>
      <c r="M93" s="11"/>
    </row>
    <row r="94" spans="1:13" ht="12.75">
      <c r="A94" s="11" t="s">
        <v>1874</v>
      </c>
      <c r="B94" s="11"/>
      <c r="C94" s="11"/>
      <c r="D94" s="11"/>
      <c r="E94" s="11"/>
      <c r="F94" s="11"/>
      <c r="G94" s="11"/>
      <c r="H94" s="11"/>
      <c r="I94" s="11"/>
      <c r="J94" s="11"/>
      <c r="K94" s="11"/>
      <c r="L94" s="11"/>
      <c r="M94" s="11"/>
    </row>
    <row r="95" spans="1:13" ht="12.75">
      <c r="A95" s="11"/>
      <c r="B95" s="11"/>
      <c r="C95" s="11"/>
      <c r="D95" s="11"/>
      <c r="E95" s="11"/>
      <c r="F95" s="11"/>
      <c r="G95" s="11"/>
      <c r="H95" s="11"/>
      <c r="I95" s="11"/>
      <c r="J95" s="11"/>
      <c r="K95" s="11"/>
      <c r="L95" s="11"/>
      <c r="M95" s="11"/>
    </row>
    <row r="96" spans="1:13" ht="12.75">
      <c r="A96" s="11" t="s">
        <v>361</v>
      </c>
      <c r="B96" s="11"/>
      <c r="C96" s="11"/>
      <c r="D96" s="11"/>
      <c r="E96" s="11"/>
      <c r="F96" s="11"/>
      <c r="G96" s="11"/>
      <c r="H96" s="11"/>
      <c r="I96" s="11"/>
      <c r="J96" s="11"/>
      <c r="K96" s="11"/>
      <c r="L96" s="11"/>
      <c r="M96" s="11"/>
    </row>
    <row r="97" spans="1:13" ht="12.75">
      <c r="A97" s="11" t="s">
        <v>1556</v>
      </c>
      <c r="B97" s="11"/>
      <c r="C97" s="11"/>
      <c r="D97" s="11"/>
      <c r="E97" s="11"/>
      <c r="F97" s="11"/>
      <c r="G97" s="11"/>
      <c r="H97" s="11"/>
      <c r="I97" s="11"/>
      <c r="J97" s="11"/>
      <c r="K97" s="11"/>
      <c r="L97" s="11"/>
      <c r="M97" s="11"/>
    </row>
    <row r="98" spans="1:13" ht="12.75">
      <c r="A98" s="11"/>
      <c r="B98" s="11"/>
      <c r="C98" s="11"/>
      <c r="D98" s="11"/>
      <c r="E98" s="11"/>
      <c r="F98" s="11"/>
      <c r="G98" s="11"/>
      <c r="H98" s="11"/>
      <c r="I98" s="11"/>
      <c r="J98" s="11"/>
      <c r="K98" s="11"/>
      <c r="L98" s="11"/>
      <c r="M98" s="11"/>
    </row>
    <row r="99" spans="1:13" ht="12.75">
      <c r="A99" s="11" t="s">
        <v>57</v>
      </c>
      <c r="B99" s="11"/>
      <c r="C99" s="11"/>
      <c r="D99" s="11"/>
      <c r="E99" s="11"/>
      <c r="F99" s="11"/>
      <c r="G99" s="11"/>
      <c r="H99" s="11"/>
      <c r="I99" s="11"/>
      <c r="J99" s="11"/>
      <c r="K99" s="11"/>
      <c r="L99" s="11"/>
      <c r="M99" s="11"/>
    </row>
    <row r="100" spans="1:13" ht="12.75">
      <c r="A100" s="11" t="s">
        <v>61</v>
      </c>
      <c r="B100" s="11"/>
      <c r="C100" s="11"/>
      <c r="D100" s="11"/>
      <c r="E100" s="11"/>
      <c r="F100" s="11"/>
      <c r="G100" s="11"/>
      <c r="H100" s="11"/>
      <c r="I100" s="11"/>
      <c r="J100" s="11"/>
      <c r="K100" s="11"/>
      <c r="L100" s="11"/>
      <c r="M100" s="11"/>
    </row>
    <row r="101" spans="1:13" ht="12.75">
      <c r="A101" s="11" t="s">
        <v>184</v>
      </c>
      <c r="B101" s="11"/>
      <c r="C101" s="11"/>
      <c r="D101" s="11"/>
      <c r="E101" s="11"/>
      <c r="F101" s="11"/>
      <c r="G101" s="11"/>
      <c r="H101" s="11"/>
      <c r="I101" s="11"/>
      <c r="J101" s="11"/>
      <c r="K101" s="11"/>
      <c r="L101" s="11"/>
      <c r="M101" s="11"/>
    </row>
    <row r="102" spans="1:13" ht="12.75">
      <c r="A102" s="11"/>
      <c r="B102" s="11"/>
      <c r="C102" s="11"/>
      <c r="D102" s="11"/>
      <c r="E102" s="11"/>
      <c r="F102" s="11"/>
      <c r="G102" s="11"/>
      <c r="H102" s="11"/>
      <c r="I102" s="11"/>
      <c r="J102" s="11"/>
      <c r="K102" s="11"/>
      <c r="L102" s="11"/>
      <c r="M102" s="11"/>
    </row>
    <row r="103" spans="1:13" ht="12.75">
      <c r="A103" s="11" t="s">
        <v>662</v>
      </c>
      <c r="B103" s="11"/>
      <c r="C103" s="11"/>
      <c r="D103" s="11"/>
      <c r="E103" s="11"/>
      <c r="F103" s="11"/>
      <c r="G103" s="11"/>
      <c r="H103" s="11"/>
      <c r="I103" s="11"/>
      <c r="J103" s="11"/>
      <c r="K103" s="11"/>
      <c r="L103" s="11"/>
      <c r="M103" s="11"/>
    </row>
    <row r="104" spans="1:13" ht="12.75">
      <c r="A104" s="11" t="s">
        <v>1437</v>
      </c>
      <c r="B104" s="11"/>
      <c r="C104" s="11"/>
      <c r="D104" s="11"/>
      <c r="E104" s="11"/>
      <c r="F104" s="11"/>
      <c r="G104" s="11"/>
      <c r="H104" s="11"/>
      <c r="I104" s="11"/>
      <c r="J104" s="11"/>
      <c r="K104" s="11"/>
      <c r="L104" s="11"/>
      <c r="M104" s="11"/>
    </row>
    <row r="105" spans="1:13" ht="12.75">
      <c r="A105" s="11"/>
      <c r="B105" s="11"/>
      <c r="C105" s="11"/>
      <c r="D105" s="11"/>
      <c r="E105" s="11"/>
      <c r="F105" s="11"/>
      <c r="G105" s="11"/>
      <c r="H105" s="11"/>
      <c r="I105" s="11"/>
      <c r="J105" s="11"/>
      <c r="K105" s="11"/>
      <c r="L105" s="11"/>
      <c r="M105" s="11"/>
    </row>
    <row r="106" spans="1:13" ht="12.75">
      <c r="A106" s="11" t="s">
        <v>1097</v>
      </c>
      <c r="B106" s="11"/>
      <c r="C106" s="11"/>
      <c r="D106" s="11"/>
      <c r="E106" s="11"/>
      <c r="F106" s="11"/>
      <c r="G106" s="11"/>
      <c r="H106" s="11"/>
      <c r="I106" s="11"/>
      <c r="J106" s="11"/>
      <c r="K106" s="11"/>
      <c r="L106" s="11"/>
      <c r="M106" s="11"/>
    </row>
    <row r="107" spans="1:13" ht="12.75">
      <c r="A107" s="11"/>
      <c r="B107" s="11"/>
      <c r="C107" s="11"/>
      <c r="D107" s="11"/>
      <c r="E107" s="11"/>
      <c r="F107" s="11"/>
      <c r="G107" s="11"/>
      <c r="H107" s="11"/>
      <c r="I107" s="11"/>
      <c r="J107" s="11"/>
      <c r="K107" s="11"/>
      <c r="L107" s="11"/>
      <c r="M107" s="11"/>
    </row>
    <row r="108" spans="1:13" ht="12.75">
      <c r="A108" s="11"/>
      <c r="B108" s="11"/>
      <c r="C108" s="11"/>
      <c r="D108" s="11"/>
      <c r="E108" s="11"/>
      <c r="F108" s="11"/>
      <c r="G108" s="11"/>
      <c r="H108" s="11"/>
      <c r="I108" s="11"/>
      <c r="J108" s="11"/>
      <c r="K108" s="11"/>
      <c r="L108" s="11"/>
      <c r="M108" s="11"/>
    </row>
    <row r="109" spans="1:13" ht="15">
      <c r="A109" s="103" t="s">
        <v>1098</v>
      </c>
      <c r="B109" s="11"/>
      <c r="C109" s="11"/>
      <c r="D109" s="11"/>
      <c r="E109" s="11"/>
      <c r="F109" s="11"/>
      <c r="G109" s="11"/>
      <c r="H109" s="11"/>
      <c r="I109" s="11"/>
      <c r="J109" s="11"/>
      <c r="K109" s="11"/>
      <c r="L109" s="11"/>
      <c r="M109" s="11"/>
    </row>
    <row r="110" spans="1:13" ht="12.75">
      <c r="A110" s="11"/>
      <c r="B110" s="11"/>
      <c r="C110" s="11"/>
      <c r="D110" s="11"/>
      <c r="E110" s="11"/>
      <c r="F110" s="11"/>
      <c r="G110" s="11"/>
      <c r="H110" s="11"/>
      <c r="I110" s="11"/>
      <c r="J110" s="11"/>
      <c r="K110" s="11"/>
      <c r="L110" s="11"/>
      <c r="M110" s="11"/>
    </row>
    <row r="111" spans="1:13" ht="12.75">
      <c r="A111" s="11" t="s">
        <v>1243</v>
      </c>
      <c r="B111" s="11"/>
      <c r="C111" s="11"/>
      <c r="D111" s="11"/>
      <c r="E111" s="11"/>
      <c r="F111" s="11"/>
      <c r="G111" s="11"/>
      <c r="H111" s="11"/>
      <c r="I111" s="11"/>
      <c r="J111" s="11"/>
      <c r="K111" s="11"/>
      <c r="L111" s="11"/>
      <c r="M111" s="11"/>
    </row>
    <row r="112" spans="1:13" ht="12.75">
      <c r="A112" s="11" t="s">
        <v>553</v>
      </c>
      <c r="B112" s="11"/>
      <c r="C112" s="11"/>
      <c r="D112" s="11"/>
      <c r="E112" s="11"/>
      <c r="F112" s="11"/>
      <c r="G112" s="11"/>
      <c r="H112" s="11"/>
      <c r="I112" s="11"/>
      <c r="J112" s="11"/>
      <c r="K112" s="11"/>
      <c r="L112" s="11"/>
      <c r="M112" s="11"/>
    </row>
    <row r="113" spans="1:13" ht="12.75">
      <c r="A113" s="11"/>
      <c r="B113" s="11"/>
      <c r="C113" s="11"/>
      <c r="D113" s="11"/>
      <c r="E113" s="11"/>
      <c r="F113" s="11"/>
      <c r="G113" s="11"/>
      <c r="H113" s="11"/>
      <c r="I113" s="11"/>
      <c r="J113" s="11"/>
      <c r="K113" s="11"/>
      <c r="L113" s="11"/>
      <c r="M113" s="11"/>
    </row>
    <row r="114" spans="1:13" ht="12.75">
      <c r="A114" s="11"/>
      <c r="B114" s="11"/>
      <c r="C114" s="11"/>
      <c r="D114" s="11"/>
      <c r="E114" s="11"/>
      <c r="F114" s="11"/>
      <c r="G114" s="11"/>
      <c r="H114" s="11"/>
      <c r="I114" s="11"/>
      <c r="J114" s="11"/>
      <c r="K114" s="11"/>
      <c r="L114" s="11"/>
      <c r="M114" s="11"/>
    </row>
    <row r="115" spans="1:13" ht="15">
      <c r="A115" s="103" t="s">
        <v>390</v>
      </c>
      <c r="B115" s="11"/>
      <c r="C115" s="11"/>
      <c r="D115" s="11"/>
      <c r="E115" s="11"/>
      <c r="F115" s="11"/>
      <c r="G115" s="11"/>
      <c r="H115" s="11"/>
      <c r="I115" s="11"/>
      <c r="J115" s="11"/>
      <c r="K115" s="11"/>
      <c r="L115" s="11"/>
      <c r="M115" s="11"/>
    </row>
    <row r="116" spans="1:13" ht="12.75">
      <c r="A116" s="11"/>
      <c r="B116" s="11"/>
      <c r="C116" s="11"/>
      <c r="D116" s="11"/>
      <c r="E116" s="11"/>
      <c r="F116" s="11"/>
      <c r="G116" s="11"/>
      <c r="H116" s="11"/>
      <c r="I116" s="11"/>
      <c r="J116" s="11"/>
      <c r="K116" s="11"/>
      <c r="L116" s="11"/>
      <c r="M116" s="11"/>
    </row>
    <row r="117" spans="1:13" ht="12.75">
      <c r="A117" s="11" t="s">
        <v>1031</v>
      </c>
      <c r="B117" s="11"/>
      <c r="C117" s="11"/>
      <c r="D117" s="11"/>
      <c r="E117" s="11"/>
      <c r="F117" s="11"/>
      <c r="G117" s="11"/>
      <c r="H117" s="11"/>
      <c r="I117" s="11"/>
      <c r="J117" s="11"/>
      <c r="K117" s="11"/>
      <c r="L117" s="11"/>
      <c r="M117" s="11"/>
    </row>
    <row r="118" spans="1:13" ht="12.75">
      <c r="A118" s="11"/>
      <c r="B118" s="11"/>
      <c r="C118" s="11"/>
      <c r="D118" s="11"/>
      <c r="E118" s="11"/>
      <c r="F118" s="11"/>
      <c r="G118" s="11"/>
      <c r="H118" s="11"/>
      <c r="I118" s="11"/>
      <c r="J118" s="11"/>
      <c r="K118" s="11"/>
      <c r="L118" s="11"/>
      <c r="M118" s="11"/>
    </row>
    <row r="119" spans="1:13" ht="12.75">
      <c r="A119" s="11" t="s">
        <v>661</v>
      </c>
      <c r="B119" s="11"/>
      <c r="C119" s="11"/>
      <c r="D119" s="11"/>
      <c r="E119" s="11"/>
      <c r="F119" s="11"/>
      <c r="G119" s="11"/>
      <c r="H119" s="11"/>
      <c r="I119" s="11"/>
      <c r="J119" s="11"/>
      <c r="K119" s="11"/>
      <c r="L119" s="11"/>
      <c r="M119" s="11"/>
    </row>
    <row r="120" spans="1:13" ht="12.75">
      <c r="A120" s="11"/>
      <c r="B120" s="11"/>
      <c r="C120" s="11"/>
      <c r="D120" s="11"/>
      <c r="E120" s="11"/>
      <c r="F120" s="11"/>
      <c r="G120" s="11"/>
      <c r="H120" s="11"/>
      <c r="I120" s="11"/>
      <c r="J120" s="11"/>
      <c r="K120" s="11"/>
      <c r="L120" s="11"/>
      <c r="M120" s="11"/>
    </row>
    <row r="121" spans="1:13" ht="12.75">
      <c r="A121" s="11" t="s">
        <v>1050</v>
      </c>
      <c r="B121" s="11"/>
      <c r="C121" s="11"/>
      <c r="D121" s="11"/>
      <c r="E121" s="11"/>
      <c r="F121" s="11"/>
      <c r="G121" s="11"/>
      <c r="H121" s="11"/>
      <c r="I121" s="11"/>
      <c r="J121" s="11"/>
      <c r="K121" s="11"/>
      <c r="L121" s="11"/>
      <c r="M121" s="11"/>
    </row>
    <row r="122" spans="1:13" ht="12.75">
      <c r="A122" s="11"/>
      <c r="B122" s="11"/>
      <c r="C122" s="11"/>
      <c r="D122" s="11"/>
      <c r="E122" s="11"/>
      <c r="F122" s="11"/>
      <c r="G122" s="11"/>
      <c r="H122" s="11"/>
      <c r="I122" s="11"/>
      <c r="J122" s="11"/>
      <c r="K122" s="11"/>
      <c r="L122" s="11"/>
      <c r="M122" s="11"/>
    </row>
    <row r="123" spans="1:13" ht="12.75">
      <c r="A123" s="11" t="s">
        <v>1162</v>
      </c>
      <c r="B123" s="11"/>
      <c r="C123" s="11"/>
      <c r="D123" s="11"/>
      <c r="E123" s="11"/>
      <c r="F123" s="11"/>
      <c r="G123" s="11"/>
      <c r="H123" s="11"/>
      <c r="I123" s="11"/>
      <c r="J123" s="11"/>
      <c r="K123" s="11"/>
      <c r="L123" s="11"/>
      <c r="M123" s="11"/>
    </row>
    <row r="124" spans="1:13" ht="12.75">
      <c r="A124" s="11"/>
      <c r="B124" s="11"/>
      <c r="C124" s="11"/>
      <c r="D124" s="11"/>
      <c r="E124" s="11"/>
      <c r="F124" s="11"/>
      <c r="G124" s="11"/>
      <c r="H124" s="11"/>
      <c r="I124" s="11"/>
      <c r="J124" s="11"/>
      <c r="K124" s="11"/>
      <c r="L124" s="11"/>
      <c r="M124" s="11"/>
    </row>
    <row r="125" spans="1:13" ht="12.75">
      <c r="A125" s="11" t="s">
        <v>1029</v>
      </c>
      <c r="B125" s="11"/>
      <c r="C125" s="11"/>
      <c r="D125" s="11"/>
      <c r="E125" s="11"/>
      <c r="F125" s="11"/>
      <c r="G125" s="11"/>
      <c r="H125" s="11"/>
      <c r="I125" s="11"/>
      <c r="J125" s="11"/>
      <c r="K125" s="11"/>
      <c r="L125" s="11"/>
      <c r="M125" s="11"/>
    </row>
    <row r="126" spans="1:13" ht="12.75">
      <c r="A126" s="11"/>
      <c r="B126" s="11"/>
      <c r="C126" s="11"/>
      <c r="D126" s="11"/>
      <c r="E126" s="11"/>
      <c r="F126" s="11"/>
      <c r="G126" s="11"/>
      <c r="H126" s="11"/>
      <c r="I126" s="11"/>
      <c r="J126" s="11"/>
      <c r="K126" s="11"/>
      <c r="L126" s="11"/>
      <c r="M126" s="11"/>
    </row>
    <row r="127" spans="1:13" ht="12.75">
      <c r="A127" s="11" t="s">
        <v>266</v>
      </c>
      <c r="B127" s="11"/>
      <c r="C127" s="11"/>
      <c r="D127" s="11"/>
      <c r="E127" s="11"/>
      <c r="F127" s="11"/>
      <c r="G127" s="11"/>
      <c r="H127" s="11"/>
      <c r="I127" s="11"/>
      <c r="J127" s="11"/>
      <c r="K127" s="11"/>
      <c r="L127" s="11"/>
      <c r="M127" s="11"/>
    </row>
    <row r="128" spans="1:13" ht="12.75">
      <c r="A128" s="11"/>
      <c r="B128" s="11"/>
      <c r="C128" s="11"/>
      <c r="D128" s="11"/>
      <c r="E128" s="11"/>
      <c r="F128" s="11"/>
      <c r="G128" s="11"/>
      <c r="H128" s="11"/>
      <c r="I128" s="11"/>
      <c r="J128" s="11"/>
      <c r="K128" s="11"/>
      <c r="L128" s="11"/>
      <c r="M128" s="11"/>
    </row>
    <row r="129" spans="1:13" ht="12.75">
      <c r="A129" s="11" t="s">
        <v>242</v>
      </c>
      <c r="B129" s="11"/>
      <c r="C129" s="11"/>
      <c r="D129" s="11"/>
      <c r="E129" s="11"/>
      <c r="F129" s="11"/>
      <c r="G129" s="11"/>
      <c r="H129" s="11"/>
      <c r="I129" s="11"/>
      <c r="J129" s="11"/>
      <c r="K129" s="11"/>
      <c r="L129" s="11"/>
      <c r="M129" s="11"/>
    </row>
    <row r="130" spans="1:13" ht="12.75">
      <c r="A130" s="11" t="s">
        <v>426</v>
      </c>
      <c r="B130" s="11"/>
      <c r="C130" s="11"/>
      <c r="D130" s="11"/>
      <c r="E130" s="11"/>
      <c r="F130" s="11"/>
      <c r="G130" s="11"/>
      <c r="H130" s="11"/>
      <c r="I130" s="11"/>
      <c r="J130" s="11"/>
      <c r="K130" s="11"/>
      <c r="L130" s="11"/>
      <c r="M130" s="11"/>
    </row>
    <row r="131" spans="1:13" ht="12.75">
      <c r="A131" s="11" t="s">
        <v>1128</v>
      </c>
      <c r="B131" s="11"/>
      <c r="C131" s="11"/>
      <c r="D131" s="11"/>
      <c r="E131" s="11"/>
      <c r="F131" s="11"/>
      <c r="G131" s="11"/>
      <c r="H131" s="11"/>
      <c r="I131" s="11"/>
      <c r="J131" s="11"/>
      <c r="K131" s="11"/>
      <c r="L131" s="11"/>
      <c r="M131" s="11"/>
    </row>
    <row r="132" spans="1:13" ht="12.75">
      <c r="A132" s="11"/>
      <c r="B132" s="11"/>
      <c r="C132" s="11"/>
      <c r="D132" s="11"/>
      <c r="E132" s="11"/>
      <c r="F132" s="11"/>
      <c r="G132" s="11"/>
      <c r="H132" s="11"/>
      <c r="I132" s="11"/>
      <c r="J132" s="11"/>
      <c r="K132" s="11"/>
      <c r="L132" s="11"/>
      <c r="M132" s="11"/>
    </row>
    <row r="133" spans="1:13" ht="12.75">
      <c r="A133" s="11" t="s">
        <v>1772</v>
      </c>
      <c r="B133" s="11"/>
      <c r="C133" s="11"/>
      <c r="D133" s="11"/>
      <c r="E133" s="11"/>
      <c r="F133" s="11"/>
      <c r="G133" s="11"/>
      <c r="H133" s="11"/>
      <c r="I133" s="11"/>
      <c r="J133" s="11"/>
      <c r="K133" s="11"/>
      <c r="L133" s="11"/>
      <c r="M133" s="11"/>
    </row>
    <row r="134" spans="1:13" ht="12.75">
      <c r="A134" s="11"/>
      <c r="B134" s="11"/>
      <c r="C134" s="11"/>
      <c r="D134" s="11"/>
      <c r="E134" s="11"/>
      <c r="F134" s="11"/>
      <c r="G134" s="11"/>
      <c r="H134" s="11"/>
      <c r="I134" s="11"/>
      <c r="J134" s="11"/>
      <c r="K134" s="11"/>
      <c r="L134" s="11"/>
      <c r="M134" s="11"/>
    </row>
    <row r="135" spans="1:13" ht="12.75">
      <c r="A135" s="11" t="s">
        <v>344</v>
      </c>
      <c r="B135" s="11"/>
      <c r="C135" s="11"/>
      <c r="D135" s="11"/>
      <c r="E135" s="11"/>
      <c r="F135" s="11"/>
      <c r="G135" s="11"/>
      <c r="H135" s="11"/>
      <c r="I135" s="11"/>
      <c r="J135" s="11"/>
      <c r="K135" s="11"/>
      <c r="L135" s="11"/>
      <c r="M135" s="11"/>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dimension ref="A1:C35"/>
  <sheetViews>
    <sheetView tabSelected="1" zoomScalePageLayoutView="0" workbookViewId="0" topLeftCell="A1">
      <selection activeCell="C36" sqref="C36"/>
    </sheetView>
  </sheetViews>
  <sheetFormatPr defaultColWidth="9.140625" defaultRowHeight="12.75"/>
  <cols>
    <col min="1" max="1" width="26.140625" style="0" bestFit="1" customWidth="1"/>
    <col min="2" max="2" width="44.8515625" style="0" bestFit="1" customWidth="1"/>
    <col min="3" max="3" width="16.421875" style="0" customWidth="1"/>
  </cols>
  <sheetData>
    <row r="1" spans="1:2" ht="15">
      <c r="A1" s="5" t="s">
        <v>927</v>
      </c>
      <c r="B1" s="1"/>
    </row>
    <row r="2" spans="1:2" ht="15">
      <c r="A2" s="1"/>
      <c r="B2" s="1"/>
    </row>
    <row r="3" spans="1:3" ht="15">
      <c r="A3" s="1"/>
      <c r="B3" s="1" t="s">
        <v>561</v>
      </c>
      <c r="C3" s="163">
        <f>'UNIT 1 PWR BILL'!C28+'UNIT 1 PWR BILL'!G28+'UNIT 2 PWR BILL'!C28+'UNIT 2 PWR BILL'!G28</f>
        <v>471437</v>
      </c>
    </row>
    <row r="4" spans="1:3" ht="15">
      <c r="A4" s="1"/>
      <c r="B4" s="1"/>
      <c r="C4" s="163"/>
    </row>
    <row r="5" spans="1:3" ht="15">
      <c r="A5" s="1"/>
      <c r="B5" s="1" t="s">
        <v>1355</v>
      </c>
      <c r="C5" s="163">
        <f>'UNIT 1 PWR BILL'!C30+'UNIT 1 PWR BILL'!G30+'UNIT 2 PWR BILL'!C30+'UNIT 2 PWR BILL'!G30</f>
        <v>86638</v>
      </c>
    </row>
    <row r="6" spans="1:3" ht="15">
      <c r="A6" s="1"/>
      <c r="B6" s="1"/>
      <c r="C6" s="163"/>
    </row>
    <row r="7" spans="1:3" ht="15">
      <c r="A7" s="1"/>
      <c r="B7" s="1" t="s">
        <v>767</v>
      </c>
      <c r="C7" s="163">
        <f>C3+C5</f>
        <v>558075</v>
      </c>
    </row>
    <row r="8" spans="1:3" ht="15">
      <c r="A8" s="1"/>
      <c r="B8" s="1"/>
      <c r="C8" s="163"/>
    </row>
    <row r="9" spans="1:3" ht="15">
      <c r="A9" s="1"/>
      <c r="B9" s="1" t="s">
        <v>1654</v>
      </c>
      <c r="C9" s="163">
        <f>'UNIT 1 PWR BILL'!C34+'UNIT 1 PWR BILL'!G34+'UNIT 2 PWR BILL'!C34+'UNIT 2 PWR BILL'!G34</f>
        <v>16277443.88</v>
      </c>
    </row>
    <row r="10" spans="1:3" ht="15">
      <c r="A10" s="1"/>
      <c r="B10" s="1" t="s">
        <v>841</v>
      </c>
      <c r="C10" s="163">
        <f>'UNIT 1 PWR BILL'!C35+'UNIT 1 PWR BILL'!G35+'UNIT 2 PWR BILL'!C35+'UNIT 2 PWR BILL'!G35</f>
        <v>0</v>
      </c>
    </row>
    <row r="11" spans="1:3" ht="15">
      <c r="A11" s="1"/>
      <c r="B11" s="1" t="s">
        <v>842</v>
      </c>
      <c r="C11" s="163">
        <f>'UNIT 1 PWR BILL'!C36+'UNIT 1 PWR BILL'!G36+'UNIT 2 PWR BILL'!C36+'UNIT 2 PWR BILL'!G36</f>
        <v>-17500</v>
      </c>
    </row>
    <row r="12" spans="1:3" ht="15">
      <c r="A12" s="1"/>
      <c r="B12" s="1" t="s">
        <v>782</v>
      </c>
      <c r="C12" s="163">
        <f>'UNIT 1 PWR BILL'!C37+'UNIT 1 PWR BILL'!G37+'UNIT 2 PWR BILL'!C37+'UNIT 2 PWR BILL'!G37</f>
        <v>7737590.579999998</v>
      </c>
    </row>
    <row r="13" spans="1:3" ht="15">
      <c r="A13" s="1"/>
      <c r="B13" s="1" t="s">
        <v>141</v>
      </c>
      <c r="C13" s="163">
        <f>'UNIT 1 PWR BILL'!C38+'UNIT 1 PWR BILL'!G38+'UNIT 2 PWR BILL'!C38+'UNIT 2 PWR BILL'!G38</f>
        <v>2716062.63</v>
      </c>
    </row>
    <row r="14" spans="1:3" ht="15">
      <c r="A14" s="1"/>
      <c r="B14" s="1" t="s">
        <v>136</v>
      </c>
      <c r="C14" s="163">
        <f>'UNIT 1 PWR BILL'!C39+'UNIT 1 PWR BILL'!G39+'UNIT 2 PWR BILL'!C39+'UNIT 2 PWR BILL'!G39</f>
        <v>193412.28000000003</v>
      </c>
    </row>
    <row r="15" spans="1:3" ht="15">
      <c r="A15" s="1"/>
      <c r="B15" s="1" t="s">
        <v>383</v>
      </c>
      <c r="C15" s="163">
        <f>'UNIT 1 PWR BILL'!C40+'UNIT 1 PWR BILL'!G40+'UNIT 2 PWR BILL'!C40+'UNIT 2 PWR BILL'!G40</f>
        <v>642914</v>
      </c>
    </row>
    <row r="16" spans="1:3" ht="15">
      <c r="A16" s="1"/>
      <c r="B16" s="1"/>
      <c r="C16" s="163"/>
    </row>
    <row r="17" spans="1:3" ht="15">
      <c r="A17" s="1"/>
      <c r="B17" s="4" t="s">
        <v>1690</v>
      </c>
      <c r="C17" s="163">
        <f>C7+C9+C10+C11+C12+C13+C14+C15</f>
        <v>28107998.37</v>
      </c>
    </row>
    <row r="18" spans="1:3" ht="15">
      <c r="A18" s="1"/>
      <c r="B18" s="1"/>
      <c r="C18" s="163"/>
    </row>
    <row r="19" spans="1:3" ht="15">
      <c r="A19" s="1"/>
      <c r="B19" s="1"/>
      <c r="C19" s="163"/>
    </row>
    <row r="20" spans="1:3" ht="15">
      <c r="A20" s="5" t="s">
        <v>1246</v>
      </c>
      <c r="B20" s="1"/>
      <c r="C20" s="163"/>
    </row>
    <row r="21" spans="1:3" ht="15">
      <c r="A21" s="1"/>
      <c r="B21" s="1" t="s">
        <v>1502</v>
      </c>
      <c r="C21" s="163">
        <f>'UNIT 1 PWR BILL'!C46+'UNIT 1 PWR BILL'!G46+'UNIT 2 PWR BILL'!C46+'UNIT 2 PWR BILL'!G46</f>
        <v>0</v>
      </c>
    </row>
    <row r="22" spans="1:3" ht="15">
      <c r="A22" s="1"/>
      <c r="B22" s="1" t="s">
        <v>940</v>
      </c>
      <c r="C22" s="163">
        <f>'UNIT 1 PWR BILL'!C47+'UNIT 1 PWR BILL'!G47+'UNIT 2 PWR BILL'!C47+'UNIT 2 PWR BILL'!G47</f>
        <v>0</v>
      </c>
    </row>
    <row r="23" spans="1:3" ht="15">
      <c r="A23" s="1"/>
      <c r="B23" s="1" t="s">
        <v>1282</v>
      </c>
      <c r="C23" s="163">
        <f>'UNIT 1 PWR BILL'!C48+'UNIT 1 PWR BILL'!G48+'UNIT 2 PWR BILL'!C48+'UNIT 2 PWR BILL'!G48</f>
        <v>-22093</v>
      </c>
    </row>
    <row r="24" spans="1:3" ht="15">
      <c r="A24" s="1"/>
      <c r="B24" s="1"/>
      <c r="C24" s="163"/>
    </row>
    <row r="25" spans="1:3" ht="15">
      <c r="A25" s="1"/>
      <c r="B25" s="1"/>
      <c r="C25" s="163"/>
    </row>
    <row r="26" spans="1:3" ht="15">
      <c r="A26" s="1"/>
      <c r="B26" s="4" t="s">
        <v>1212</v>
      </c>
      <c r="C26" s="163">
        <f>C21+C22+C23</f>
        <v>-22093</v>
      </c>
    </row>
    <row r="27" spans="1:3" ht="15">
      <c r="A27" s="1"/>
      <c r="B27" s="1"/>
      <c r="C27" s="163"/>
    </row>
    <row r="28" spans="1:3" ht="15">
      <c r="A28" s="1"/>
      <c r="B28" s="1"/>
      <c r="C28" s="163"/>
    </row>
    <row r="29" spans="1:3" ht="15">
      <c r="A29" s="1"/>
      <c r="B29" s="1"/>
      <c r="C29" s="163"/>
    </row>
    <row r="30" spans="1:3" ht="15">
      <c r="A30" s="1"/>
      <c r="B30" s="1"/>
      <c r="C30" s="163"/>
    </row>
    <row r="31" spans="1:3" ht="15">
      <c r="A31" s="1"/>
      <c r="B31" s="1"/>
      <c r="C31" s="163"/>
    </row>
    <row r="32" spans="1:3" ht="15">
      <c r="A32" s="1"/>
      <c r="B32" s="1"/>
      <c r="C32" s="163"/>
    </row>
    <row r="33" spans="1:3" ht="15">
      <c r="A33" s="1"/>
      <c r="B33" s="4"/>
      <c r="C33" s="163"/>
    </row>
    <row r="34" spans="1:3" ht="15">
      <c r="A34" s="1"/>
      <c r="B34" s="1"/>
      <c r="C34" s="163"/>
    </row>
    <row r="35" spans="1:3" ht="15">
      <c r="A35" s="1"/>
      <c r="B35" s="4" t="s">
        <v>77</v>
      </c>
      <c r="C35" s="163">
        <f>C17+C26</f>
        <v>28085905.37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43">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
      <c r="A1" s="164" t="s">
        <v>1536</v>
      </c>
      <c r="B1" s="164"/>
      <c r="C1" s="164"/>
      <c r="D1" s="164"/>
      <c r="E1" s="164"/>
      <c r="F1" s="164"/>
      <c r="G1" s="164"/>
      <c r="H1" s="164"/>
      <c r="I1" s="164"/>
      <c r="J1" s="164"/>
    </row>
    <row r="3" spans="1:10" ht="12.75">
      <c r="A3" s="69" t="s">
        <v>1032</v>
      </c>
      <c r="B3" s="166" t="s">
        <v>1919</v>
      </c>
      <c r="C3" s="166"/>
      <c r="D3" s="166"/>
      <c r="E3" s="166"/>
      <c r="F3" s="166"/>
      <c r="G3" s="166"/>
      <c r="H3" s="166"/>
      <c r="I3" s="166"/>
      <c r="J3" s="166"/>
    </row>
    <row r="4" spans="1:2" ht="12.75">
      <c r="A4" s="69" t="s">
        <v>1148</v>
      </c>
      <c r="B4" t="s">
        <v>637</v>
      </c>
    </row>
    <row r="5" spans="1:2" ht="26.25">
      <c r="A5" s="69" t="s">
        <v>1149</v>
      </c>
      <c r="B5" t="s">
        <v>522</v>
      </c>
    </row>
    <row r="6" ht="12.75">
      <c r="A6" s="15"/>
    </row>
    <row r="7" spans="1:10" ht="26.25">
      <c r="A7" s="69" t="s">
        <v>352</v>
      </c>
      <c r="B7" s="165" t="s">
        <v>679</v>
      </c>
      <c r="C7" s="165"/>
      <c r="D7" s="165"/>
      <c r="E7" s="165"/>
      <c r="F7" s="165"/>
      <c r="G7" s="165"/>
      <c r="H7" s="165"/>
      <c r="I7" s="165"/>
      <c r="J7" s="165"/>
    </row>
    <row r="8" ht="12.75">
      <c r="A8" s="69"/>
    </row>
    <row r="9" spans="1:10" ht="39">
      <c r="A9" s="69" t="s">
        <v>680</v>
      </c>
      <c r="B9" s="166"/>
      <c r="C9" s="166"/>
      <c r="D9" s="166"/>
      <c r="E9" s="166"/>
      <c r="F9" s="166"/>
      <c r="G9" s="166"/>
      <c r="H9" s="166"/>
      <c r="I9" s="166"/>
      <c r="J9" s="166"/>
    </row>
    <row r="10" ht="12.75">
      <c r="A10" s="69"/>
    </row>
    <row r="11" spans="1:10" ht="39">
      <c r="A11" s="69" t="s">
        <v>681</v>
      </c>
      <c r="B11" s="168" t="s">
        <v>1564</v>
      </c>
      <c r="C11" s="165"/>
      <c r="D11" s="165"/>
      <c r="E11" s="165"/>
      <c r="F11" s="165"/>
      <c r="G11" s="165"/>
      <c r="H11" s="165"/>
      <c r="I11" s="165"/>
      <c r="J11" s="165"/>
    </row>
    <row r="12" spans="1:2" ht="12.75">
      <c r="A12" s="126"/>
      <c r="B12" s="75"/>
    </row>
    <row r="13" spans="1:10" ht="26.25">
      <c r="A13" s="69" t="s">
        <v>682</v>
      </c>
      <c r="B13" s="168"/>
      <c r="C13" s="165"/>
      <c r="D13" s="165"/>
      <c r="E13" s="165"/>
      <c r="F13" s="165"/>
      <c r="G13" s="165"/>
      <c r="H13" s="165"/>
      <c r="I13" s="165"/>
      <c r="J13" s="165"/>
    </row>
    <row r="14" spans="1:2" ht="12.75">
      <c r="A14" s="15"/>
      <c r="B14" s="75"/>
    </row>
    <row r="15" spans="1:10" ht="15">
      <c r="A15" s="167" t="s">
        <v>683</v>
      </c>
      <c r="B15" s="167"/>
      <c r="C15" s="167"/>
      <c r="D15" s="167"/>
      <c r="E15" s="167"/>
      <c r="F15" s="167"/>
      <c r="G15" s="167"/>
      <c r="H15" s="167"/>
      <c r="I15" s="167"/>
      <c r="J15" s="167"/>
    </row>
    <row r="16" spans="1:10" ht="92.25">
      <c r="A16" s="127" t="s">
        <v>1488</v>
      </c>
      <c r="B16" s="127" t="s">
        <v>1489</v>
      </c>
      <c r="C16" s="127" t="s">
        <v>1490</v>
      </c>
      <c r="D16" s="127" t="s">
        <v>1491</v>
      </c>
      <c r="E16" s="127" t="s">
        <v>1492</v>
      </c>
      <c r="F16" s="127" t="s">
        <v>1493</v>
      </c>
      <c r="G16" s="127" t="s">
        <v>1494</v>
      </c>
      <c r="H16" s="127" t="s">
        <v>250</v>
      </c>
      <c r="I16" s="127" t="s">
        <v>495</v>
      </c>
      <c r="J16" s="127" t="s">
        <v>496</v>
      </c>
    </row>
    <row r="17" spans="1:10" ht="52.5">
      <c r="A17" s="128" t="s">
        <v>1555</v>
      </c>
      <c r="B17" s="131" t="s">
        <v>311</v>
      </c>
      <c r="C17" s="128"/>
      <c r="D17" s="133"/>
      <c r="E17" s="128" t="s">
        <v>1799</v>
      </c>
      <c r="F17" s="128" t="s">
        <v>1555</v>
      </c>
      <c r="G17" s="133"/>
      <c r="H17" s="134" t="s">
        <v>87</v>
      </c>
      <c r="I17" s="135" t="s">
        <v>985</v>
      </c>
      <c r="J17" s="135" t="s">
        <v>1535</v>
      </c>
    </row>
    <row r="18" spans="1:10" ht="12.75">
      <c r="A18" s="128"/>
      <c r="B18" s="128" t="s">
        <v>50</v>
      </c>
      <c r="C18" s="128"/>
      <c r="D18" s="129">
        <v>40452</v>
      </c>
      <c r="E18" s="128" t="s">
        <v>1799</v>
      </c>
      <c r="F18" s="128"/>
      <c r="G18" s="128"/>
      <c r="H18" s="130" t="s">
        <v>501</v>
      </c>
      <c r="I18" s="128"/>
      <c r="J18" s="128"/>
    </row>
    <row r="19" spans="1:10" ht="12.75">
      <c r="A19" s="128"/>
      <c r="B19" s="128"/>
      <c r="C19" s="128"/>
      <c r="D19" s="128"/>
      <c r="E19" s="128"/>
      <c r="F19" s="128"/>
      <c r="G19" s="128"/>
      <c r="H19" s="128"/>
      <c r="I19" s="128"/>
      <c r="J19" s="128"/>
    </row>
    <row r="20" spans="1:10" ht="78.75">
      <c r="A20" s="128" t="s">
        <v>1799</v>
      </c>
      <c r="B20" s="131" t="s">
        <v>194</v>
      </c>
      <c r="C20" s="128" t="s">
        <v>1555</v>
      </c>
      <c r="D20" s="132">
        <v>40603</v>
      </c>
      <c r="E20" s="128" t="s">
        <v>1799</v>
      </c>
      <c r="F20" s="128" t="s">
        <v>1555</v>
      </c>
      <c r="G20" s="128"/>
      <c r="H20" s="134" t="s">
        <v>87</v>
      </c>
      <c r="I20" s="131" t="s">
        <v>1422</v>
      </c>
      <c r="J20" s="131" t="s">
        <v>853</v>
      </c>
    </row>
    <row r="21" spans="1:10" ht="78.75">
      <c r="A21" s="128" t="s">
        <v>637</v>
      </c>
      <c r="B21" s="131" t="s">
        <v>854</v>
      </c>
      <c r="C21" s="128" t="s">
        <v>1555</v>
      </c>
      <c r="D21" s="132">
        <v>40664</v>
      </c>
      <c r="E21" s="128" t="s">
        <v>637</v>
      </c>
      <c r="F21" s="128" t="s">
        <v>1555</v>
      </c>
      <c r="G21" s="128"/>
      <c r="H21" s="134" t="s">
        <v>87</v>
      </c>
      <c r="I21" s="131" t="s">
        <v>1422</v>
      </c>
      <c r="J21" s="131" t="s">
        <v>853</v>
      </c>
    </row>
    <row r="22" spans="1:12" ht="66">
      <c r="A22" s="128" t="s">
        <v>637</v>
      </c>
      <c r="B22" s="131" t="s">
        <v>1785</v>
      </c>
      <c r="C22" s="128" t="s">
        <v>1555</v>
      </c>
      <c r="D22" s="132">
        <v>40967</v>
      </c>
      <c r="E22" s="128" t="s">
        <v>637</v>
      </c>
      <c r="F22" s="128" t="s">
        <v>1555</v>
      </c>
      <c r="G22" s="132">
        <v>40967</v>
      </c>
      <c r="H22" s="134" t="s">
        <v>87</v>
      </c>
      <c r="I22" s="131" t="s">
        <v>1786</v>
      </c>
      <c r="J22" s="131" t="s">
        <v>921</v>
      </c>
      <c r="L22" s="125" t="s">
        <v>1557</v>
      </c>
    </row>
    <row r="23" spans="1:10" ht="71.25" customHeight="1">
      <c r="A23" s="136" t="s">
        <v>637</v>
      </c>
      <c r="B23" s="137" t="s">
        <v>80</v>
      </c>
      <c r="C23" s="128" t="s">
        <v>1555</v>
      </c>
      <c r="D23" s="132">
        <v>41091</v>
      </c>
      <c r="E23" s="128" t="s">
        <v>637</v>
      </c>
      <c r="F23" s="128" t="s">
        <v>1555</v>
      </c>
      <c r="G23" s="132">
        <v>41091</v>
      </c>
      <c r="H23" s="134" t="s">
        <v>87</v>
      </c>
      <c r="I23" s="137" t="s">
        <v>79</v>
      </c>
      <c r="J23" s="131" t="s">
        <v>921</v>
      </c>
    </row>
    <row r="24" spans="1:10" ht="66">
      <c r="A24" s="136" t="s">
        <v>637</v>
      </c>
      <c r="B24" s="137" t="s">
        <v>1390</v>
      </c>
      <c r="C24" s="138" t="s">
        <v>1918</v>
      </c>
      <c r="D24" s="132">
        <v>41306</v>
      </c>
      <c r="E24" s="136" t="s">
        <v>637</v>
      </c>
      <c r="F24" s="138" t="s">
        <v>1918</v>
      </c>
      <c r="G24" s="132">
        <v>41306</v>
      </c>
      <c r="H24" s="134" t="s">
        <v>87</v>
      </c>
      <c r="I24" s="138" t="s">
        <v>1920</v>
      </c>
      <c r="J24" s="139" t="s">
        <v>1921</v>
      </c>
    </row>
    <row r="25" spans="1:10" ht="66">
      <c r="A25" s="136" t="s">
        <v>637</v>
      </c>
      <c r="B25" s="137" t="s">
        <v>1392</v>
      </c>
      <c r="C25" s="138" t="s">
        <v>1918</v>
      </c>
      <c r="D25" s="132">
        <v>41306</v>
      </c>
      <c r="E25" s="136" t="s">
        <v>637</v>
      </c>
      <c r="F25" s="138" t="s">
        <v>1918</v>
      </c>
      <c r="G25" s="132">
        <v>41306</v>
      </c>
      <c r="H25" s="134" t="s">
        <v>87</v>
      </c>
      <c r="I25" s="138" t="s">
        <v>1920</v>
      </c>
      <c r="J25" s="139" t="s">
        <v>1921</v>
      </c>
    </row>
    <row r="26" spans="1:10" ht="66">
      <c r="A26" s="136" t="s">
        <v>637</v>
      </c>
      <c r="B26" s="137" t="s">
        <v>1391</v>
      </c>
      <c r="C26" s="138" t="s">
        <v>1918</v>
      </c>
      <c r="D26" s="132">
        <v>41306</v>
      </c>
      <c r="E26" s="136" t="s">
        <v>637</v>
      </c>
      <c r="F26" s="138" t="s">
        <v>1918</v>
      </c>
      <c r="G26" s="132">
        <v>41306</v>
      </c>
      <c r="H26" s="134" t="s">
        <v>87</v>
      </c>
      <c r="I26" s="138" t="s">
        <v>1920</v>
      </c>
      <c r="J26" s="139" t="s">
        <v>1921</v>
      </c>
    </row>
    <row r="27" spans="1:10" ht="66">
      <c r="A27" s="136" t="s">
        <v>637</v>
      </c>
      <c r="B27" s="137" t="s">
        <v>1393</v>
      </c>
      <c r="C27" s="138" t="s">
        <v>1918</v>
      </c>
      <c r="D27" s="132">
        <v>41306</v>
      </c>
      <c r="E27" s="136" t="s">
        <v>637</v>
      </c>
      <c r="F27" s="138" t="s">
        <v>1918</v>
      </c>
      <c r="G27" s="132">
        <v>41306</v>
      </c>
      <c r="H27" s="134" t="s">
        <v>87</v>
      </c>
      <c r="I27" s="138" t="s">
        <v>1920</v>
      </c>
      <c r="J27" s="139" t="s">
        <v>1921</v>
      </c>
    </row>
    <row r="28" spans="1:10" ht="66">
      <c r="A28" s="136" t="s">
        <v>637</v>
      </c>
      <c r="B28" s="137" t="s">
        <v>1394</v>
      </c>
      <c r="C28" s="138" t="s">
        <v>1918</v>
      </c>
      <c r="D28" s="132">
        <v>41306</v>
      </c>
      <c r="E28" s="136" t="s">
        <v>637</v>
      </c>
      <c r="F28" s="138" t="s">
        <v>1918</v>
      </c>
      <c r="G28" s="132">
        <v>41306</v>
      </c>
      <c r="H28" s="134" t="s">
        <v>87</v>
      </c>
      <c r="I28" s="138" t="s">
        <v>1920</v>
      </c>
      <c r="J28" s="139" t="s">
        <v>1921</v>
      </c>
    </row>
    <row r="29" spans="1:10" ht="66">
      <c r="A29" s="136" t="s">
        <v>637</v>
      </c>
      <c r="B29" s="137" t="s">
        <v>1395</v>
      </c>
      <c r="C29" s="138" t="s">
        <v>1918</v>
      </c>
      <c r="D29" s="132">
        <v>41306</v>
      </c>
      <c r="E29" s="136" t="s">
        <v>637</v>
      </c>
      <c r="F29" s="138" t="s">
        <v>1918</v>
      </c>
      <c r="G29" s="132">
        <v>41306</v>
      </c>
      <c r="H29" s="134" t="s">
        <v>87</v>
      </c>
      <c r="I29" s="138" t="s">
        <v>1920</v>
      </c>
      <c r="J29" s="139" t="s">
        <v>1921</v>
      </c>
    </row>
    <row r="30" spans="1:10" ht="66">
      <c r="A30" s="136" t="s">
        <v>637</v>
      </c>
      <c r="B30" s="137" t="s">
        <v>1396</v>
      </c>
      <c r="C30" s="138" t="s">
        <v>1918</v>
      </c>
      <c r="D30" s="132">
        <v>41306</v>
      </c>
      <c r="E30" s="136" t="s">
        <v>637</v>
      </c>
      <c r="F30" s="138" t="s">
        <v>1918</v>
      </c>
      <c r="G30" s="132">
        <v>41306</v>
      </c>
      <c r="H30" s="134" t="s">
        <v>87</v>
      </c>
      <c r="I30" s="138" t="s">
        <v>1920</v>
      </c>
      <c r="J30" s="139" t="s">
        <v>1921</v>
      </c>
    </row>
    <row r="33" ht="12.75">
      <c r="B33" t="s">
        <v>1557</v>
      </c>
    </row>
    <row r="34" ht="12.75">
      <c r="F34" s="125" t="s">
        <v>1557</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A1">
      <selection activeCell="A1" sqref="A1:EB16384"/>
    </sheetView>
  </sheetViews>
  <sheetFormatPr defaultColWidth="9.7109375" defaultRowHeight="12.75"/>
  <cols>
    <col min="1" max="1" width="19.7109375" style="41" customWidth="1"/>
    <col min="2" max="2" width="66.8515625" style="41" customWidth="1"/>
    <col min="3" max="3" width="20.8515625" style="41" customWidth="1"/>
    <col min="4" max="4" width="15.421875" style="41" customWidth="1"/>
    <col min="5" max="5" width="20.28125" style="41" customWidth="1"/>
    <col min="6" max="6" width="66.7109375" style="41" customWidth="1"/>
    <col min="7" max="7" width="22.28125" style="41" customWidth="1"/>
    <col min="8" max="8" width="20.140625" style="41" customWidth="1"/>
    <col min="9" max="9" width="45.28125" style="41" customWidth="1"/>
    <col min="10" max="10" width="21.8515625" style="41" customWidth="1"/>
    <col min="11" max="11" width="21.421875" style="41" customWidth="1"/>
    <col min="12" max="12" width="20.28125" style="41" customWidth="1"/>
    <col min="13" max="13" width="15.421875" style="41" customWidth="1"/>
    <col min="14" max="14" width="10.28125" style="41" customWidth="1"/>
    <col min="15" max="15" width="9.7109375" style="41" customWidth="1"/>
    <col min="16" max="16" width="69.7109375" style="41" customWidth="1"/>
    <col min="17" max="17" width="16.7109375" style="41" customWidth="1"/>
    <col min="18" max="18" width="10.28125" style="41" customWidth="1"/>
    <col min="19" max="19" width="9.7109375" style="9" customWidth="1"/>
    <col min="20" max="20" width="61.7109375" style="9" customWidth="1"/>
    <col min="21" max="21" width="15.7109375" style="9" customWidth="1"/>
    <col min="22" max="22" width="10.28125" style="41" customWidth="1"/>
    <col min="23" max="23" width="9.7109375" style="9" customWidth="1"/>
    <col min="24" max="24" width="53.57421875" style="9" customWidth="1"/>
    <col min="25" max="25" width="19.7109375" style="9" customWidth="1"/>
    <col min="26" max="26" width="10.28125" style="41" customWidth="1"/>
    <col min="27" max="27" width="9.7109375" style="9" customWidth="1"/>
    <col min="28" max="28" width="49.57421875" style="9" customWidth="1"/>
    <col min="29" max="29" width="28.421875" style="9" customWidth="1"/>
    <col min="30" max="30" width="12.421875" style="9" customWidth="1"/>
    <col min="31" max="31" width="8.7109375" style="9" customWidth="1"/>
    <col min="32" max="32" width="65.7109375" style="9" customWidth="1"/>
    <col min="33" max="33" width="27.00390625" style="9" customWidth="1"/>
    <col min="34" max="34" width="14.421875" style="9" customWidth="1"/>
    <col min="35" max="35" width="9.7109375" style="9" customWidth="1"/>
    <col min="36" max="36" width="13.00390625" style="9" customWidth="1"/>
    <col min="37" max="37" width="57.28125" style="9" bestFit="1" customWidth="1"/>
    <col min="38" max="38" width="15.00390625" style="9" customWidth="1"/>
    <col min="39" max="39" width="13.7109375" style="9" customWidth="1"/>
    <col min="40" max="40" width="12.140625" style="9" customWidth="1"/>
    <col min="41" max="41" width="14.8515625" style="9" bestFit="1" customWidth="1"/>
    <col min="42" max="42" width="48.421875" style="9" customWidth="1"/>
    <col min="43" max="43" width="21.8515625" style="9" customWidth="1"/>
    <col min="44" max="44" width="23.57421875" style="9" bestFit="1" customWidth="1"/>
    <col min="45" max="46" width="9.7109375" style="9" customWidth="1"/>
    <col min="47" max="47" width="53.140625" style="9" customWidth="1"/>
    <col min="48" max="48" width="19.421875" style="9" bestFit="1" customWidth="1"/>
    <col min="49" max="49" width="13.57421875" style="9" bestFit="1" customWidth="1"/>
    <col min="50" max="51" width="9.7109375" style="9" customWidth="1"/>
    <col min="52" max="52" width="50.8515625" style="9" customWidth="1"/>
    <col min="53" max="53" width="17.00390625" style="9" customWidth="1"/>
    <col min="54" max="54" width="12.7109375" style="9" customWidth="1"/>
    <col min="55" max="55" width="12.57421875" style="9" customWidth="1"/>
    <col min="56" max="56" width="14.421875" style="9" customWidth="1"/>
    <col min="57" max="57" width="42.8515625" style="9" customWidth="1"/>
    <col min="58" max="58" width="15.00390625" style="9" customWidth="1"/>
    <col min="59" max="59" width="14.28125" style="9" customWidth="1"/>
    <col min="60" max="60" width="16.28125" style="9" customWidth="1"/>
    <col min="61" max="61" width="17.7109375" style="9" customWidth="1"/>
    <col min="62" max="62" width="15.421875" style="9" bestFit="1" customWidth="1"/>
    <col min="63" max="64" width="9.7109375" style="9" customWidth="1"/>
    <col min="65" max="65" width="46.28125" style="9" customWidth="1"/>
    <col min="66" max="66" width="20.7109375" style="9" customWidth="1"/>
    <col min="67" max="67" width="14.8515625" style="9" bestFit="1" customWidth="1"/>
    <col min="68" max="69" width="9.7109375" style="9" customWidth="1"/>
    <col min="70" max="70" width="47.8515625" style="9" customWidth="1"/>
    <col min="71" max="71" width="19.421875" style="9" customWidth="1"/>
    <col min="72" max="72" width="15.421875" style="9" bestFit="1" customWidth="1"/>
    <col min="73" max="74" width="9.7109375" style="9" customWidth="1"/>
    <col min="75" max="75" width="49.28125" style="9" customWidth="1"/>
    <col min="76" max="76" width="18.421875" style="9" customWidth="1"/>
    <col min="77" max="77" width="14.140625" style="9" customWidth="1"/>
    <col min="78" max="78" width="9.7109375" style="9" customWidth="1"/>
    <col min="79" max="79" width="10.7109375" style="9" customWidth="1"/>
    <col min="80" max="80" width="70.421875" style="9" customWidth="1"/>
    <col min="81" max="81" width="16.421875" style="9" customWidth="1"/>
    <col min="82" max="82" width="16.8515625" style="9" customWidth="1"/>
    <col min="83" max="84" width="9.7109375" style="9" customWidth="1"/>
    <col min="85" max="85" width="43.00390625" style="9" customWidth="1"/>
    <col min="86" max="86" width="16.421875" style="9" customWidth="1"/>
    <col min="87" max="87" width="15.421875" style="9" bestFit="1" customWidth="1"/>
    <col min="88" max="88" width="9.7109375" style="9" customWidth="1"/>
    <col min="89" max="89" width="13.57421875" style="9" customWidth="1"/>
    <col min="90" max="90" width="58.57421875" style="9" customWidth="1"/>
    <col min="91" max="91" width="16.28125" style="9" bestFit="1" customWidth="1"/>
    <col min="92" max="93" width="9.7109375" style="9" customWidth="1"/>
    <col min="94" max="94" width="58.28125" style="9" customWidth="1"/>
    <col min="95" max="95" width="25.421875" style="9" customWidth="1"/>
    <col min="96" max="97" width="9.7109375" style="9" customWidth="1"/>
    <col min="98" max="98" width="56.421875" style="9" customWidth="1"/>
    <col min="99" max="99" width="28.57421875" style="9" customWidth="1"/>
    <col min="100" max="100" width="13.28125" style="9" bestFit="1" customWidth="1"/>
    <col min="101" max="102" width="9.7109375" style="9" customWidth="1"/>
    <col min="103" max="103" width="65.57421875" style="9" bestFit="1" customWidth="1"/>
    <col min="104" max="104" width="14.8515625" style="9" customWidth="1"/>
    <col min="105" max="105" width="9.7109375" style="9" customWidth="1"/>
    <col min="106" max="106" width="2.7109375" style="9" customWidth="1"/>
    <col min="107" max="107" width="34.7109375" style="9" customWidth="1"/>
    <col min="108" max="108" width="13.7109375" style="9" customWidth="1"/>
    <col min="109" max="109" width="14.7109375" style="9" customWidth="1"/>
    <col min="110" max="111" width="13.7109375" style="9" customWidth="1"/>
    <col min="112" max="132" width="9.7109375" style="9" customWidth="1"/>
    <col min="133" max="226" width="9.7109375" style="1" customWidth="1"/>
  </cols>
  <sheetData>
    <row r="1" spans="31:40" ht="15">
      <c r="AE1" s="7" t="s">
        <v>1557</v>
      </c>
      <c r="AF1" s="8" t="s">
        <v>1557</v>
      </c>
      <c r="AG1" s="8" t="s">
        <v>1557</v>
      </c>
      <c r="AH1" s="8" t="s">
        <v>1557</v>
      </c>
      <c r="AN1" s="8"/>
    </row>
    <row r="2" spans="31:40" ht="16.5" customHeight="1">
      <c r="AE2" s="8"/>
      <c r="AF2" s="8"/>
      <c r="AG2" s="8"/>
      <c r="AH2" s="8"/>
      <c r="AN2" s="8"/>
    </row>
    <row r="3" spans="31:40" ht="15">
      <c r="AE3" s="8"/>
      <c r="AF3" s="8"/>
      <c r="AG3" s="8"/>
      <c r="AH3" s="8"/>
      <c r="AN3" s="8"/>
    </row>
    <row r="4" spans="31:40" ht="15">
      <c r="AE4" s="8"/>
      <c r="AF4" s="8"/>
      <c r="AG4" s="8"/>
      <c r="AH4" s="8"/>
      <c r="AN4" s="8"/>
    </row>
    <row r="5" spans="6:40" ht="23.25">
      <c r="F5" s="172"/>
      <c r="G5" s="173"/>
      <c r="AE5" s="8"/>
      <c r="AF5" s="74"/>
      <c r="AG5" s="8"/>
      <c r="AH5" s="8"/>
      <c r="AN5" s="8"/>
    </row>
    <row r="6" ht="13.5" customHeight="1">
      <c r="AF6" s="9" t="s">
        <v>1557</v>
      </c>
    </row>
    <row r="7" spans="1:104" ht="13.5" customHeight="1">
      <c r="A7" s="43"/>
      <c r="B7" s="38" t="s">
        <v>1558</v>
      </c>
      <c r="C7" s="9"/>
      <c r="E7" s="43"/>
      <c r="F7" s="38" t="s">
        <v>1558</v>
      </c>
      <c r="G7" s="9"/>
      <c r="I7" s="38" t="s">
        <v>261</v>
      </c>
      <c r="J7" s="9"/>
      <c r="L7" s="38"/>
      <c r="M7" s="38" t="str">
        <f>+C12</f>
        <v>ESTIMATE</v>
      </c>
      <c r="N7" s="38"/>
      <c r="P7" s="38" t="s">
        <v>1558</v>
      </c>
      <c r="Q7" s="38"/>
      <c r="R7" s="38"/>
      <c r="T7" s="38" t="s">
        <v>1558</v>
      </c>
      <c r="U7" s="38"/>
      <c r="V7" s="38"/>
      <c r="X7" s="38" t="s">
        <v>1558</v>
      </c>
      <c r="Y7" s="38"/>
      <c r="Z7" s="38"/>
      <c r="AB7" s="38" t="s">
        <v>1558</v>
      </c>
      <c r="AC7" s="38"/>
      <c r="AE7" s="9" t="s">
        <v>1557</v>
      </c>
      <c r="AF7" s="38" t="s">
        <v>1558</v>
      </c>
      <c r="AG7" s="38"/>
      <c r="AK7" s="38" t="s">
        <v>1558</v>
      </c>
      <c r="AL7" s="38"/>
      <c r="AP7" s="38" t="s">
        <v>1558</v>
      </c>
      <c r="AQ7" s="38"/>
      <c r="AT7" s="43"/>
      <c r="AU7" s="38" t="s">
        <v>1558</v>
      </c>
      <c r="AV7" s="38"/>
      <c r="AW7" s="43"/>
      <c r="AX7" s="43"/>
      <c r="AY7" s="43"/>
      <c r="AZ7" s="98" t="s">
        <v>1048</v>
      </c>
      <c r="BA7" s="38"/>
      <c r="BE7" s="38" t="s">
        <v>1558</v>
      </c>
      <c r="BF7" s="38"/>
      <c r="BH7" s="38"/>
      <c r="BM7" s="38" t="s">
        <v>1558</v>
      </c>
      <c r="BN7" s="38"/>
      <c r="BQ7" s="43"/>
      <c r="BR7" s="38" t="s">
        <v>1558</v>
      </c>
      <c r="BS7" s="38"/>
      <c r="BW7" s="38" t="s">
        <v>1558</v>
      </c>
      <c r="BX7" s="38"/>
      <c r="CA7" s="43"/>
      <c r="CB7" s="38" t="s">
        <v>1558</v>
      </c>
      <c r="CC7" s="38"/>
      <c r="CG7" s="38" t="s">
        <v>1558</v>
      </c>
      <c r="CH7" s="38"/>
      <c r="CL7" s="38" t="s">
        <v>1558</v>
      </c>
      <c r="CM7" s="38"/>
      <c r="CP7" s="38" t="s">
        <v>1558</v>
      </c>
      <c r="CQ7" s="38"/>
      <c r="CS7" s="43"/>
      <c r="CT7" s="38" t="s">
        <v>363</v>
      </c>
      <c r="CU7" s="38" t="str">
        <f>CQ13</f>
        <v>May, 2015</v>
      </c>
      <c r="CX7" s="43"/>
      <c r="CY7" s="38" t="s">
        <v>363</v>
      </c>
      <c r="CZ7" s="38" t="str">
        <f>CU7</f>
        <v>May, 2015</v>
      </c>
    </row>
    <row r="8" spans="1:104" ht="15.75">
      <c r="A8" s="43"/>
      <c r="B8" s="38" t="s">
        <v>1631</v>
      </c>
      <c r="C8" s="9"/>
      <c r="E8" s="43"/>
      <c r="F8" s="38" t="s">
        <v>1631</v>
      </c>
      <c r="G8" s="9"/>
      <c r="I8" s="38" t="s">
        <v>1294</v>
      </c>
      <c r="J8" s="9"/>
      <c r="L8" s="9"/>
      <c r="M8" s="38" t="s">
        <v>191</v>
      </c>
      <c r="N8" s="38"/>
      <c r="P8" s="38" t="s">
        <v>262</v>
      </c>
      <c r="Q8" s="38" t="s">
        <v>550</v>
      </c>
      <c r="R8" s="38"/>
      <c r="T8" s="38" t="s">
        <v>262</v>
      </c>
      <c r="U8" s="38" t="s">
        <v>549</v>
      </c>
      <c r="V8" s="38"/>
      <c r="X8" s="38" t="s">
        <v>262</v>
      </c>
      <c r="Y8" s="38" t="s">
        <v>1184</v>
      </c>
      <c r="Z8" s="38"/>
      <c r="AB8" s="38" t="s">
        <v>262</v>
      </c>
      <c r="AC8" s="38" t="s">
        <v>1182</v>
      </c>
      <c r="AD8" s="38"/>
      <c r="AE8" s="9" t="s">
        <v>1557</v>
      </c>
      <c r="AF8" s="38" t="s">
        <v>262</v>
      </c>
      <c r="AG8" s="38" t="s">
        <v>263</v>
      </c>
      <c r="AK8" s="38" t="s">
        <v>262</v>
      </c>
      <c r="AL8" s="38" t="s">
        <v>1185</v>
      </c>
      <c r="AM8" s="38"/>
      <c r="AP8" s="38" t="s">
        <v>262</v>
      </c>
      <c r="AQ8" s="71" t="s">
        <v>264</v>
      </c>
      <c r="AT8" s="43"/>
      <c r="AU8" s="38" t="s">
        <v>262</v>
      </c>
      <c r="AV8" s="71" t="s">
        <v>1416</v>
      </c>
      <c r="AW8" s="43"/>
      <c r="AX8" s="43"/>
      <c r="AY8" s="43"/>
      <c r="AZ8" s="98" t="s">
        <v>1417</v>
      </c>
      <c r="BA8" s="71" t="s">
        <v>1418</v>
      </c>
      <c r="BE8" s="38" t="s">
        <v>262</v>
      </c>
      <c r="BH8" s="38" t="s">
        <v>36</v>
      </c>
      <c r="BM8" s="38" t="s">
        <v>1545</v>
      </c>
      <c r="BN8" s="38" t="s">
        <v>1546</v>
      </c>
      <c r="BQ8" s="43"/>
      <c r="BR8" s="38" t="s">
        <v>262</v>
      </c>
      <c r="BS8" s="38" t="s">
        <v>1547</v>
      </c>
      <c r="BW8" s="38" t="s">
        <v>262</v>
      </c>
      <c r="BX8" s="38" t="s">
        <v>1548</v>
      </c>
      <c r="CA8" s="43"/>
      <c r="CB8" s="38" t="s">
        <v>262</v>
      </c>
      <c r="CC8" s="38" t="s">
        <v>1549</v>
      </c>
      <c r="CG8" s="38" t="s">
        <v>262</v>
      </c>
      <c r="CH8" s="38" t="s">
        <v>551</v>
      </c>
      <c r="CL8" s="38" t="s">
        <v>262</v>
      </c>
      <c r="CM8" s="38" t="s">
        <v>552</v>
      </c>
      <c r="CP8" s="38" t="s">
        <v>262</v>
      </c>
      <c r="CQ8" s="38" t="s">
        <v>1429</v>
      </c>
      <c r="CS8" s="43"/>
      <c r="CT8" s="38"/>
      <c r="CU8" s="38" t="str">
        <f>+C12</f>
        <v>ESTIMATE</v>
      </c>
      <c r="CX8" s="43"/>
      <c r="CY8" s="38"/>
      <c r="CZ8" s="38" t="str">
        <f>+C12</f>
        <v>ESTIMATE</v>
      </c>
    </row>
    <row r="9" spans="1:104" ht="15.75">
      <c r="A9" s="43"/>
      <c r="B9" s="38" t="s">
        <v>928</v>
      </c>
      <c r="C9" s="9"/>
      <c r="E9" s="43"/>
      <c r="F9" s="38" t="s">
        <v>928</v>
      </c>
      <c r="G9" s="9"/>
      <c r="I9" s="174" t="s">
        <v>1281</v>
      </c>
      <c r="J9" s="9"/>
      <c r="K9" s="9"/>
      <c r="L9" s="9"/>
      <c r="M9" s="35"/>
      <c r="N9" s="35"/>
      <c r="O9" s="9"/>
      <c r="P9" s="34" t="s">
        <v>346</v>
      </c>
      <c r="Q9" s="9"/>
      <c r="R9" s="35"/>
      <c r="T9" s="34" t="s">
        <v>368</v>
      </c>
      <c r="V9" s="35"/>
      <c r="X9" s="175" t="s">
        <v>1275</v>
      </c>
      <c r="Z9" s="35"/>
      <c r="AB9" s="103" t="s">
        <v>1336</v>
      </c>
      <c r="AF9" s="34" t="s">
        <v>908</v>
      </c>
      <c r="AK9" s="34" t="s">
        <v>1798</v>
      </c>
      <c r="AP9" s="34" t="s">
        <v>843</v>
      </c>
      <c r="AU9" s="38" t="s">
        <v>1474</v>
      </c>
      <c r="AV9" s="43"/>
      <c r="AW9" s="43"/>
      <c r="AX9" s="43"/>
      <c r="AZ9" s="34" t="s">
        <v>1045</v>
      </c>
      <c r="BA9" s="43"/>
      <c r="BE9" s="43" t="s">
        <v>329</v>
      </c>
      <c r="BG9" s="38" t="s">
        <v>271</v>
      </c>
      <c r="BH9" s="35"/>
      <c r="BM9" s="34" t="s">
        <v>1828</v>
      </c>
      <c r="BR9" s="38" t="s">
        <v>1404</v>
      </c>
      <c r="BW9" s="34" t="s">
        <v>1828</v>
      </c>
      <c r="CB9" s="38" t="s">
        <v>291</v>
      </c>
      <c r="CG9" s="34" t="s">
        <v>1375</v>
      </c>
      <c r="CL9" s="34" t="s">
        <v>1376</v>
      </c>
      <c r="CP9" s="34" t="s">
        <v>1844</v>
      </c>
      <c r="CS9" s="71" t="s">
        <v>959</v>
      </c>
      <c r="CT9" s="43" t="s">
        <v>1714</v>
      </c>
      <c r="CX9" s="71" t="s">
        <v>959</v>
      </c>
      <c r="CY9" s="43" t="s">
        <v>1714</v>
      </c>
      <c r="CZ9" s="38"/>
    </row>
    <row r="10" spans="1:104" ht="15.75">
      <c r="A10" s="9"/>
      <c r="B10" s="38"/>
      <c r="C10" s="9"/>
      <c r="E10" s="9"/>
      <c r="F10" s="38"/>
      <c r="G10" s="9"/>
      <c r="I10" s="98"/>
      <c r="J10" s="9"/>
      <c r="K10" s="38" t="str">
        <f>Q13</f>
        <v>May, 2015</v>
      </c>
      <c r="L10" s="43" t="s">
        <v>1557</v>
      </c>
      <c r="M10" s="176">
        <f>C13</f>
        <v>42975</v>
      </c>
      <c r="N10" s="176"/>
      <c r="O10" s="9"/>
      <c r="P10" s="9"/>
      <c r="Q10" s="9"/>
      <c r="R10" s="176"/>
      <c r="V10" s="176"/>
      <c r="X10" s="34" t="s">
        <v>45</v>
      </c>
      <c r="Z10" s="176"/>
      <c r="AU10" s="103" t="s">
        <v>1475</v>
      </c>
      <c r="BE10" s="34" t="s">
        <v>1346</v>
      </c>
      <c r="BG10" s="38" t="str">
        <f>+AG13</f>
        <v>May, 2015</v>
      </c>
      <c r="BH10" s="38"/>
      <c r="BN10" s="38" t="s">
        <v>271</v>
      </c>
      <c r="BR10" s="34" t="s">
        <v>1372</v>
      </c>
      <c r="BX10" s="38" t="s">
        <v>271</v>
      </c>
      <c r="CB10" s="9" t="s">
        <v>1380</v>
      </c>
      <c r="CC10" s="38" t="s">
        <v>271</v>
      </c>
      <c r="CH10" s="38" t="s">
        <v>271</v>
      </c>
      <c r="CM10" s="38" t="s">
        <v>271</v>
      </c>
      <c r="CS10" s="43"/>
      <c r="CT10" s="34" t="s">
        <v>364</v>
      </c>
      <c r="CX10" s="43"/>
      <c r="CY10" s="34" t="s">
        <v>364</v>
      </c>
      <c r="CZ10" s="43"/>
    </row>
    <row r="11" spans="1:91" ht="15.75">
      <c r="A11" s="9"/>
      <c r="B11" s="9"/>
      <c r="C11" s="38"/>
      <c r="E11" s="98"/>
      <c r="F11" s="9"/>
      <c r="G11" s="38"/>
      <c r="I11" s="9"/>
      <c r="J11" s="9"/>
      <c r="K11" s="9"/>
      <c r="L11" s="9"/>
      <c r="M11" s="9"/>
      <c r="N11" s="9"/>
      <c r="O11" s="9"/>
      <c r="P11" s="9"/>
      <c r="Q11" s="9"/>
      <c r="R11" s="9"/>
      <c r="V11" s="9"/>
      <c r="Z11" s="9"/>
      <c r="AA11" s="35"/>
      <c r="AB11" s="35"/>
      <c r="AC11" s="35"/>
      <c r="AD11" s="35"/>
      <c r="AF11" s="116"/>
      <c r="AG11" s="38" t="s">
        <v>271</v>
      </c>
      <c r="AL11" s="38" t="s">
        <v>271</v>
      </c>
      <c r="AM11" s="38"/>
      <c r="AQ11" s="38" t="s">
        <v>271</v>
      </c>
      <c r="AX11" s="43"/>
      <c r="AY11" s="43"/>
      <c r="AZ11" s="43"/>
      <c r="BA11" s="38" t="s">
        <v>271</v>
      </c>
      <c r="BE11" s="43"/>
      <c r="BK11" s="38" t="s">
        <v>1347</v>
      </c>
      <c r="BL11" s="38" t="s">
        <v>1348</v>
      </c>
      <c r="BM11" s="38"/>
      <c r="BN11" s="177" t="str">
        <f>+AG13</f>
        <v>May, 2015</v>
      </c>
      <c r="BU11" s="38" t="s">
        <v>1347</v>
      </c>
      <c r="BV11" s="38" t="s">
        <v>1348</v>
      </c>
      <c r="BW11" s="43"/>
      <c r="BX11" s="177" t="str">
        <f>+AG13</f>
        <v>May, 2015</v>
      </c>
      <c r="BY11" s="43"/>
      <c r="BZ11" s="38" t="s">
        <v>1347</v>
      </c>
      <c r="CA11" s="38" t="s">
        <v>1348</v>
      </c>
      <c r="CB11" s="43"/>
      <c r="CC11" s="177" t="str">
        <f>+AG13</f>
        <v>May, 2015</v>
      </c>
      <c r="CE11" s="38" t="s">
        <v>1347</v>
      </c>
      <c r="CF11" s="38" t="s">
        <v>1348</v>
      </c>
      <c r="CG11" s="38"/>
      <c r="CH11" s="177" t="str">
        <f>+AG13</f>
        <v>May, 2015</v>
      </c>
      <c r="CJ11" s="38" t="s">
        <v>1347</v>
      </c>
      <c r="CK11" s="38" t="s">
        <v>1348</v>
      </c>
      <c r="CL11" s="38"/>
      <c r="CM11" s="177" t="str">
        <f>+AG13</f>
        <v>May, 2015</v>
      </c>
    </row>
    <row r="12" spans="1:95" ht="15.75">
      <c r="A12" s="43" t="s">
        <v>1061</v>
      </c>
      <c r="B12" s="9"/>
      <c r="C12" s="38" t="str">
        <f>INSTRUCTIONS!L29</f>
        <v>ESTIMATE</v>
      </c>
      <c r="E12" s="98" t="s">
        <v>1060</v>
      </c>
      <c r="F12" s="9"/>
      <c r="G12" s="38" t="str">
        <f>+C12</f>
        <v>ESTIMATE</v>
      </c>
      <c r="I12" s="9"/>
      <c r="J12" s="38" t="s">
        <v>1064</v>
      </c>
      <c r="K12" s="43"/>
      <c r="L12" s="43"/>
      <c r="M12" s="43"/>
      <c r="N12" s="43"/>
      <c r="O12" s="38" t="s">
        <v>1347</v>
      </c>
      <c r="P12" s="43"/>
      <c r="Q12" s="38" t="s">
        <v>271</v>
      </c>
      <c r="R12" s="43"/>
      <c r="S12" s="38" t="s">
        <v>1347</v>
      </c>
      <c r="T12" s="43"/>
      <c r="U12" s="38" t="s">
        <v>271</v>
      </c>
      <c r="V12" s="43"/>
      <c r="W12" s="38" t="s">
        <v>1347</v>
      </c>
      <c r="X12" s="35"/>
      <c r="Y12" s="38" t="s">
        <v>271</v>
      </c>
      <c r="Z12" s="43"/>
      <c r="AA12" s="38" t="s">
        <v>1347</v>
      </c>
      <c r="AB12" s="35"/>
      <c r="AC12" s="38" t="s">
        <v>271</v>
      </c>
      <c r="AD12" s="38"/>
      <c r="AE12" s="38" t="s">
        <v>1537</v>
      </c>
      <c r="AF12" s="43"/>
      <c r="AG12" s="38"/>
      <c r="AH12" s="38"/>
      <c r="AI12" s="38" t="s">
        <v>1347</v>
      </c>
      <c r="AJ12" s="38" t="s">
        <v>1348</v>
      </c>
      <c r="AK12" s="43"/>
      <c r="AL12" s="34" t="str">
        <f>+AG13</f>
        <v>May, 2015</v>
      </c>
      <c r="AM12" s="34"/>
      <c r="AN12" s="38" t="s">
        <v>1347</v>
      </c>
      <c r="AO12" s="38" t="s">
        <v>1348</v>
      </c>
      <c r="AP12" s="38"/>
      <c r="AQ12" s="34" t="str">
        <f>+AG13</f>
        <v>May, 2015</v>
      </c>
      <c r="AS12" s="43"/>
      <c r="AT12" s="43"/>
      <c r="AU12" s="43"/>
      <c r="AV12" s="38" t="s">
        <v>271</v>
      </c>
      <c r="AX12" s="38" t="s">
        <v>1347</v>
      </c>
      <c r="AY12" s="38" t="s">
        <v>1348</v>
      </c>
      <c r="AZ12" s="43"/>
      <c r="BA12" s="34" t="str">
        <f>+AG13</f>
        <v>May, 2015</v>
      </c>
      <c r="BC12" s="38" t="s">
        <v>1347</v>
      </c>
      <c r="BD12" s="38" t="s">
        <v>1348</v>
      </c>
      <c r="BE12" s="43"/>
      <c r="BG12" s="38" t="s">
        <v>1062</v>
      </c>
      <c r="BH12" s="38" t="s">
        <v>1063</v>
      </c>
      <c r="BI12" s="38"/>
      <c r="BJ12" s="38"/>
      <c r="BK12" s="34" t="s">
        <v>1538</v>
      </c>
      <c r="BL12" s="34" t="s">
        <v>1539</v>
      </c>
      <c r="BM12" s="34" t="s">
        <v>1540</v>
      </c>
      <c r="BN12" s="34"/>
      <c r="BP12" s="38"/>
      <c r="BQ12" s="38"/>
      <c r="BR12" s="38"/>
      <c r="BS12" s="38" t="s">
        <v>271</v>
      </c>
      <c r="BU12" s="34" t="s">
        <v>1541</v>
      </c>
      <c r="BV12" s="34" t="s">
        <v>1539</v>
      </c>
      <c r="BW12" s="34" t="s">
        <v>1540</v>
      </c>
      <c r="BX12" s="34"/>
      <c r="BY12" s="43"/>
      <c r="BZ12" s="34" t="s">
        <v>1538</v>
      </c>
      <c r="CA12" s="34" t="s">
        <v>1539</v>
      </c>
      <c r="CB12" s="34" t="s">
        <v>1540</v>
      </c>
      <c r="CC12" s="34"/>
      <c r="CE12" s="34" t="s">
        <v>1538</v>
      </c>
      <c r="CF12" s="34" t="s">
        <v>1539</v>
      </c>
      <c r="CG12" s="34" t="s">
        <v>1540</v>
      </c>
      <c r="CH12" s="34"/>
      <c r="CJ12" s="34" t="s">
        <v>1538</v>
      </c>
      <c r="CK12" s="34" t="s">
        <v>1539</v>
      </c>
      <c r="CL12" s="34" t="s">
        <v>1540</v>
      </c>
      <c r="CM12" s="34"/>
      <c r="CQ12" s="38" t="s">
        <v>271</v>
      </c>
    </row>
    <row r="13" spans="1:99" ht="15.75">
      <c r="A13" s="43" t="s">
        <v>1827</v>
      </c>
      <c r="B13" s="9"/>
      <c r="C13" s="178">
        <f ca="1">TODAY()</f>
        <v>42975</v>
      </c>
      <c r="E13" s="98" t="s">
        <v>1066</v>
      </c>
      <c r="F13" s="9"/>
      <c r="G13" s="178">
        <f>C13</f>
        <v>42975</v>
      </c>
      <c r="I13" s="9"/>
      <c r="J13" s="38" t="s">
        <v>271</v>
      </c>
      <c r="K13" s="38" t="s">
        <v>1062</v>
      </c>
      <c r="L13" s="38" t="s">
        <v>1063</v>
      </c>
      <c r="M13" s="179"/>
      <c r="N13" s="38"/>
      <c r="O13" s="34" t="s">
        <v>1538</v>
      </c>
      <c r="P13" s="43"/>
      <c r="Q13" s="34" t="str">
        <f>INSTRUCTIONS!L7</f>
        <v>May, 2015</v>
      </c>
      <c r="R13" s="38"/>
      <c r="S13" s="34" t="s">
        <v>1538</v>
      </c>
      <c r="T13" s="43"/>
      <c r="U13" s="34" t="str">
        <f>Q13</f>
        <v>May, 2015</v>
      </c>
      <c r="V13" s="38"/>
      <c r="W13" s="34" t="s">
        <v>1538</v>
      </c>
      <c r="X13" s="35"/>
      <c r="Y13" s="34" t="str">
        <f>U13</f>
        <v>May, 2015</v>
      </c>
      <c r="Z13" s="38"/>
      <c r="AA13" s="34" t="s">
        <v>1538</v>
      </c>
      <c r="AB13" s="35"/>
      <c r="AC13" s="34" t="str">
        <f>Y13</f>
        <v>May, 2015</v>
      </c>
      <c r="AD13" s="34"/>
      <c r="AE13" s="34" t="s">
        <v>1539</v>
      </c>
      <c r="AF13" s="43"/>
      <c r="AG13" s="34" t="str">
        <f>AC13</f>
        <v>May, 2015</v>
      </c>
      <c r="AH13" s="38"/>
      <c r="AI13" s="34" t="s">
        <v>1538</v>
      </c>
      <c r="AJ13" s="34" t="s">
        <v>1539</v>
      </c>
      <c r="AK13" s="34" t="s">
        <v>1540</v>
      </c>
      <c r="AL13" s="34"/>
      <c r="AM13" s="34"/>
      <c r="AN13" s="34" t="s">
        <v>1538</v>
      </c>
      <c r="AO13" s="34" t="s">
        <v>1065</v>
      </c>
      <c r="AP13" s="34" t="s">
        <v>1540</v>
      </c>
      <c r="AQ13" s="34"/>
      <c r="AS13" s="38" t="s">
        <v>1537</v>
      </c>
      <c r="AT13" s="38" t="s">
        <v>1348</v>
      </c>
      <c r="AU13" s="43"/>
      <c r="AV13" s="34" t="str">
        <f>+AG13</f>
        <v>May, 2015</v>
      </c>
      <c r="AX13" s="34" t="s">
        <v>1538</v>
      </c>
      <c r="AY13" s="34" t="s">
        <v>1539</v>
      </c>
      <c r="AZ13" s="34" t="s">
        <v>1540</v>
      </c>
      <c r="BA13" s="34"/>
      <c r="BC13" s="34" t="s">
        <v>1538</v>
      </c>
      <c r="BD13" s="34" t="s">
        <v>1539</v>
      </c>
      <c r="BE13" s="34" t="s">
        <v>1540</v>
      </c>
      <c r="BF13" s="34" t="s">
        <v>1064</v>
      </c>
      <c r="BG13" s="34" t="s">
        <v>257</v>
      </c>
      <c r="BH13" s="34" t="s">
        <v>257</v>
      </c>
      <c r="BI13" s="34"/>
      <c r="BJ13" s="34"/>
      <c r="BP13" s="38" t="s">
        <v>1347</v>
      </c>
      <c r="BQ13" s="38" t="s">
        <v>1348</v>
      </c>
      <c r="BR13" s="38"/>
      <c r="BS13" s="177" t="str">
        <f>+AG13</f>
        <v>May, 2015</v>
      </c>
      <c r="BX13" s="14"/>
      <c r="CO13" s="34" t="s">
        <v>1439</v>
      </c>
      <c r="CQ13" s="34" t="str">
        <f>+AG13</f>
        <v>May, 2015</v>
      </c>
      <c r="CS13" s="35">
        <v>500</v>
      </c>
      <c r="CT13" s="9" t="s">
        <v>1872</v>
      </c>
      <c r="CU13" s="14">
        <f>EXPENSES!J46</f>
        <v>131462.79</v>
      </c>
    </row>
    <row r="14" spans="1:99" ht="15.75">
      <c r="A14" s="43" t="s">
        <v>1343</v>
      </c>
      <c r="B14" s="9"/>
      <c r="C14" s="9"/>
      <c r="E14" s="98" t="s">
        <v>1342</v>
      </c>
      <c r="F14" s="9"/>
      <c r="G14" s="9"/>
      <c r="I14" s="9"/>
      <c r="J14" s="34" t="s">
        <v>1345</v>
      </c>
      <c r="K14" s="34" t="s">
        <v>1543</v>
      </c>
      <c r="L14" s="34" t="s">
        <v>1543</v>
      </c>
      <c r="M14" s="180"/>
      <c r="N14" s="34"/>
      <c r="O14" s="43"/>
      <c r="P14" s="43"/>
      <c r="Q14" s="34"/>
      <c r="R14" s="34"/>
      <c r="S14" s="43"/>
      <c r="T14" s="43"/>
      <c r="U14" s="34"/>
      <c r="V14" s="34"/>
      <c r="W14" s="35"/>
      <c r="X14" s="35"/>
      <c r="Y14" s="34"/>
      <c r="Z14" s="34"/>
      <c r="AA14" s="35"/>
      <c r="AB14" s="35"/>
      <c r="AC14" s="34"/>
      <c r="AD14" s="34"/>
      <c r="AE14" s="43"/>
      <c r="AF14" s="43"/>
      <c r="AG14" s="34"/>
      <c r="AH14" s="38"/>
      <c r="AN14" s="38"/>
      <c r="AO14" s="38"/>
      <c r="AP14" s="38"/>
      <c r="AQ14" s="38"/>
      <c r="AS14" s="34" t="s">
        <v>1538</v>
      </c>
      <c r="AT14" s="34" t="s">
        <v>1539</v>
      </c>
      <c r="AU14" s="34" t="s">
        <v>1540</v>
      </c>
      <c r="AV14" s="34"/>
      <c r="AX14" s="35" t="s">
        <v>70</v>
      </c>
      <c r="AY14" s="35"/>
      <c r="BG14" s="68"/>
      <c r="BH14" s="68"/>
      <c r="BK14" s="35" t="s">
        <v>71</v>
      </c>
      <c r="BL14" s="35"/>
      <c r="BM14" s="116" t="s">
        <v>864</v>
      </c>
      <c r="BP14" s="34" t="s">
        <v>1538</v>
      </c>
      <c r="BQ14" s="34" t="s">
        <v>1539</v>
      </c>
      <c r="BR14" s="34" t="s">
        <v>865</v>
      </c>
      <c r="BS14" s="34"/>
      <c r="CB14" s="116" t="s">
        <v>272</v>
      </c>
      <c r="CE14" s="35" t="s">
        <v>71</v>
      </c>
      <c r="CF14" s="35"/>
      <c r="CG14" s="116" t="s">
        <v>273</v>
      </c>
      <c r="CQ14" s="34"/>
      <c r="CS14" s="35">
        <v>501</v>
      </c>
      <c r="CT14" s="9" t="s">
        <v>1344</v>
      </c>
      <c r="CU14" s="14">
        <f>IF(INSTRUCTIONS!L8="ESTIMATE",J22,(IF(INSTRUCTIONS!L8="ACTUAL",FUELU1!N44,"ERROR")))</f>
        <v>9603694.92</v>
      </c>
    </row>
    <row r="15" spans="1:99" ht="12.75" customHeight="1">
      <c r="A15" s="9"/>
      <c r="B15" s="9"/>
      <c r="C15" s="9"/>
      <c r="E15" s="43"/>
      <c r="F15" s="9"/>
      <c r="G15" s="9"/>
      <c r="I15" s="9"/>
      <c r="J15" s="9"/>
      <c r="K15" s="9"/>
      <c r="L15" s="9"/>
      <c r="M15" s="181"/>
      <c r="N15" s="9"/>
      <c r="O15" s="35" t="s">
        <v>665</v>
      </c>
      <c r="P15" s="116" t="s">
        <v>1085</v>
      </c>
      <c r="Q15" s="9"/>
      <c r="R15" s="9"/>
      <c r="S15" s="35" t="s">
        <v>665</v>
      </c>
      <c r="T15" s="116" t="s">
        <v>246</v>
      </c>
      <c r="V15" s="9"/>
      <c r="W15" s="35" t="s">
        <v>1544</v>
      </c>
      <c r="X15" s="116" t="s">
        <v>1559</v>
      </c>
      <c r="Z15" s="9"/>
      <c r="AA15" s="35" t="s">
        <v>1544</v>
      </c>
      <c r="AB15" s="116" t="s">
        <v>1843</v>
      </c>
      <c r="AE15" s="35" t="s">
        <v>1544</v>
      </c>
      <c r="AF15" s="116" t="s">
        <v>1100</v>
      </c>
      <c r="AG15" s="9" t="s">
        <v>1557</v>
      </c>
      <c r="AI15" s="35">
        <v>1</v>
      </c>
      <c r="AJ15" s="35">
        <v>450</v>
      </c>
      <c r="AK15" s="9" t="s">
        <v>1560</v>
      </c>
      <c r="AL15" s="14">
        <v>0</v>
      </c>
      <c r="AM15" s="14"/>
      <c r="AN15" s="35" t="s">
        <v>71</v>
      </c>
      <c r="AO15" s="35" t="s">
        <v>208</v>
      </c>
      <c r="AP15" s="9" t="s">
        <v>1826</v>
      </c>
      <c r="AQ15" s="14">
        <f>SUM((CU13+(SUM(CU15:CU22))))</f>
        <v>327452.80000000005</v>
      </c>
      <c r="AX15" s="35"/>
      <c r="AY15" s="35"/>
      <c r="BC15" s="35">
        <v>1</v>
      </c>
      <c r="BE15" s="116" t="s">
        <v>739</v>
      </c>
      <c r="BK15" s="35"/>
      <c r="BL15" s="35"/>
      <c r="BU15" s="35">
        <v>31</v>
      </c>
      <c r="BV15" s="35"/>
      <c r="BW15" s="116" t="s">
        <v>664</v>
      </c>
      <c r="CE15" s="35"/>
      <c r="CF15" s="35"/>
      <c r="CO15" s="35" t="s">
        <v>71</v>
      </c>
      <c r="CP15" s="116" t="s">
        <v>1561</v>
      </c>
      <c r="CS15" s="35">
        <v>502</v>
      </c>
      <c r="CT15" s="9" t="s">
        <v>1562</v>
      </c>
      <c r="CU15" s="14">
        <f>EXPENSES!J47</f>
        <v>69009.15</v>
      </c>
    </row>
    <row r="16" spans="1:104" ht="15.75">
      <c r="A16" s="43" t="s">
        <v>271</v>
      </c>
      <c r="B16" s="43"/>
      <c r="C16" s="9"/>
      <c r="E16" s="43" t="s">
        <v>271</v>
      </c>
      <c r="F16" s="103"/>
      <c r="G16" s="9"/>
      <c r="I16" s="9" t="s">
        <v>561</v>
      </c>
      <c r="J16" s="14">
        <f>TRUNC(Y48)</f>
        <v>734660</v>
      </c>
      <c r="K16" s="14">
        <f>ROUND((J16*INSTRUCTIONS!$M$20),0)</f>
        <v>220398</v>
      </c>
      <c r="L16" s="14">
        <f>SUM((J16-K16))</f>
        <v>514262</v>
      </c>
      <c r="M16" s="182"/>
      <c r="N16" s="14"/>
      <c r="O16" s="35"/>
      <c r="P16" s="9"/>
      <c r="Q16" s="9"/>
      <c r="R16" s="14"/>
      <c r="S16" s="35"/>
      <c r="V16" s="14"/>
      <c r="W16" s="35"/>
      <c r="Z16" s="14"/>
      <c r="AA16" s="35"/>
      <c r="AE16" s="35"/>
      <c r="AF16" s="9" t="s">
        <v>1557</v>
      </c>
      <c r="AI16" s="35"/>
      <c r="AJ16" s="35"/>
      <c r="AN16" s="35" t="s">
        <v>1389</v>
      </c>
      <c r="AO16" s="35">
        <v>501</v>
      </c>
      <c r="AP16" s="9" t="s">
        <v>490</v>
      </c>
      <c r="AQ16" s="14">
        <f>SUM(CU14)</f>
        <v>9603694.92</v>
      </c>
      <c r="AX16" s="35" t="s">
        <v>491</v>
      </c>
      <c r="AY16" s="35" t="s">
        <v>1688</v>
      </c>
      <c r="AZ16" s="9" t="s">
        <v>674</v>
      </c>
      <c r="BC16" s="35"/>
      <c r="BK16" s="35" t="s">
        <v>1389</v>
      </c>
      <c r="BL16" s="35">
        <v>101</v>
      </c>
      <c r="BM16" s="9" t="s">
        <v>717</v>
      </c>
      <c r="BN16" s="14">
        <f>AEGBS!F11</f>
        <v>663039713.25</v>
      </c>
      <c r="BP16" s="35" t="s">
        <v>71</v>
      </c>
      <c r="BQ16" s="35">
        <v>128</v>
      </c>
      <c r="BR16" s="9" t="s">
        <v>1552</v>
      </c>
      <c r="BS16" s="14">
        <f>AEGBS!F32</f>
        <v>0</v>
      </c>
      <c r="BU16" s="35"/>
      <c r="BV16" s="35"/>
      <c r="BZ16" s="35" t="s">
        <v>71</v>
      </c>
      <c r="CA16" s="35">
        <v>107</v>
      </c>
      <c r="CB16" s="9" t="s">
        <v>1553</v>
      </c>
      <c r="CC16" s="14">
        <f>AEGBS!D145</f>
        <v>129745731.2</v>
      </c>
      <c r="CE16" s="35" t="s">
        <v>1389</v>
      </c>
      <c r="CF16" s="35">
        <v>201</v>
      </c>
      <c r="CG16" s="9" t="s">
        <v>1766</v>
      </c>
      <c r="CH16" s="14">
        <f>AEGBS!D153</f>
        <v>383000</v>
      </c>
      <c r="CJ16" s="35">
        <v>28</v>
      </c>
      <c r="CK16" s="35"/>
      <c r="CL16" s="116" t="s">
        <v>331</v>
      </c>
      <c r="CO16" s="35"/>
      <c r="CS16" s="35">
        <v>503</v>
      </c>
      <c r="CT16" s="9" t="s">
        <v>84</v>
      </c>
      <c r="CU16" s="14">
        <v>0</v>
      </c>
      <c r="CX16" s="35">
        <v>901</v>
      </c>
      <c r="CY16" s="9" t="s">
        <v>1769</v>
      </c>
      <c r="CZ16" s="14">
        <v>0</v>
      </c>
    </row>
    <row r="17" spans="1:104" ht="15.75">
      <c r="A17" s="174" t="str">
        <f>"POWER BILL - -  "&amp;INSTRUCTIONS!L7</f>
        <v>POWER BILL - -  May, 2015</v>
      </c>
      <c r="B17" s="103"/>
      <c r="C17" s="9"/>
      <c r="E17" s="174" t="str">
        <f>A17</f>
        <v>POWER BILL - -  May, 2015</v>
      </c>
      <c r="F17" s="9"/>
      <c r="G17" s="9"/>
      <c r="I17" s="9"/>
      <c r="J17" s="9"/>
      <c r="K17" s="9"/>
      <c r="L17" s="9"/>
      <c r="M17" s="181"/>
      <c r="N17" s="9"/>
      <c r="O17" s="35" t="s">
        <v>1448</v>
      </c>
      <c r="P17" s="116" t="s">
        <v>487</v>
      </c>
      <c r="Q17" s="9"/>
      <c r="R17" s="9"/>
      <c r="S17" s="35"/>
      <c r="V17" s="9"/>
      <c r="W17" s="35"/>
      <c r="Z17" s="9"/>
      <c r="AA17" s="35"/>
      <c r="AE17" s="35" t="s">
        <v>562</v>
      </c>
      <c r="AF17" s="9" t="s">
        <v>1320</v>
      </c>
      <c r="AG17" s="14">
        <v>20199749</v>
      </c>
      <c r="AI17" s="35">
        <v>2</v>
      </c>
      <c r="AJ17" s="35">
        <v>451</v>
      </c>
      <c r="AK17" s="9" t="s">
        <v>1309</v>
      </c>
      <c r="AL17" s="14">
        <v>0</v>
      </c>
      <c r="AM17" s="14"/>
      <c r="AN17" s="35" t="s">
        <v>1321</v>
      </c>
      <c r="AO17" s="35" t="s">
        <v>1322</v>
      </c>
      <c r="AP17" s="9" t="s">
        <v>140</v>
      </c>
      <c r="AQ17" s="14">
        <f>SUM(CU35)</f>
        <v>443383.93</v>
      </c>
      <c r="AS17" s="183">
        <v>1</v>
      </c>
      <c r="AT17" s="35">
        <v>403</v>
      </c>
      <c r="AU17" s="9" t="s">
        <v>141</v>
      </c>
      <c r="AV17" s="14">
        <f>EXPENSES!D71</f>
        <v>1654219.95</v>
      </c>
      <c r="AX17" s="35"/>
      <c r="AY17" s="35"/>
      <c r="AZ17" s="9" t="s">
        <v>1685</v>
      </c>
      <c r="BA17" s="14">
        <f>EXPENSES!F14</f>
        <v>103859.32</v>
      </c>
      <c r="BC17" s="35"/>
      <c r="BK17" s="35" t="s">
        <v>1321</v>
      </c>
      <c r="BL17" s="35">
        <v>102</v>
      </c>
      <c r="BM17" s="9" t="s">
        <v>1686</v>
      </c>
      <c r="BN17" s="14">
        <v>0</v>
      </c>
      <c r="BP17" s="35" t="s">
        <v>1389</v>
      </c>
      <c r="BQ17" s="35" t="s">
        <v>1687</v>
      </c>
      <c r="BR17" s="9" t="s">
        <v>1447</v>
      </c>
      <c r="BS17" s="14">
        <f>AEGBS!F33</f>
        <v>0</v>
      </c>
      <c r="BU17" s="35"/>
      <c r="BV17" s="35"/>
      <c r="BZ17" s="35"/>
      <c r="CA17" s="35"/>
      <c r="CE17" s="35" t="s">
        <v>1321</v>
      </c>
      <c r="CF17" s="35">
        <v>202</v>
      </c>
      <c r="CG17" s="9" t="s">
        <v>1337</v>
      </c>
      <c r="CH17" s="14">
        <v>0</v>
      </c>
      <c r="CJ17" s="35"/>
      <c r="CK17" s="35"/>
      <c r="CO17" s="35" t="s">
        <v>1389</v>
      </c>
      <c r="CP17" s="9" t="s">
        <v>32</v>
      </c>
      <c r="CQ17" s="14">
        <f>SUM(CM27)</f>
        <v>63595048.5</v>
      </c>
      <c r="CS17" s="35">
        <v>504</v>
      </c>
      <c r="CT17" s="9" t="s">
        <v>512</v>
      </c>
      <c r="CU17" s="14">
        <v>0</v>
      </c>
      <c r="CX17" s="35">
        <v>902</v>
      </c>
      <c r="CY17" s="9" t="s">
        <v>513</v>
      </c>
      <c r="CZ17" s="14">
        <v>0</v>
      </c>
    </row>
    <row r="18" spans="1:104" ht="13.5" customHeight="1">
      <c r="A18" s="9"/>
      <c r="B18" s="9"/>
      <c r="C18" s="14"/>
      <c r="F18" s="9"/>
      <c r="G18" s="9"/>
      <c r="I18" s="9" t="s">
        <v>1355</v>
      </c>
      <c r="J18" s="14">
        <f>TRUNC(Y65)</f>
        <v>135011</v>
      </c>
      <c r="K18" s="14">
        <f>ROUND((J18*INSTRUCTIONS!$M$20),0)</f>
        <v>40503</v>
      </c>
      <c r="L18" s="14">
        <f>SUM((J18-K18))</f>
        <v>94508</v>
      </c>
      <c r="M18" s="182"/>
      <c r="N18" s="14"/>
      <c r="O18" s="35"/>
      <c r="P18" s="9"/>
      <c r="Q18" s="14"/>
      <c r="R18" s="14"/>
      <c r="S18" s="35" t="s">
        <v>1448</v>
      </c>
      <c r="T18" s="9" t="s">
        <v>1517</v>
      </c>
      <c r="U18" s="14"/>
      <c r="V18" s="14"/>
      <c r="W18" s="35"/>
      <c r="Z18" s="14"/>
      <c r="AA18" s="35" t="s">
        <v>562</v>
      </c>
      <c r="AB18" s="9" t="s">
        <v>32</v>
      </c>
      <c r="AC18" s="184">
        <f>SUM(CM27)</f>
        <v>63595048.5</v>
      </c>
      <c r="AD18" s="185"/>
      <c r="AE18" s="35" t="s">
        <v>514</v>
      </c>
      <c r="AF18" s="9" t="s">
        <v>716</v>
      </c>
      <c r="AG18" s="14">
        <f>AEGBS!D173</f>
        <v>950306.81</v>
      </c>
      <c r="AI18" s="35"/>
      <c r="AN18" s="35"/>
      <c r="AO18" s="35"/>
      <c r="AQ18" s="33" t="s">
        <v>1074</v>
      </c>
      <c r="AS18" s="183" t="s">
        <v>198</v>
      </c>
      <c r="AT18" s="38">
        <v>403.1</v>
      </c>
      <c r="AU18" s="43" t="s">
        <v>195</v>
      </c>
      <c r="AV18" s="14">
        <f>EXPENSES!E86</f>
        <v>3342.92</v>
      </c>
      <c r="BC18" s="35">
        <v>2</v>
      </c>
      <c r="BD18" s="35" t="s">
        <v>1359</v>
      </c>
      <c r="BE18" s="9" t="s">
        <v>1360</v>
      </c>
      <c r="BK18" s="35" t="s">
        <v>1514</v>
      </c>
      <c r="BL18" s="35">
        <v>103</v>
      </c>
      <c r="BM18" s="9" t="s">
        <v>1302</v>
      </c>
      <c r="BN18" s="14">
        <v>0</v>
      </c>
      <c r="BP18" s="35" t="s">
        <v>1321</v>
      </c>
      <c r="BQ18" s="35">
        <v>135</v>
      </c>
      <c r="BR18" s="9" t="s">
        <v>1419</v>
      </c>
      <c r="BS18" s="14">
        <f>AEGBS!F34</f>
        <v>0</v>
      </c>
      <c r="BU18" s="35">
        <v>32</v>
      </c>
      <c r="BV18" s="35">
        <v>190</v>
      </c>
      <c r="BW18" s="9" t="s">
        <v>973</v>
      </c>
      <c r="BX18" s="184">
        <f>AEGBS!F93</f>
        <v>3943758.62198</v>
      </c>
      <c r="BZ18" s="35" t="s">
        <v>1389</v>
      </c>
      <c r="CA18" s="35"/>
      <c r="CB18" s="9" t="s">
        <v>974</v>
      </c>
      <c r="CC18" s="14"/>
      <c r="CE18" s="35" t="s">
        <v>1514</v>
      </c>
      <c r="CF18" s="35">
        <v>203</v>
      </c>
      <c r="CG18" s="9" t="s">
        <v>316</v>
      </c>
      <c r="CH18" s="14">
        <v>0</v>
      </c>
      <c r="CJ18" s="35">
        <v>29</v>
      </c>
      <c r="CK18" s="35">
        <v>221</v>
      </c>
      <c r="CL18" s="9" t="s">
        <v>317</v>
      </c>
      <c r="CM18" s="186">
        <v>0</v>
      </c>
      <c r="CO18" s="35" t="s">
        <v>1321</v>
      </c>
      <c r="CP18" s="9" t="s">
        <v>1611</v>
      </c>
      <c r="CQ18" s="184">
        <f>SUM(CM34)</f>
        <v>82119102.89</v>
      </c>
      <c r="CS18" s="35">
        <v>505</v>
      </c>
      <c r="CT18" s="9" t="s">
        <v>486</v>
      </c>
      <c r="CU18" s="14">
        <f>EXPENSES!J48</f>
        <v>84904.1</v>
      </c>
      <c r="CX18" s="35">
        <v>903</v>
      </c>
      <c r="CY18" s="9" t="s">
        <v>1358</v>
      </c>
      <c r="CZ18" s="14">
        <v>0</v>
      </c>
    </row>
    <row r="19" spans="1:130" ht="15">
      <c r="A19" s="9"/>
      <c r="B19" s="9"/>
      <c r="C19" s="9"/>
      <c r="G19" s="9"/>
      <c r="I19" s="9"/>
      <c r="J19" s="79" t="s">
        <v>1074</v>
      </c>
      <c r="K19" s="79" t="s">
        <v>1074</v>
      </c>
      <c r="L19" s="79" t="s">
        <v>1074</v>
      </c>
      <c r="M19" s="187"/>
      <c r="N19" s="14"/>
      <c r="O19" s="35"/>
      <c r="P19" s="9"/>
      <c r="Q19" s="9"/>
      <c r="R19" s="188"/>
      <c r="S19" s="35"/>
      <c r="V19" s="14"/>
      <c r="W19" s="35"/>
      <c r="Z19" s="79"/>
      <c r="AA19" s="35" t="s">
        <v>514</v>
      </c>
      <c r="AB19" s="9" t="s">
        <v>256</v>
      </c>
      <c r="AC19" s="14">
        <f>SUM(CM34)</f>
        <v>82119102.89</v>
      </c>
      <c r="AD19" s="14"/>
      <c r="AE19" s="35" t="s">
        <v>499</v>
      </c>
      <c r="AF19" s="9" t="s">
        <v>1312</v>
      </c>
      <c r="AG19" s="14">
        <f>AEGBS!D175</f>
        <v>1391519.2</v>
      </c>
      <c r="AI19" s="35">
        <v>3</v>
      </c>
      <c r="AJ19" s="35">
        <v>453</v>
      </c>
      <c r="AK19" s="9" t="s">
        <v>571</v>
      </c>
      <c r="AL19" s="14">
        <v>0</v>
      </c>
      <c r="AM19" s="14"/>
      <c r="AN19" s="35" t="s">
        <v>1514</v>
      </c>
      <c r="AO19" s="35"/>
      <c r="AP19" s="9" t="s">
        <v>740</v>
      </c>
      <c r="AQ19" s="14">
        <f>SUM(AQ15:AQ17)</f>
        <v>10374531.65</v>
      </c>
      <c r="AS19" s="183">
        <v>2</v>
      </c>
      <c r="AT19" s="35">
        <v>404</v>
      </c>
      <c r="AU19" s="9" t="s">
        <v>1513</v>
      </c>
      <c r="AX19" s="35" t="s">
        <v>742</v>
      </c>
      <c r="AY19" s="35" t="s">
        <v>743</v>
      </c>
      <c r="AZ19" s="9" t="s">
        <v>744</v>
      </c>
      <c r="BA19" s="14">
        <f>EXPENSES!F19</f>
        <v>-5000</v>
      </c>
      <c r="BC19" s="35"/>
      <c r="BE19" s="9" t="s">
        <v>1080</v>
      </c>
      <c r="BF19" s="143">
        <f>IF(INSTRUCTIONS!$L$29="ESTIMATE",TXPG12RV!G12,IF(INSTRUCTIONS!$L$29="ACTUAL",TXPG12RV!I12,"SEE NOTE"))</f>
        <v>12500</v>
      </c>
      <c r="BG19" s="14">
        <f>ROUND(SUM((BF19*INSTRUCTIONS!$M$20)),0)</f>
        <v>3750</v>
      </c>
      <c r="BH19" s="14">
        <f>ROUND(BF19-BG19,0)</f>
        <v>8750</v>
      </c>
      <c r="BI19" s="14"/>
      <c r="BJ19" s="14"/>
      <c r="BK19" s="35" t="s">
        <v>745</v>
      </c>
      <c r="BL19" s="35" t="s">
        <v>746</v>
      </c>
      <c r="BM19" s="9" t="s">
        <v>715</v>
      </c>
      <c r="BP19" s="35" t="s">
        <v>1514</v>
      </c>
      <c r="BQ19" s="35">
        <v>143</v>
      </c>
      <c r="BR19" s="9" t="s">
        <v>593</v>
      </c>
      <c r="BS19" s="14">
        <f>AEGBS!F35</f>
        <v>0</v>
      </c>
      <c r="BU19" s="35">
        <v>33</v>
      </c>
      <c r="BV19" s="35">
        <v>281</v>
      </c>
      <c r="BW19" s="9" t="s">
        <v>594</v>
      </c>
      <c r="BZ19" s="35"/>
      <c r="CA19" s="35"/>
      <c r="CE19" s="35" t="s">
        <v>745</v>
      </c>
      <c r="CF19" s="35">
        <v>209</v>
      </c>
      <c r="CG19" s="9" t="s">
        <v>1800</v>
      </c>
      <c r="CJ19" s="35">
        <v>30</v>
      </c>
      <c r="CK19" s="35">
        <v>222</v>
      </c>
      <c r="CL19" s="9" t="s">
        <v>1801</v>
      </c>
      <c r="CM19" s="14">
        <v>0</v>
      </c>
      <c r="CO19" s="35" t="s">
        <v>1514</v>
      </c>
      <c r="CP19" s="9" t="s">
        <v>572</v>
      </c>
      <c r="CQ19" s="14">
        <f>SUM(CH56)</f>
        <v>0</v>
      </c>
      <c r="CS19" s="35">
        <v>506</v>
      </c>
      <c r="CT19" s="9" t="s">
        <v>573</v>
      </c>
      <c r="CU19" s="14">
        <f>EXPENSES!J49</f>
        <v>42076.76</v>
      </c>
      <c r="CX19" s="35">
        <v>904</v>
      </c>
      <c r="CY19" s="9" t="s">
        <v>1079</v>
      </c>
      <c r="CZ19" s="14">
        <v>0</v>
      </c>
      <c r="DT19" s="21"/>
      <c r="DX19" s="21"/>
      <c r="DZ19" s="189"/>
    </row>
    <row r="20" spans="1:130" ht="15">
      <c r="A20" s="52" t="s">
        <v>468</v>
      </c>
      <c r="B20" s="9"/>
      <c r="C20" s="9"/>
      <c r="E20" s="52" t="s">
        <v>1787</v>
      </c>
      <c r="F20" s="9"/>
      <c r="G20" s="9"/>
      <c r="I20" s="9" t="s">
        <v>767</v>
      </c>
      <c r="J20" s="14">
        <f>SUM((J16+J18))</f>
        <v>869671</v>
      </c>
      <c r="K20" s="14">
        <f>SUM((K16+K18))</f>
        <v>260901</v>
      </c>
      <c r="L20" s="14">
        <f>SUM((L16+L18))</f>
        <v>608770</v>
      </c>
      <c r="M20" s="182"/>
      <c r="N20" s="14"/>
      <c r="O20" s="35" t="s">
        <v>1299</v>
      </c>
      <c r="P20" s="9" t="s">
        <v>673</v>
      </c>
      <c r="Q20" s="14">
        <f aca="true" t="shared" si="0" ref="Q20:Q27">SUM((U21+U40))</f>
        <v>807278406.42</v>
      </c>
      <c r="R20" s="188"/>
      <c r="S20" s="35"/>
      <c r="V20" s="14"/>
      <c r="W20" s="35" t="s">
        <v>562</v>
      </c>
      <c r="X20" s="9" t="s">
        <v>1901</v>
      </c>
      <c r="Y20" s="14">
        <f>SUM(CM27)</f>
        <v>63595048.5</v>
      </c>
      <c r="Z20" s="14"/>
      <c r="AA20" s="35" t="s">
        <v>499</v>
      </c>
      <c r="AB20" s="9" t="s">
        <v>460</v>
      </c>
      <c r="AC20" s="14">
        <f>SUM(CM43)</f>
        <v>0</v>
      </c>
      <c r="AD20" s="14"/>
      <c r="AE20" s="35" t="s">
        <v>1081</v>
      </c>
      <c r="AF20" s="9" t="s">
        <v>1445</v>
      </c>
      <c r="AG20" s="14">
        <f>AEGBS!D177</f>
        <v>12290719.11</v>
      </c>
      <c r="AI20" s="35"/>
      <c r="AJ20" s="35"/>
      <c r="AN20" s="35"/>
      <c r="AO20" s="35"/>
      <c r="AQ20" s="33" t="s">
        <v>1074</v>
      </c>
      <c r="AS20" s="183"/>
      <c r="AT20" s="35"/>
      <c r="AU20" s="9" t="s">
        <v>741</v>
      </c>
      <c r="AV20" s="14">
        <f>EXPENSES!J74</f>
        <v>3655.89</v>
      </c>
      <c r="AX20" s="35"/>
      <c r="AY20" s="35"/>
      <c r="BA20" s="33" t="s">
        <v>1074</v>
      </c>
      <c r="BC20" s="35"/>
      <c r="BF20" s="12"/>
      <c r="BK20" s="35"/>
      <c r="BL20" s="35"/>
      <c r="BM20" s="9" t="s">
        <v>1034</v>
      </c>
      <c r="BN20" s="14">
        <v>0</v>
      </c>
      <c r="BP20" s="35" t="s">
        <v>745</v>
      </c>
      <c r="BQ20" s="35">
        <v>146</v>
      </c>
      <c r="BR20" s="9" t="s">
        <v>1297</v>
      </c>
      <c r="BS20" s="14">
        <f>AEGBS!F36</f>
        <v>11747305.69</v>
      </c>
      <c r="BU20" s="35"/>
      <c r="BV20" s="35"/>
      <c r="BW20" s="9" t="s">
        <v>1298</v>
      </c>
      <c r="BX20" s="14">
        <v>0</v>
      </c>
      <c r="BZ20" s="35"/>
      <c r="CA20" s="35"/>
      <c r="CE20" s="35"/>
      <c r="CF20" s="35"/>
      <c r="CG20" s="9" t="s">
        <v>54</v>
      </c>
      <c r="CH20" s="14">
        <v>0</v>
      </c>
      <c r="CJ20" s="35">
        <v>31</v>
      </c>
      <c r="CK20" s="35">
        <v>223</v>
      </c>
      <c r="CL20" s="9" t="s">
        <v>1661</v>
      </c>
      <c r="CM20" s="14">
        <v>0</v>
      </c>
      <c r="CO20" s="35" t="s">
        <v>745</v>
      </c>
      <c r="CP20" s="9" t="s">
        <v>1172</v>
      </c>
      <c r="CQ20" s="14">
        <f>SUM(CH47)</f>
        <v>95245306.17999999</v>
      </c>
      <c r="CS20" s="35">
        <v>507</v>
      </c>
      <c r="CT20" s="9" t="s">
        <v>1630</v>
      </c>
      <c r="CU20" s="14">
        <f>EXPENSES!J50</f>
        <v>0</v>
      </c>
      <c r="CX20" s="35">
        <v>905</v>
      </c>
      <c r="CY20" s="9" t="s">
        <v>766</v>
      </c>
      <c r="CZ20" s="14">
        <v>0</v>
      </c>
      <c r="DT20" s="21"/>
      <c r="DX20" s="21"/>
      <c r="DZ20" s="189"/>
    </row>
    <row r="21" spans="1:130" ht="15.75">
      <c r="A21" s="9"/>
      <c r="B21" s="52" t="str">
        <f>"ENERGY DELIVERED FOR THE MONTH OF "&amp;INSTRUCTIONS!L7</f>
        <v>ENERGY DELIVERED FOR THE MONTH OF May, 2015</v>
      </c>
      <c r="C21" s="52"/>
      <c r="E21" s="34"/>
      <c r="F21" s="52" t="str">
        <f>B21</f>
        <v>ENERGY DELIVERED FOR THE MONTH OF May, 2015</v>
      </c>
      <c r="G21" s="9"/>
      <c r="H21" s="9"/>
      <c r="I21" s="9"/>
      <c r="J21" s="9"/>
      <c r="K21" s="9"/>
      <c r="L21" s="9"/>
      <c r="M21" s="9"/>
      <c r="N21" s="35"/>
      <c r="O21" s="35" t="s">
        <v>1143</v>
      </c>
      <c r="P21" s="9" t="s">
        <v>1144</v>
      </c>
      <c r="Q21" s="14">
        <f t="shared" si="0"/>
        <v>605730820.87</v>
      </c>
      <c r="R21" s="9"/>
      <c r="S21" s="35" t="s">
        <v>1299</v>
      </c>
      <c r="T21" s="9" t="s">
        <v>673</v>
      </c>
      <c r="U21" s="14">
        <f>SUM(BN27)</f>
        <v>668090489.04</v>
      </c>
      <c r="V21" s="9"/>
      <c r="W21" s="35" t="s">
        <v>514</v>
      </c>
      <c r="X21" s="9" t="s">
        <v>485</v>
      </c>
      <c r="Y21" s="37">
        <f>CM34</f>
        <v>82119102.89</v>
      </c>
      <c r="Z21" s="9"/>
      <c r="AA21" s="35"/>
      <c r="AC21" s="33" t="s">
        <v>1074</v>
      </c>
      <c r="AD21" s="14"/>
      <c r="AE21" s="35" t="s">
        <v>768</v>
      </c>
      <c r="AF21" s="9" t="s">
        <v>769</v>
      </c>
      <c r="AG21" s="14">
        <v>0</v>
      </c>
      <c r="AI21" s="35">
        <v>4</v>
      </c>
      <c r="AJ21" s="35">
        <v>454</v>
      </c>
      <c r="AK21" s="9" t="s">
        <v>952</v>
      </c>
      <c r="AN21" s="35" t="s">
        <v>745</v>
      </c>
      <c r="AO21" s="35" t="s">
        <v>770</v>
      </c>
      <c r="AP21" s="9" t="s">
        <v>918</v>
      </c>
      <c r="AQ21" s="14">
        <f>SUM(CU41)</f>
        <v>-17349.13</v>
      </c>
      <c r="AS21" s="183">
        <v>3</v>
      </c>
      <c r="AT21" s="35">
        <v>405</v>
      </c>
      <c r="AU21" s="9" t="s">
        <v>1446</v>
      </c>
      <c r="AV21" s="14">
        <v>0</v>
      </c>
      <c r="AX21" s="35" t="s">
        <v>920</v>
      </c>
      <c r="AY21" s="35"/>
      <c r="AZ21" s="35" t="s">
        <v>676</v>
      </c>
      <c r="BA21" s="14">
        <f>BA17+BA19</f>
        <v>98859.32</v>
      </c>
      <c r="BC21" s="35"/>
      <c r="BD21" s="35"/>
      <c r="BF21" s="143"/>
      <c r="BG21" s="14"/>
      <c r="BH21" s="14"/>
      <c r="BI21" s="14"/>
      <c r="BJ21" s="14"/>
      <c r="BK21" s="35" t="s">
        <v>677</v>
      </c>
      <c r="BL21" s="35">
        <v>104</v>
      </c>
      <c r="BM21" s="9" t="s">
        <v>1139</v>
      </c>
      <c r="BN21" s="14">
        <v>0</v>
      </c>
      <c r="BP21" s="35" t="s">
        <v>677</v>
      </c>
      <c r="BQ21" s="35" t="s">
        <v>1140</v>
      </c>
      <c r="BR21" s="9" t="s">
        <v>1141</v>
      </c>
      <c r="BS21" s="14">
        <f>AEGBS!F37</f>
        <v>0</v>
      </c>
      <c r="BU21" s="35">
        <v>34</v>
      </c>
      <c r="BV21" s="35">
        <v>282</v>
      </c>
      <c r="BW21" s="9" t="s">
        <v>594</v>
      </c>
      <c r="BZ21" s="35" t="s">
        <v>1321</v>
      </c>
      <c r="CA21" s="35">
        <v>151</v>
      </c>
      <c r="CB21" s="9" t="s">
        <v>1142</v>
      </c>
      <c r="CC21" s="14">
        <v>0</v>
      </c>
      <c r="CE21" s="35" t="s">
        <v>677</v>
      </c>
      <c r="CF21" s="35">
        <v>210</v>
      </c>
      <c r="CG21" s="9" t="s">
        <v>1807</v>
      </c>
      <c r="CJ21" s="35">
        <v>32</v>
      </c>
      <c r="CK21" s="35">
        <v>224</v>
      </c>
      <c r="CL21" s="9" t="s">
        <v>1808</v>
      </c>
      <c r="CM21" s="14">
        <f>AEGBS!D159</f>
        <v>63595048.5</v>
      </c>
      <c r="CO21" s="35" t="s">
        <v>677</v>
      </c>
      <c r="CP21" s="9" t="s">
        <v>953</v>
      </c>
      <c r="CQ21" s="14">
        <f>SUM(CM43)</f>
        <v>0</v>
      </c>
      <c r="CS21" s="35">
        <v>508</v>
      </c>
      <c r="CT21" s="9" t="s">
        <v>1689</v>
      </c>
      <c r="CU21" s="14">
        <v>0</v>
      </c>
      <c r="CX21" s="35"/>
      <c r="DT21" s="21"/>
      <c r="DX21" s="21"/>
      <c r="DZ21" s="189"/>
    </row>
    <row r="22" spans="1:104" ht="15">
      <c r="A22" s="9"/>
      <c r="B22" s="52" t="s">
        <v>255</v>
      </c>
      <c r="C22" s="159">
        <f>(+FUELSCH!D60)*1000</f>
        <v>111632000</v>
      </c>
      <c r="F22" s="52" t="s">
        <v>255</v>
      </c>
      <c r="G22" s="159">
        <f>(+FUELSCH!D59)*1000</f>
        <v>260474000</v>
      </c>
      <c r="I22" s="9" t="s">
        <v>153</v>
      </c>
      <c r="J22" s="14">
        <f>SUM(K22:L22)</f>
        <v>9603694.92</v>
      </c>
      <c r="K22" s="13">
        <f>124568.92+2756539.56</f>
        <v>2881108.48</v>
      </c>
      <c r="L22" s="13">
        <f>290660.8+6431925.64</f>
        <v>6722586.4399999995</v>
      </c>
      <c r="M22" s="182"/>
      <c r="N22" s="14"/>
      <c r="O22" s="35" t="s">
        <v>806</v>
      </c>
      <c r="P22" s="9" t="s">
        <v>1463</v>
      </c>
      <c r="Q22" s="14">
        <f t="shared" si="0"/>
        <v>65694783.654999994</v>
      </c>
      <c r="R22" s="188"/>
      <c r="S22" s="35" t="s">
        <v>1143</v>
      </c>
      <c r="T22" s="9" t="s">
        <v>1144</v>
      </c>
      <c r="U22" s="14">
        <f>SUM(BN46)</f>
        <v>457601618.34</v>
      </c>
      <c r="V22" s="14"/>
      <c r="W22" s="35" t="s">
        <v>499</v>
      </c>
      <c r="X22" s="9" t="s">
        <v>1629</v>
      </c>
      <c r="Y22" s="14">
        <f>SUM(CH56)</f>
        <v>0</v>
      </c>
      <c r="Z22" s="14"/>
      <c r="AA22" s="35" t="s">
        <v>1081</v>
      </c>
      <c r="AB22" s="9" t="s">
        <v>1628</v>
      </c>
      <c r="AC22" s="14">
        <f>SUM(AC18:AC20)</f>
        <v>145714151.39</v>
      </c>
      <c r="AD22" s="14"/>
      <c r="AE22" s="35" t="s">
        <v>510</v>
      </c>
      <c r="AF22" s="9" t="s">
        <v>1570</v>
      </c>
      <c r="AG22" s="14">
        <f>AEGBS!D179</f>
        <v>0</v>
      </c>
      <c r="AI22" s="35"/>
      <c r="AJ22" s="35"/>
      <c r="AK22" s="9" t="s">
        <v>1092</v>
      </c>
      <c r="AL22" s="14">
        <f>(+EXPENSES!J76)</f>
        <v>0</v>
      </c>
      <c r="AM22" s="14"/>
      <c r="AN22" s="35"/>
      <c r="AO22" s="35"/>
      <c r="AQ22" s="33" t="s">
        <v>1074</v>
      </c>
      <c r="AS22" s="183">
        <v>4</v>
      </c>
      <c r="AT22" s="35">
        <v>406</v>
      </c>
      <c r="AU22" s="9" t="s">
        <v>919</v>
      </c>
      <c r="AX22" s="35"/>
      <c r="AY22" s="35"/>
      <c r="BA22" s="79" t="s">
        <v>1572</v>
      </c>
      <c r="BC22" s="35"/>
      <c r="BF22" s="12"/>
      <c r="BJ22" s="14"/>
      <c r="BK22" s="35" t="s">
        <v>321</v>
      </c>
      <c r="BL22" s="35">
        <v>106</v>
      </c>
      <c r="BM22" s="9" t="s">
        <v>322</v>
      </c>
      <c r="BN22" s="14">
        <f>+AEGBS!F12</f>
        <v>5050775.79</v>
      </c>
      <c r="BP22" s="35" t="s">
        <v>321</v>
      </c>
      <c r="BQ22" s="35">
        <v>174</v>
      </c>
      <c r="BR22" s="9" t="s">
        <v>1176</v>
      </c>
      <c r="BS22" s="14">
        <v>0</v>
      </c>
      <c r="BU22" s="35"/>
      <c r="BV22" s="35"/>
      <c r="BW22" s="9" t="s">
        <v>1177</v>
      </c>
      <c r="BX22" s="14">
        <f>IF(AEGBS!F125&gt;0,AEGBS!F125,AEGBS!F125*-1)</f>
        <v>41864099.0343</v>
      </c>
      <c r="BZ22" s="35" t="s">
        <v>1514</v>
      </c>
      <c r="CA22" s="35">
        <v>152</v>
      </c>
      <c r="CB22" s="9" t="s">
        <v>330</v>
      </c>
      <c r="CC22" s="14">
        <v>0</v>
      </c>
      <c r="CE22" s="35"/>
      <c r="CF22" s="35"/>
      <c r="CG22" s="9" t="s">
        <v>1464</v>
      </c>
      <c r="CH22" s="14">
        <v>0</v>
      </c>
      <c r="CJ22" s="35">
        <v>33</v>
      </c>
      <c r="CK22" s="35">
        <v>225</v>
      </c>
      <c r="CL22" s="9" t="s">
        <v>1465</v>
      </c>
      <c r="CO22" s="35"/>
      <c r="CQ22" s="33" t="s">
        <v>1074</v>
      </c>
      <c r="CS22" s="35">
        <v>509</v>
      </c>
      <c r="CT22" s="9" t="s">
        <v>1449</v>
      </c>
      <c r="CU22" s="14">
        <f>EXPENSES!J51</f>
        <v>0</v>
      </c>
      <c r="CX22" s="35"/>
      <c r="CY22" s="9" t="s">
        <v>152</v>
      </c>
      <c r="CZ22" s="14">
        <f>SUM(CZ16:CZ20)</f>
        <v>0</v>
      </c>
    </row>
    <row r="23" spans="1:102" ht="15">
      <c r="A23" s="9"/>
      <c r="B23" s="9"/>
      <c r="C23" s="9"/>
      <c r="I23" s="9" t="s">
        <v>889</v>
      </c>
      <c r="J23" s="14">
        <f>SUM(CU37)</f>
        <v>0</v>
      </c>
      <c r="K23" s="14">
        <f>SUM((J23-L23))</f>
        <v>0</v>
      </c>
      <c r="L23" s="14">
        <f>SUM(J23)</f>
        <v>0</v>
      </c>
      <c r="M23" s="182"/>
      <c r="N23" s="14"/>
      <c r="O23" s="35" t="s">
        <v>1674</v>
      </c>
      <c r="P23" s="9" t="s">
        <v>1675</v>
      </c>
      <c r="Q23" s="14">
        <f t="shared" si="0"/>
        <v>30087.708</v>
      </c>
      <c r="R23" s="188"/>
      <c r="S23" s="35" t="s">
        <v>806</v>
      </c>
      <c r="T23" s="9" t="s">
        <v>1463</v>
      </c>
      <c r="U23" s="14">
        <f>SUM(BN58)</f>
        <v>34832294.12</v>
      </c>
      <c r="V23" s="14"/>
      <c r="W23" s="35" t="s">
        <v>1081</v>
      </c>
      <c r="X23" s="9" t="s">
        <v>596</v>
      </c>
      <c r="Y23" s="14">
        <f>SUM(CH47)</f>
        <v>95245306.17999999</v>
      </c>
      <c r="Z23" s="14"/>
      <c r="AA23" s="35"/>
      <c r="AC23" s="79" t="s">
        <v>1572</v>
      </c>
      <c r="AD23" s="14"/>
      <c r="AE23" s="35"/>
      <c r="AG23" s="79" t="s">
        <v>1074</v>
      </c>
      <c r="AI23" s="35"/>
      <c r="AJ23" s="35"/>
      <c r="AN23" s="35" t="s">
        <v>677</v>
      </c>
      <c r="AO23" s="35" t="s">
        <v>154</v>
      </c>
      <c r="AP23" s="9" t="s">
        <v>1767</v>
      </c>
      <c r="AQ23" s="14">
        <v>0</v>
      </c>
      <c r="AS23" s="183"/>
      <c r="AT23" s="35"/>
      <c r="AU23" s="9" t="s">
        <v>1571</v>
      </c>
      <c r="AV23" s="14">
        <v>0</v>
      </c>
      <c r="AX23" s="35"/>
      <c r="AY23" s="35"/>
      <c r="BC23" s="35">
        <v>3</v>
      </c>
      <c r="BD23" s="35" t="s">
        <v>1359</v>
      </c>
      <c r="BE23" s="9" t="s">
        <v>888</v>
      </c>
      <c r="BF23" s="12"/>
      <c r="BJ23" s="14"/>
      <c r="BK23" s="35" t="s">
        <v>575</v>
      </c>
      <c r="BL23" s="35">
        <v>114</v>
      </c>
      <c r="BM23" s="9" t="s">
        <v>1091</v>
      </c>
      <c r="BN23" s="14">
        <v>0</v>
      </c>
      <c r="BP23" s="35" t="s">
        <v>575</v>
      </c>
      <c r="BQ23" s="35">
        <v>232</v>
      </c>
      <c r="BR23" s="9" t="s">
        <v>1735</v>
      </c>
      <c r="BS23" s="14">
        <f>AEGBS!F38</f>
        <v>0</v>
      </c>
      <c r="BU23" s="35">
        <v>35</v>
      </c>
      <c r="BV23" s="35">
        <v>283</v>
      </c>
      <c r="BW23" s="9" t="s">
        <v>594</v>
      </c>
      <c r="BZ23" s="35" t="s">
        <v>745</v>
      </c>
      <c r="CA23" s="35">
        <v>153</v>
      </c>
      <c r="CB23" s="9" t="s">
        <v>1673</v>
      </c>
      <c r="CC23" s="14">
        <v>0</v>
      </c>
      <c r="CE23" s="35" t="s">
        <v>321</v>
      </c>
      <c r="CF23" s="35">
        <v>212</v>
      </c>
      <c r="CG23" s="9" t="s">
        <v>724</v>
      </c>
      <c r="CH23" s="14">
        <v>0</v>
      </c>
      <c r="CJ23" s="35"/>
      <c r="CK23" s="35"/>
      <c r="CL23" s="9" t="s">
        <v>595</v>
      </c>
      <c r="CM23" s="14">
        <v>0</v>
      </c>
      <c r="CO23" s="35" t="s">
        <v>321</v>
      </c>
      <c r="CP23" s="9" t="s">
        <v>1362</v>
      </c>
      <c r="CQ23" s="14">
        <f>(SUM(CQ17:CQ20))-CQ21</f>
        <v>240959457.57</v>
      </c>
      <c r="CS23" s="35"/>
      <c r="CX23" s="35"/>
    </row>
    <row r="24" spans="1:132" ht="15.75">
      <c r="A24" s="9"/>
      <c r="B24" s="34" t="s">
        <v>1794</v>
      </c>
      <c r="C24" s="34" t="s">
        <v>1064</v>
      </c>
      <c r="E24" s="9"/>
      <c r="F24" s="34" t="s">
        <v>1794</v>
      </c>
      <c r="G24" s="34" t="s">
        <v>1064</v>
      </c>
      <c r="I24" s="9" t="s">
        <v>1506</v>
      </c>
      <c r="J24" s="14">
        <f>SUM(AL34)</f>
        <v>-8750</v>
      </c>
      <c r="K24" s="14">
        <f>ROUND((J24*INSTRUCTIONS!$M$20),0)</f>
        <v>-2625</v>
      </c>
      <c r="L24" s="14">
        <f>SUM((J24-K24))</f>
        <v>-6125</v>
      </c>
      <c r="M24" s="182"/>
      <c r="N24" s="14"/>
      <c r="O24" s="35" t="s">
        <v>1577</v>
      </c>
      <c r="P24" s="9" t="s">
        <v>1578</v>
      </c>
      <c r="Q24" s="14">
        <f t="shared" si="0"/>
        <v>0</v>
      </c>
      <c r="R24" s="188"/>
      <c r="S24" s="35" t="s">
        <v>1674</v>
      </c>
      <c r="T24" s="9" t="s">
        <v>1675</v>
      </c>
      <c r="U24" s="14">
        <f>SUM(BN60)</f>
        <v>15043.858</v>
      </c>
      <c r="V24" s="14"/>
      <c r="W24" s="35" t="s">
        <v>768</v>
      </c>
      <c r="X24" s="9" t="s">
        <v>1581</v>
      </c>
      <c r="Y24" s="14">
        <f>SUM(CM43)</f>
        <v>0</v>
      </c>
      <c r="Z24" s="14"/>
      <c r="AA24" s="35"/>
      <c r="AD24" s="14"/>
      <c r="AE24" s="35" t="s">
        <v>891</v>
      </c>
      <c r="AF24" s="9" t="s">
        <v>1095</v>
      </c>
      <c r="AG24" s="14">
        <f>SUM(AG17:AG22)</f>
        <v>34832294.12</v>
      </c>
      <c r="AI24" s="35">
        <v>5</v>
      </c>
      <c r="AJ24" s="35" t="s">
        <v>1732</v>
      </c>
      <c r="AK24" s="9" t="s">
        <v>952</v>
      </c>
      <c r="AN24" s="35" t="s">
        <v>321</v>
      </c>
      <c r="AO24" s="35" t="s">
        <v>151</v>
      </c>
      <c r="AP24" s="9" t="s">
        <v>1518</v>
      </c>
      <c r="AQ24" s="14">
        <v>0</v>
      </c>
      <c r="AS24" s="183">
        <v>5</v>
      </c>
      <c r="AT24" s="35">
        <v>407</v>
      </c>
      <c r="AU24" s="9" t="s">
        <v>574</v>
      </c>
      <c r="BC24" s="35"/>
      <c r="BE24" s="9" t="s">
        <v>1080</v>
      </c>
      <c r="BF24" s="143">
        <f>IF(INSTRUCTIONS!$L$29="ESTIMATE",TXPG12RV!G17,IF(INSTRUCTIONS!$L$29="ACTUAL",TXPG12RV!I17,"SEE NOTE"))</f>
        <v>-24500</v>
      </c>
      <c r="BG24" s="14">
        <f>ROUND(SUM((BF24*INSTRUCTIONS!$M$20)),0)</f>
        <v>-7350</v>
      </c>
      <c r="BH24" s="14">
        <f>ROUND(BF24-BG24,0)</f>
        <v>-17150</v>
      </c>
      <c r="BI24" s="14"/>
      <c r="BJ24" s="14"/>
      <c r="BK24" s="35" t="s">
        <v>1568</v>
      </c>
      <c r="BL24" s="35">
        <v>116</v>
      </c>
      <c r="BM24" s="9" t="s">
        <v>1569</v>
      </c>
      <c r="BN24" s="14">
        <v>0</v>
      </c>
      <c r="BP24" s="35" t="s">
        <v>1568</v>
      </c>
      <c r="BQ24" s="35">
        <v>234</v>
      </c>
      <c r="BR24" s="9" t="s">
        <v>326</v>
      </c>
      <c r="BS24" s="14">
        <f>AEGBS!F39</f>
        <v>-8762406.3</v>
      </c>
      <c r="BU24" s="35"/>
      <c r="BV24" s="35"/>
      <c r="BW24" s="9" t="s">
        <v>623</v>
      </c>
      <c r="BX24" s="14">
        <f>IF(AEGBS!F142&gt;0,AEGBS!F142,AEGBS!F142*-1)</f>
        <v>793885.55</v>
      </c>
      <c r="BZ24" s="35" t="s">
        <v>677</v>
      </c>
      <c r="CA24" s="35">
        <v>154</v>
      </c>
      <c r="CB24" s="9" t="s">
        <v>1802</v>
      </c>
      <c r="CC24" s="14">
        <v>0</v>
      </c>
      <c r="CE24" s="35" t="s">
        <v>575</v>
      </c>
      <c r="CF24" s="35">
        <v>214</v>
      </c>
      <c r="CG24" s="9" t="s">
        <v>1579</v>
      </c>
      <c r="CH24" s="14">
        <v>0</v>
      </c>
      <c r="CJ24" s="35">
        <v>34</v>
      </c>
      <c r="CK24" s="35">
        <v>226</v>
      </c>
      <c r="CL24" s="9" t="s">
        <v>1580</v>
      </c>
      <c r="CO24" s="35"/>
      <c r="CQ24" s="79" t="s">
        <v>1572</v>
      </c>
      <c r="CS24" s="35"/>
      <c r="CT24" s="35" t="s">
        <v>1795</v>
      </c>
      <c r="CU24" s="14">
        <f>SUM(CU13:CU22)</f>
        <v>9931147.719999999</v>
      </c>
      <c r="CX24" s="35">
        <v>906</v>
      </c>
      <c r="CY24" s="9" t="s">
        <v>602</v>
      </c>
      <c r="CZ24" s="14">
        <v>0</v>
      </c>
      <c r="DT24" s="21"/>
      <c r="DX24" s="21"/>
      <c r="EB24" s="189"/>
    </row>
    <row r="25" spans="1:132" ht="15">
      <c r="A25" s="9"/>
      <c r="B25" s="9"/>
      <c r="C25" s="9"/>
      <c r="E25" s="9"/>
      <c r="I25" s="9" t="s">
        <v>907</v>
      </c>
      <c r="J25" s="14">
        <f>SUM(((AQ48-AQ16)-CU37))</f>
        <v>909976.8300000001</v>
      </c>
      <c r="K25" s="14">
        <f>ROUND((J25*INSTRUCTIONS!$M$20),0)</f>
        <v>272993</v>
      </c>
      <c r="L25" s="14">
        <f>SUM((J25-K25))</f>
        <v>636983.8300000001</v>
      </c>
      <c r="M25" s="182"/>
      <c r="N25" s="14"/>
      <c r="O25" s="35" t="s">
        <v>755</v>
      </c>
      <c r="P25" s="9" t="s">
        <v>756</v>
      </c>
      <c r="Q25" s="14">
        <f t="shared" si="0"/>
        <v>0</v>
      </c>
      <c r="R25" s="188"/>
      <c r="S25" s="35" t="s">
        <v>1577</v>
      </c>
      <c r="T25" s="9" t="s">
        <v>1578</v>
      </c>
      <c r="U25" s="14">
        <f>SUM(BN29)</f>
        <v>0</v>
      </c>
      <c r="V25" s="14"/>
      <c r="W25" s="35"/>
      <c r="Y25" s="33" t="s">
        <v>1074</v>
      </c>
      <c r="Z25" s="14"/>
      <c r="AA25" s="35" t="s">
        <v>768</v>
      </c>
      <c r="AB25" s="116" t="s">
        <v>759</v>
      </c>
      <c r="AD25" s="14"/>
      <c r="AE25" s="35"/>
      <c r="AG25" s="79" t="s">
        <v>1572</v>
      </c>
      <c r="AI25" s="35"/>
      <c r="AJ25" s="35"/>
      <c r="AK25" s="9" t="s">
        <v>760</v>
      </c>
      <c r="AL25" s="14">
        <f>-(+EXPENSES!F25)</f>
        <v>0</v>
      </c>
      <c r="AM25" s="14"/>
      <c r="AN25" s="35"/>
      <c r="AO25" s="35"/>
      <c r="AQ25" s="33" t="s">
        <v>1074</v>
      </c>
      <c r="AS25" s="183"/>
      <c r="AT25" s="35"/>
      <c r="AU25" s="9" t="s">
        <v>1567</v>
      </c>
      <c r="BC25" s="35"/>
      <c r="BF25" s="12"/>
      <c r="BJ25" s="14"/>
      <c r="BK25" s="35" t="s">
        <v>1508</v>
      </c>
      <c r="BL25" s="35">
        <v>118</v>
      </c>
      <c r="BM25" s="9" t="s">
        <v>1509</v>
      </c>
      <c r="BN25" s="14">
        <v>0</v>
      </c>
      <c r="BP25" s="35" t="s">
        <v>1508</v>
      </c>
      <c r="BQ25" s="35">
        <v>236</v>
      </c>
      <c r="BR25" s="9" t="s">
        <v>1510</v>
      </c>
      <c r="BS25" s="14">
        <f>AEGBS!F40</f>
        <v>-12429016.19</v>
      </c>
      <c r="BU25" s="35">
        <v>36</v>
      </c>
      <c r="BV25" s="35"/>
      <c r="BW25" s="9" t="s">
        <v>753</v>
      </c>
      <c r="BX25" s="33" t="s">
        <v>1074</v>
      </c>
      <c r="BZ25" s="35" t="s">
        <v>321</v>
      </c>
      <c r="CA25" s="35">
        <v>155</v>
      </c>
      <c r="CB25" s="9" t="s">
        <v>754</v>
      </c>
      <c r="CC25" s="14">
        <v>0</v>
      </c>
      <c r="CE25" s="35" t="s">
        <v>1568</v>
      </c>
      <c r="CF25" s="35">
        <v>217</v>
      </c>
      <c r="CG25" s="9" t="s">
        <v>757</v>
      </c>
      <c r="CH25" s="14">
        <v>0</v>
      </c>
      <c r="CJ25" s="35"/>
      <c r="CK25" s="35"/>
      <c r="CL25" s="9" t="s">
        <v>758</v>
      </c>
      <c r="CM25" s="14">
        <f>(AEGBS!D162)</f>
        <v>0</v>
      </c>
      <c r="CO25" s="35"/>
      <c r="CS25" s="35"/>
      <c r="CX25" s="35">
        <v>907</v>
      </c>
      <c r="CY25" s="9" t="s">
        <v>1769</v>
      </c>
      <c r="CZ25" s="14">
        <v>0</v>
      </c>
      <c r="DT25" s="21"/>
      <c r="DX25" s="21"/>
      <c r="EB25" s="189"/>
    </row>
    <row r="26" spans="1:132" ht="15">
      <c r="A26" s="52" t="s">
        <v>927</v>
      </c>
      <c r="B26" s="9"/>
      <c r="C26" s="9"/>
      <c r="E26" s="52" t="s">
        <v>927</v>
      </c>
      <c r="F26" s="9"/>
      <c r="G26" s="9"/>
      <c r="I26" s="9" t="s">
        <v>972</v>
      </c>
      <c r="J26" s="14">
        <f>SUM(AV33)</f>
        <v>1678914.6049999997</v>
      </c>
      <c r="K26" s="14">
        <f>ROUND((J26*INSTRUCTIONS!$M$20),0)</f>
        <v>503674</v>
      </c>
      <c r="L26" s="14">
        <f>SUM((J26-K26))</f>
        <v>1175240.6049999997</v>
      </c>
      <c r="M26" s="182"/>
      <c r="N26" s="14"/>
      <c r="O26" s="35" t="s">
        <v>1421</v>
      </c>
      <c r="P26" s="9" t="s">
        <v>718</v>
      </c>
      <c r="Q26" s="14">
        <f t="shared" si="0"/>
        <v>-46212758.78</v>
      </c>
      <c r="R26" s="188"/>
      <c r="S26" s="35" t="s">
        <v>755</v>
      </c>
      <c r="T26" s="9" t="s">
        <v>756</v>
      </c>
      <c r="U26" s="14">
        <f>SUM(BN62)</f>
        <v>0</v>
      </c>
      <c r="V26" s="14"/>
      <c r="W26" s="35" t="s">
        <v>510</v>
      </c>
      <c r="X26" s="9" t="s">
        <v>1485</v>
      </c>
      <c r="Y26" s="14">
        <f>SUM(((((Y20+Y21)+Y22)+Y23)-Y24))</f>
        <v>240959457.57</v>
      </c>
      <c r="Z26" s="14"/>
      <c r="AA26" s="35"/>
      <c r="AD26" s="14"/>
      <c r="AE26" s="35" t="s">
        <v>1516</v>
      </c>
      <c r="AF26" s="116" t="s">
        <v>1196</v>
      </c>
      <c r="AI26" s="35"/>
      <c r="AJ26" s="35"/>
      <c r="AN26" s="35" t="s">
        <v>575</v>
      </c>
      <c r="AO26" s="35"/>
      <c r="AP26" s="9" t="s">
        <v>730</v>
      </c>
      <c r="AQ26" s="14">
        <f>SUM((AQ23+AQ24))</f>
        <v>0</v>
      </c>
      <c r="AS26" s="183"/>
      <c r="AT26" s="35"/>
      <c r="AU26" s="9" t="s">
        <v>1507</v>
      </c>
      <c r="AV26" s="14">
        <v>0</v>
      </c>
      <c r="BC26" s="35">
        <v>4</v>
      </c>
      <c r="BD26" s="35" t="s">
        <v>1359</v>
      </c>
      <c r="BE26" s="9" t="s">
        <v>4</v>
      </c>
      <c r="BF26" s="143">
        <f>IF(INSTRUCTIONS!$L$29="ESTIMATE",TXPG12RV!G37,IF(INSTRUCTIONS!$L$29="ACTUAL",TXPG12RV!I37,"SEE NOTE"))</f>
        <v>-255050.87999999995</v>
      </c>
      <c r="BG26" s="14">
        <f>ROUND(SUM((BF26*INSTRUCTIONS!$M$20)),0)</f>
        <v>-76515</v>
      </c>
      <c r="BH26" s="14">
        <f>ROUND(BF26-BG26,0)</f>
        <v>-178536</v>
      </c>
      <c r="BI26" s="14"/>
      <c r="BJ26" s="14"/>
      <c r="BK26" s="35"/>
      <c r="BL26" s="35"/>
      <c r="BN26" s="33" t="s">
        <v>1074</v>
      </c>
      <c r="BP26" s="35" t="s">
        <v>732</v>
      </c>
      <c r="BQ26" s="35">
        <v>237</v>
      </c>
      <c r="BR26" s="9" t="s">
        <v>1653</v>
      </c>
      <c r="BS26" s="14">
        <f>AEGBS!F41</f>
        <v>-170275.83</v>
      </c>
      <c r="BU26" s="35"/>
      <c r="BV26" s="35"/>
      <c r="BW26" s="9" t="s">
        <v>1672</v>
      </c>
      <c r="BX26" s="14">
        <f>SUM(((((-BX18)+BX20)+BX22)+BX24))</f>
        <v>38714225.96232</v>
      </c>
      <c r="BZ26" s="35" t="s">
        <v>575</v>
      </c>
      <c r="CA26" s="35">
        <v>156</v>
      </c>
      <c r="CB26" s="9" t="s">
        <v>1466</v>
      </c>
      <c r="CC26" s="14">
        <v>0</v>
      </c>
      <c r="CE26" s="35"/>
      <c r="CF26" s="35"/>
      <c r="CH26" s="33" t="s">
        <v>1074</v>
      </c>
      <c r="CJ26" s="35"/>
      <c r="CK26" s="35"/>
      <c r="CM26" s="33" t="s">
        <v>1074</v>
      </c>
      <c r="CO26" s="35" t="s">
        <v>575</v>
      </c>
      <c r="CP26" s="116" t="s">
        <v>638</v>
      </c>
      <c r="CS26" s="35"/>
      <c r="CX26" s="35">
        <v>908</v>
      </c>
      <c r="CY26" s="9" t="s">
        <v>639</v>
      </c>
      <c r="CZ26" s="14">
        <v>0</v>
      </c>
      <c r="DT26" s="21"/>
      <c r="DX26" s="21"/>
      <c r="EB26" s="189"/>
    </row>
    <row r="27" spans="1:103" ht="13.5" customHeight="1">
      <c r="A27" s="9"/>
      <c r="B27" s="9"/>
      <c r="C27" s="9"/>
      <c r="E27" s="9"/>
      <c r="F27" s="9"/>
      <c r="G27" s="9"/>
      <c r="I27" s="9" t="s">
        <v>942</v>
      </c>
      <c r="J27" s="14">
        <f>SUM(BA21)</f>
        <v>98859.32</v>
      </c>
      <c r="K27" s="14">
        <f>ROUND((J27*INSTRUCTIONS!$M$20),0)</f>
        <v>29658</v>
      </c>
      <c r="L27" s="14">
        <f>SUM((J27-K27))</f>
        <v>69201.32</v>
      </c>
      <c r="M27" s="182"/>
      <c r="N27" s="14"/>
      <c r="O27" s="35">
        <v>10</v>
      </c>
      <c r="P27" s="9" t="s">
        <v>205</v>
      </c>
      <c r="Q27" s="14">
        <f t="shared" si="0"/>
        <v>81392.9</v>
      </c>
      <c r="R27" s="188"/>
      <c r="S27" s="35" t="s">
        <v>1421</v>
      </c>
      <c r="T27" s="9" t="s">
        <v>1423</v>
      </c>
      <c r="U27" s="14">
        <f>SUM(BS31)</f>
        <v>-12801494.830000002</v>
      </c>
      <c r="V27" s="14"/>
      <c r="W27" s="35"/>
      <c r="Y27" s="33" t="s">
        <v>1572</v>
      </c>
      <c r="Z27" s="14"/>
      <c r="AA27" s="35"/>
      <c r="AD27" s="14"/>
      <c r="AE27" s="35"/>
      <c r="AI27" s="35">
        <v>6</v>
      </c>
      <c r="AJ27" s="35">
        <v>455</v>
      </c>
      <c r="AK27" s="9" t="s">
        <v>1476</v>
      </c>
      <c r="AL27" s="14">
        <v>0</v>
      </c>
      <c r="AM27" s="14"/>
      <c r="AN27" s="35"/>
      <c r="AO27" s="35"/>
      <c r="AQ27" s="33" t="s">
        <v>1074</v>
      </c>
      <c r="AS27" s="183"/>
      <c r="AT27" s="35"/>
      <c r="AV27" s="33" t="s">
        <v>731</v>
      </c>
      <c r="BC27" s="35"/>
      <c r="BF27" s="79" t="s">
        <v>1074</v>
      </c>
      <c r="BG27" s="79" t="s">
        <v>1074</v>
      </c>
      <c r="BH27" s="79" t="s">
        <v>1074</v>
      </c>
      <c r="BI27" s="79"/>
      <c r="BJ27" s="14"/>
      <c r="BK27" s="35" t="s">
        <v>732</v>
      </c>
      <c r="BL27" s="35"/>
      <c r="BM27" s="9" t="s">
        <v>870</v>
      </c>
      <c r="BN27" s="14">
        <f>BN16+BN17+BN18+BN20+BN21+BN22+BN23+BN24+BN25</f>
        <v>668090489.04</v>
      </c>
      <c r="BP27" s="35" t="s">
        <v>945</v>
      </c>
      <c r="BQ27" s="35">
        <v>238</v>
      </c>
      <c r="BR27" s="9" t="s">
        <v>1897</v>
      </c>
      <c r="BS27" s="14">
        <f>AEGBS!F42</f>
        <v>0</v>
      </c>
      <c r="BU27" s="35"/>
      <c r="BV27" s="35"/>
      <c r="BX27" s="33" t="s">
        <v>1074</v>
      </c>
      <c r="BZ27" s="35" t="s">
        <v>1568</v>
      </c>
      <c r="CA27" s="35">
        <v>163</v>
      </c>
      <c r="CB27" s="9" t="s">
        <v>1898</v>
      </c>
      <c r="CC27" s="14">
        <v>0</v>
      </c>
      <c r="CE27" s="35" t="s">
        <v>1424</v>
      </c>
      <c r="CF27" s="35"/>
      <c r="CG27" s="9" t="s">
        <v>923</v>
      </c>
      <c r="CH27" s="14">
        <f>CH16+CH17+CH18+CH20+CH22+CH23+CH24+CH25</f>
        <v>383000</v>
      </c>
      <c r="CJ27" s="35">
        <v>35</v>
      </c>
      <c r="CK27" s="35"/>
      <c r="CL27" s="9" t="s">
        <v>1199</v>
      </c>
      <c r="CM27" s="14">
        <f>CM18+CM19+CM20+CM21+CM23+CM25</f>
        <v>63595048.5</v>
      </c>
      <c r="CO27" s="35"/>
      <c r="CS27" s="35">
        <v>510</v>
      </c>
      <c r="CT27" s="9" t="s">
        <v>1477</v>
      </c>
      <c r="CU27" s="14">
        <f>EXPENSES!J55</f>
        <v>64197.72</v>
      </c>
      <c r="CX27" s="35">
        <v>909</v>
      </c>
      <c r="CY27" s="9" t="s">
        <v>941</v>
      </c>
    </row>
    <row r="28" spans="1:104" ht="15.75">
      <c r="A28" s="9"/>
      <c r="B28" s="9" t="s">
        <v>561</v>
      </c>
      <c r="C28" s="14">
        <f>SUM(K16)</f>
        <v>220398</v>
      </c>
      <c r="E28" s="9"/>
      <c r="F28" s="9" t="s">
        <v>561</v>
      </c>
      <c r="G28" s="14">
        <f>SUM(L16)</f>
        <v>514262</v>
      </c>
      <c r="I28" s="9" t="s">
        <v>41</v>
      </c>
      <c r="J28" s="14">
        <f>SUM(J44)</f>
        <v>697209</v>
      </c>
      <c r="K28" s="14">
        <f>SUM(K44)</f>
        <v>209163</v>
      </c>
      <c r="L28" s="14">
        <f>SUM(L44)</f>
        <v>488046</v>
      </c>
      <c r="M28" s="182"/>
      <c r="N28" s="14"/>
      <c r="O28" s="35">
        <v>11</v>
      </c>
      <c r="P28" s="43" t="s">
        <v>200</v>
      </c>
      <c r="Q28" s="14">
        <f>U29+U48</f>
        <v>2738424.77</v>
      </c>
      <c r="R28" s="188"/>
      <c r="S28" s="35">
        <v>10</v>
      </c>
      <c r="T28" s="9" t="s">
        <v>205</v>
      </c>
      <c r="U28" s="14">
        <f>SUM(BS37)</f>
        <v>40696.45</v>
      </c>
      <c r="V28" s="14"/>
      <c r="W28" s="35"/>
      <c r="Z28" s="14"/>
      <c r="AA28" s="35" t="s">
        <v>510</v>
      </c>
      <c r="AB28" s="9" t="s">
        <v>607</v>
      </c>
      <c r="AC28" s="185">
        <f>SUM(((AC32-AC29)-AC30))</f>
        <v>0.43643699999999996</v>
      </c>
      <c r="AD28" s="14"/>
      <c r="AE28" s="35" t="s">
        <v>725</v>
      </c>
      <c r="AF28" s="9" t="s">
        <v>733</v>
      </c>
      <c r="AG28" s="14">
        <f>AEGBS!D188/2</f>
        <v>16229944.415</v>
      </c>
      <c r="AI28" s="35"/>
      <c r="AJ28" s="35"/>
      <c r="AN28" s="35" t="s">
        <v>1568</v>
      </c>
      <c r="AO28" s="35" t="s">
        <v>734</v>
      </c>
      <c r="AP28" s="9" t="s">
        <v>735</v>
      </c>
      <c r="AQ28" s="14">
        <v>0</v>
      </c>
      <c r="AS28" s="183"/>
      <c r="AT28" s="35"/>
      <c r="BC28" s="35">
        <v>5</v>
      </c>
      <c r="BD28" s="35" t="s">
        <v>632</v>
      </c>
      <c r="BE28" s="9" t="s">
        <v>40</v>
      </c>
      <c r="BF28" s="14">
        <f>BF19+BF21+BF24+BF26</f>
        <v>-267050.87999999995</v>
      </c>
      <c r="BG28" s="14">
        <f>BG19+BG21+BG24+BG26</f>
        <v>-80115</v>
      </c>
      <c r="BH28" s="14">
        <f>BH19+BH21+BH24+BH26</f>
        <v>-186936</v>
      </c>
      <c r="BI28" s="14"/>
      <c r="BJ28" s="14"/>
      <c r="BK28" s="35"/>
      <c r="BL28" s="35"/>
      <c r="BN28" s="33" t="s">
        <v>1074</v>
      </c>
      <c r="BP28" s="35" t="s">
        <v>6</v>
      </c>
      <c r="BQ28" s="35">
        <v>241</v>
      </c>
      <c r="BR28" s="9" t="s">
        <v>1813</v>
      </c>
      <c r="BS28" s="14">
        <f>AEGBS!F43</f>
        <v>0</v>
      </c>
      <c r="BU28" s="35">
        <v>37</v>
      </c>
      <c r="BV28" s="35">
        <v>255</v>
      </c>
      <c r="BW28" s="9" t="s">
        <v>796</v>
      </c>
      <c r="BZ28" s="35" t="s">
        <v>1508</v>
      </c>
      <c r="CA28" s="35"/>
      <c r="CB28" s="9" t="s">
        <v>577</v>
      </c>
      <c r="CC28" s="33" t="s">
        <v>1074</v>
      </c>
      <c r="CE28" s="35"/>
      <c r="CF28" s="35"/>
      <c r="CH28" s="33" t="s">
        <v>1074</v>
      </c>
      <c r="CJ28" s="35"/>
      <c r="CK28" s="35"/>
      <c r="CM28" s="33" t="s">
        <v>1074</v>
      </c>
      <c r="CO28" s="35" t="s">
        <v>1568</v>
      </c>
      <c r="CP28" s="9" t="s">
        <v>1880</v>
      </c>
      <c r="CQ28" s="185">
        <f>ROUND((CQ17/CQ23),6)</f>
        <v>0.263924</v>
      </c>
      <c r="CS28" s="35">
        <v>511</v>
      </c>
      <c r="CT28" s="9" t="s">
        <v>993</v>
      </c>
      <c r="CU28" s="14">
        <f>EXPENSES!J56</f>
        <v>29115.13</v>
      </c>
      <c r="CX28" s="35"/>
      <c r="CY28" s="9" t="s">
        <v>611</v>
      </c>
      <c r="CZ28" s="14">
        <v>0</v>
      </c>
    </row>
    <row r="29" spans="1:103" ht="15.75">
      <c r="A29" s="9"/>
      <c r="B29" s="9"/>
      <c r="C29" s="9"/>
      <c r="E29" s="9"/>
      <c r="F29" s="9"/>
      <c r="G29" s="14"/>
      <c r="I29" s="9"/>
      <c r="J29" s="79" t="s">
        <v>1074</v>
      </c>
      <c r="K29" s="79" t="s">
        <v>1074</v>
      </c>
      <c r="L29" s="79" t="s">
        <v>1074</v>
      </c>
      <c r="M29" s="187"/>
      <c r="N29" s="14"/>
      <c r="O29" s="35">
        <v>12</v>
      </c>
      <c r="P29" s="43" t="s">
        <v>199</v>
      </c>
      <c r="Q29" s="14">
        <f>U30+U49</f>
        <v>4626478.25</v>
      </c>
      <c r="R29" s="188"/>
      <c r="S29" s="35">
        <v>11</v>
      </c>
      <c r="T29" s="43" t="s">
        <v>200</v>
      </c>
      <c r="U29" s="14">
        <f>AEGBS!E195</f>
        <v>1369212.385</v>
      </c>
      <c r="V29" s="14"/>
      <c r="W29" s="35" t="s">
        <v>891</v>
      </c>
      <c r="X29" s="9" t="s">
        <v>1595</v>
      </c>
      <c r="Y29" s="14">
        <f>TRUNC(((Y26*0.4)+0.5))</f>
        <v>96383783</v>
      </c>
      <c r="Z29" s="79"/>
      <c r="AA29" s="35" t="s">
        <v>891</v>
      </c>
      <c r="AB29" s="9" t="s">
        <v>393</v>
      </c>
      <c r="AC29" s="185">
        <f>ROUND((AC19/AC22),6)</f>
        <v>0.563563</v>
      </c>
      <c r="AD29" s="14"/>
      <c r="AE29" s="35" t="s">
        <v>42</v>
      </c>
      <c r="AF29" s="190" t="s">
        <v>925</v>
      </c>
      <c r="AG29" s="14">
        <f>IF((AG28&lt;AG45),(IF(((AG45-AG28)&gt;(ROUND(((AG54+AG55)/((CQ59/CU59)*CU58)),0))),0,(ROUND(((AG54+AG55)/((CQ59/CU59)*CU58)),0)))),0)</f>
        <v>23640047264</v>
      </c>
      <c r="AI29" s="35">
        <v>7</v>
      </c>
      <c r="AJ29" s="35">
        <v>456</v>
      </c>
      <c r="AK29" s="9" t="s">
        <v>1596</v>
      </c>
      <c r="AL29" s="14">
        <f>+EXPENSES!D26+EXPENSES!F26</f>
        <v>-8750</v>
      </c>
      <c r="AM29" s="14"/>
      <c r="AN29" s="35" t="s">
        <v>1508</v>
      </c>
      <c r="AO29" s="35" t="s">
        <v>926</v>
      </c>
      <c r="AP29" s="9" t="s">
        <v>1900</v>
      </c>
      <c r="AQ29" s="14">
        <v>0</v>
      </c>
      <c r="AS29" s="183">
        <v>6</v>
      </c>
      <c r="AT29" s="35"/>
      <c r="AU29" s="9" t="s">
        <v>5</v>
      </c>
      <c r="AV29" s="14">
        <f>AV17+AV20+AV21+AV23+AV26+AV18</f>
        <v>1661218.7599999998</v>
      </c>
      <c r="BC29" s="35"/>
      <c r="BF29" s="79" t="s">
        <v>1572</v>
      </c>
      <c r="BG29" s="79" t="s">
        <v>1572</v>
      </c>
      <c r="BH29" s="79" t="s">
        <v>1572</v>
      </c>
      <c r="BI29" s="79"/>
      <c r="BJ29" s="14"/>
      <c r="BK29" s="35" t="s">
        <v>945</v>
      </c>
      <c r="BL29" s="35">
        <v>105</v>
      </c>
      <c r="BM29" s="9" t="s">
        <v>122</v>
      </c>
      <c r="BN29" s="14">
        <v>0</v>
      </c>
      <c r="BP29" s="35" t="s">
        <v>123</v>
      </c>
      <c r="BQ29" s="35">
        <v>242</v>
      </c>
      <c r="BR29" s="9" t="s">
        <v>1005</v>
      </c>
      <c r="BS29" s="14">
        <f>AEGBS!F44</f>
        <v>-3187102.2</v>
      </c>
      <c r="BU29" s="35"/>
      <c r="BV29" s="35"/>
      <c r="BW29" s="9" t="s">
        <v>1006</v>
      </c>
      <c r="BX29" s="14">
        <f>IF(AEGBS!F99&gt;0,AEGBS!F99,AEGBS!F99*-1)</f>
        <v>9414</v>
      </c>
      <c r="BZ29" s="35"/>
      <c r="CA29" s="35"/>
      <c r="CB29" s="9" t="s">
        <v>1607</v>
      </c>
      <c r="CC29" s="14">
        <f>SUM(CC21:CC27)</f>
        <v>0</v>
      </c>
      <c r="CE29" s="35" t="s">
        <v>1586</v>
      </c>
      <c r="CF29" s="35"/>
      <c r="CG29" s="116" t="s">
        <v>845</v>
      </c>
      <c r="CJ29" s="35"/>
      <c r="CK29" s="35"/>
      <c r="CL29" s="116" t="s">
        <v>846</v>
      </c>
      <c r="CO29" s="35" t="s">
        <v>725</v>
      </c>
      <c r="CP29" s="9" t="s">
        <v>1154</v>
      </c>
      <c r="CQ29" s="185">
        <f>ROUND((CQ18/CQ23),6)</f>
        <v>0.3408</v>
      </c>
      <c r="CS29" s="35">
        <v>512</v>
      </c>
      <c r="CT29" s="9" t="s">
        <v>1645</v>
      </c>
      <c r="CU29" s="14">
        <f>EXPENSES!J57</f>
        <v>255588.9</v>
      </c>
      <c r="CX29" s="35">
        <v>910</v>
      </c>
      <c r="CY29" s="9" t="s">
        <v>698</v>
      </c>
    </row>
    <row r="30" spans="1:104" ht="15.75">
      <c r="A30" s="9"/>
      <c r="B30" s="9" t="s">
        <v>1355</v>
      </c>
      <c r="C30" s="14">
        <f>SUM(K18)</f>
        <v>40503</v>
      </c>
      <c r="E30" s="9"/>
      <c r="F30" s="9" t="s">
        <v>1355</v>
      </c>
      <c r="G30" s="14">
        <f>SUM(L18)</f>
        <v>94508</v>
      </c>
      <c r="I30" s="9" t="s">
        <v>643</v>
      </c>
      <c r="J30" s="14">
        <f>J20+SUM(J22:J28)</f>
        <v>13849575.675</v>
      </c>
      <c r="K30" s="14">
        <f>K20+SUM(K22:K28)</f>
        <v>4154872.48</v>
      </c>
      <c r="L30" s="14">
        <f>L20+SUM(L22:L28)</f>
        <v>9694703.195</v>
      </c>
      <c r="M30" s="182"/>
      <c r="N30" s="14"/>
      <c r="O30" s="35">
        <v>13</v>
      </c>
      <c r="P30" s="9" t="s">
        <v>992</v>
      </c>
      <c r="Q30" s="14">
        <f>SUM((U31+U50))</f>
        <v>42337966</v>
      </c>
      <c r="R30" s="188"/>
      <c r="S30" s="35">
        <v>12</v>
      </c>
      <c r="T30" s="43" t="s">
        <v>199</v>
      </c>
      <c r="U30" s="14">
        <f>AEGBS!E196</f>
        <v>2313239.125</v>
      </c>
      <c r="V30" s="14"/>
      <c r="W30" s="35"/>
      <c r="Z30" s="14"/>
      <c r="AA30" s="35" t="s">
        <v>1516</v>
      </c>
      <c r="AB30" s="9" t="s">
        <v>1662</v>
      </c>
      <c r="AC30" s="185">
        <f>ROUND((AC20/AC22),6)</f>
        <v>0</v>
      </c>
      <c r="AD30" s="14"/>
      <c r="AE30" s="35"/>
      <c r="AG30" s="79" t="s">
        <v>1074</v>
      </c>
      <c r="AI30" s="35"/>
      <c r="AN30" s="35"/>
      <c r="AO30" s="35"/>
      <c r="AQ30" s="33" t="s">
        <v>1074</v>
      </c>
      <c r="AS30" s="183"/>
      <c r="AV30" s="33" t="s">
        <v>1572</v>
      </c>
      <c r="BC30" s="35"/>
      <c r="BJ30" s="14"/>
      <c r="BK30" s="35"/>
      <c r="BL30" s="35"/>
      <c r="BP30" s="35"/>
      <c r="BQ30" s="35"/>
      <c r="BS30" s="33" t="s">
        <v>1074</v>
      </c>
      <c r="BU30" s="35">
        <v>38</v>
      </c>
      <c r="BV30" s="35" t="s">
        <v>699</v>
      </c>
      <c r="BW30" s="9" t="s">
        <v>814</v>
      </c>
      <c r="BZ30" s="35"/>
      <c r="CA30" s="35"/>
      <c r="CC30" s="33" t="s">
        <v>1074</v>
      </c>
      <c r="CE30" s="35"/>
      <c r="CF30" s="35"/>
      <c r="CJ30" s="35" t="s">
        <v>1887</v>
      </c>
      <c r="CK30" s="35">
        <v>231.02</v>
      </c>
      <c r="CL30" s="9" t="s">
        <v>494</v>
      </c>
      <c r="CM30" s="14">
        <f>AEGBS!D166</f>
        <v>0</v>
      </c>
      <c r="CO30" s="35" t="s">
        <v>42</v>
      </c>
      <c r="CP30" s="9" t="s">
        <v>572</v>
      </c>
      <c r="CQ30" s="185">
        <f>ROUND((CQ19/CQ23),6)</f>
        <v>0</v>
      </c>
      <c r="CS30" s="35">
        <v>513</v>
      </c>
      <c r="CT30" s="9" t="s">
        <v>1652</v>
      </c>
      <c r="CU30" s="14">
        <f>EXPENSES!J58</f>
        <v>40012.98</v>
      </c>
      <c r="CX30" s="35"/>
      <c r="CY30" s="9" t="s">
        <v>99</v>
      </c>
      <c r="CZ30" s="14">
        <v>0</v>
      </c>
    </row>
    <row r="31" spans="1:102" ht="15.75">
      <c r="A31" s="9"/>
      <c r="B31" s="9"/>
      <c r="C31" s="33" t="s">
        <v>1074</v>
      </c>
      <c r="E31" s="9"/>
      <c r="F31" s="9"/>
      <c r="G31" s="33" t="s">
        <v>1074</v>
      </c>
      <c r="I31" s="9"/>
      <c r="J31" s="79" t="s">
        <v>1572</v>
      </c>
      <c r="K31" s="79" t="s">
        <v>1572</v>
      </c>
      <c r="L31" s="79" t="s">
        <v>1572</v>
      </c>
      <c r="M31" s="187"/>
      <c r="N31" s="14"/>
      <c r="O31" s="35">
        <v>14</v>
      </c>
      <c r="P31" s="9" t="s">
        <v>1585</v>
      </c>
      <c r="Q31" s="14">
        <f>SUM((U32+U51))</f>
        <v>37893180.21</v>
      </c>
      <c r="R31" s="188"/>
      <c r="S31" s="35">
        <v>13</v>
      </c>
      <c r="T31" s="9" t="s">
        <v>992</v>
      </c>
      <c r="U31" s="14">
        <f>SUM(BS39)</f>
        <v>0</v>
      </c>
      <c r="V31" s="14"/>
      <c r="W31" s="35"/>
      <c r="Z31" s="14"/>
      <c r="AA31" s="35"/>
      <c r="AC31" s="79" t="s">
        <v>1074</v>
      </c>
      <c r="AD31" s="14"/>
      <c r="AE31" s="35" t="s">
        <v>644</v>
      </c>
      <c r="AF31" s="9" t="s">
        <v>1829</v>
      </c>
      <c r="AG31" s="14">
        <f>ROUND((AG28+AG29),0)</f>
        <v>23656277208</v>
      </c>
      <c r="AI31" s="35">
        <v>8</v>
      </c>
      <c r="AJ31" s="35">
        <v>411.8</v>
      </c>
      <c r="AK31" s="9" t="s">
        <v>851</v>
      </c>
      <c r="AL31" s="14">
        <v>0</v>
      </c>
      <c r="AM31" s="14"/>
      <c r="AN31" s="35" t="s">
        <v>732</v>
      </c>
      <c r="AO31" s="35"/>
      <c r="AP31" s="9" t="s">
        <v>1899</v>
      </c>
      <c r="AQ31" s="14">
        <f>SUM((AQ28+AQ29))</f>
        <v>0</v>
      </c>
      <c r="AS31" s="183">
        <v>7</v>
      </c>
      <c r="AT31" s="191">
        <v>411.1</v>
      </c>
      <c r="AU31" s="43" t="s">
        <v>196</v>
      </c>
      <c r="AV31" s="37">
        <f>EXPENSES!E87</f>
        <v>17695.845</v>
      </c>
      <c r="BC31" s="35">
        <v>6</v>
      </c>
      <c r="BE31" s="116" t="s">
        <v>1575</v>
      </c>
      <c r="BJ31" s="14"/>
      <c r="BK31" s="35" t="s">
        <v>6</v>
      </c>
      <c r="BL31" s="35"/>
      <c r="BM31" s="116" t="s">
        <v>1830</v>
      </c>
      <c r="BP31" s="35" t="s">
        <v>1831</v>
      </c>
      <c r="BQ31" s="35"/>
      <c r="BR31" s="9" t="s">
        <v>988</v>
      </c>
      <c r="BS31" s="14">
        <f>SUM(BS16:BS29)</f>
        <v>-12801494.830000002</v>
      </c>
      <c r="BU31" s="35"/>
      <c r="BV31" s="35"/>
      <c r="BW31" s="9" t="s">
        <v>1200</v>
      </c>
      <c r="BX31" s="14">
        <v>0</v>
      </c>
      <c r="BZ31" s="35" t="s">
        <v>732</v>
      </c>
      <c r="CA31" s="35"/>
      <c r="CB31" s="116" t="s">
        <v>664</v>
      </c>
      <c r="CE31" s="35" t="s">
        <v>1201</v>
      </c>
      <c r="CF31" s="35">
        <v>207</v>
      </c>
      <c r="CG31" s="9" t="s">
        <v>1202</v>
      </c>
      <c r="CH31" s="14">
        <v>0</v>
      </c>
      <c r="CJ31" s="35" t="s">
        <v>1888</v>
      </c>
      <c r="CK31" s="35">
        <v>231.03</v>
      </c>
      <c r="CL31" s="9" t="s">
        <v>1742</v>
      </c>
      <c r="CM31" s="14">
        <v>0</v>
      </c>
      <c r="CO31" s="35" t="s">
        <v>644</v>
      </c>
      <c r="CP31" s="9" t="s">
        <v>1155</v>
      </c>
      <c r="CQ31" s="185">
        <f>ROUND((CQ20/CQ23),6)</f>
        <v>0.395275</v>
      </c>
      <c r="CS31" s="35">
        <v>514</v>
      </c>
      <c r="CT31" s="9" t="s">
        <v>852</v>
      </c>
      <c r="CU31" s="14">
        <f>EXPENSES!J59</f>
        <v>54469.2</v>
      </c>
      <c r="CX31" s="35"/>
    </row>
    <row r="32" spans="1:104" ht="15.75">
      <c r="A32" s="9"/>
      <c r="B32" s="9" t="s">
        <v>767</v>
      </c>
      <c r="C32" s="14">
        <f>SUM(K20)</f>
        <v>260901</v>
      </c>
      <c r="E32" s="9"/>
      <c r="F32" s="9" t="s">
        <v>767</v>
      </c>
      <c r="G32" s="14">
        <f>SUM(L20)</f>
        <v>608770</v>
      </c>
      <c r="I32" s="116" t="s">
        <v>430</v>
      </c>
      <c r="J32" s="9"/>
      <c r="K32" s="9"/>
      <c r="L32" s="9"/>
      <c r="M32" s="181"/>
      <c r="N32" s="9"/>
      <c r="O32" s="35">
        <v>15</v>
      </c>
      <c r="P32" s="9" t="s">
        <v>815</v>
      </c>
      <c r="Q32" s="14">
        <f>SUM((U33+U52))</f>
        <v>14948505</v>
      </c>
      <c r="R32" s="188"/>
      <c r="S32" s="35">
        <v>14</v>
      </c>
      <c r="T32" s="9" t="s">
        <v>1585</v>
      </c>
      <c r="U32" s="14">
        <f>SUM(BX26)</f>
        <v>38714225.96232</v>
      </c>
      <c r="V32" s="14"/>
      <c r="W32" s="35" t="s">
        <v>1516</v>
      </c>
      <c r="X32" s="116" t="s">
        <v>38</v>
      </c>
      <c r="Z32" s="9"/>
      <c r="AA32" s="35" t="s">
        <v>725</v>
      </c>
      <c r="AB32" s="9" t="s">
        <v>1743</v>
      </c>
      <c r="AC32" s="185">
        <v>1</v>
      </c>
      <c r="AD32" s="14"/>
      <c r="AE32" s="35"/>
      <c r="AG32" s="79" t="s">
        <v>1074</v>
      </c>
      <c r="AM32" s="14"/>
      <c r="AN32" s="35"/>
      <c r="AO32" s="35"/>
      <c r="AQ32" s="33" t="s">
        <v>1074</v>
      </c>
      <c r="AS32" s="183"/>
      <c r="AT32" s="191"/>
      <c r="AU32" s="43"/>
      <c r="AV32" s="33"/>
      <c r="BC32" s="35"/>
      <c r="BF32" s="9" t="s">
        <v>1557</v>
      </c>
      <c r="BJ32" s="14"/>
      <c r="BK32" s="35"/>
      <c r="BL32" s="35"/>
      <c r="BP32" s="35"/>
      <c r="BQ32" s="35"/>
      <c r="BS32" s="33" t="s">
        <v>1572</v>
      </c>
      <c r="BU32" s="35">
        <v>39</v>
      </c>
      <c r="BV32" s="35"/>
      <c r="BW32" s="9" t="s">
        <v>636</v>
      </c>
      <c r="BX32" s="33" t="s">
        <v>1074</v>
      </c>
      <c r="BZ32" s="35"/>
      <c r="CA32" s="35"/>
      <c r="CE32" s="35" t="s">
        <v>1740</v>
      </c>
      <c r="CF32" s="35">
        <v>208</v>
      </c>
      <c r="CG32" s="9" t="s">
        <v>1741</v>
      </c>
      <c r="CH32" s="14">
        <f>AEGBS!D155</f>
        <v>92228987.11</v>
      </c>
      <c r="CJ32" s="35">
        <v>37</v>
      </c>
      <c r="CK32" s="192">
        <v>233</v>
      </c>
      <c r="CL32" s="9" t="s">
        <v>1301</v>
      </c>
      <c r="CM32" s="14">
        <f>AEGBS!D170</f>
        <v>82119102.89</v>
      </c>
      <c r="CO32" s="35" t="s">
        <v>39</v>
      </c>
      <c r="CP32" s="9" t="s">
        <v>953</v>
      </c>
      <c r="CQ32" s="185">
        <f>(SUM(CQ28:CQ31))-1</f>
        <v>-9.999999999177334E-07</v>
      </c>
      <c r="CS32" s="35">
        <v>515</v>
      </c>
      <c r="CT32" s="9" t="s">
        <v>1832</v>
      </c>
      <c r="CU32" s="14">
        <f>EXPENSES!J60</f>
        <v>0</v>
      </c>
      <c r="CX32" s="35"/>
      <c r="CY32" s="9" t="s">
        <v>429</v>
      </c>
      <c r="CZ32" s="14">
        <f>CZ24+CZ25+CZ26+CZ28+CZ30</f>
        <v>0</v>
      </c>
    </row>
    <row r="33" spans="1:102" ht="15">
      <c r="A33" s="9"/>
      <c r="B33" s="9"/>
      <c r="C33" s="9"/>
      <c r="E33" s="9"/>
      <c r="F33" s="9"/>
      <c r="G33" s="9"/>
      <c r="I33" s="9"/>
      <c r="J33" s="9"/>
      <c r="K33" s="9"/>
      <c r="L33" s="9"/>
      <c r="M33" s="181"/>
      <c r="N33" s="9"/>
      <c r="O33" s="35"/>
      <c r="P33" s="9"/>
      <c r="Q33" s="33" t="s">
        <v>1074</v>
      </c>
      <c r="R33" s="188"/>
      <c r="S33" s="35">
        <v>15</v>
      </c>
      <c r="T33" s="9" t="s">
        <v>815</v>
      </c>
      <c r="U33" s="14">
        <f>SUM(BX33)</f>
        <v>9414</v>
      </c>
      <c r="V33" s="14"/>
      <c r="W33" s="35"/>
      <c r="Z33" s="9"/>
      <c r="AA33" s="35"/>
      <c r="AC33" s="79" t="s">
        <v>1572</v>
      </c>
      <c r="AD33" s="14"/>
      <c r="AE33" s="35"/>
      <c r="AJ33" s="35"/>
      <c r="AL33" s="33" t="s">
        <v>1074</v>
      </c>
      <c r="AM33" s="14"/>
      <c r="AN33" s="35" t="s">
        <v>945</v>
      </c>
      <c r="AO33" s="35" t="s">
        <v>431</v>
      </c>
      <c r="AP33" s="9" t="s">
        <v>696</v>
      </c>
      <c r="AQ33" s="14">
        <f>SUM(CZ22)</f>
        <v>0</v>
      </c>
      <c r="AS33" s="183">
        <v>8</v>
      </c>
      <c r="AU33" s="12" t="s">
        <v>197</v>
      </c>
      <c r="AV33" s="37">
        <f>AV29+AV31</f>
        <v>1678914.6049999997</v>
      </c>
      <c r="BC33" s="35"/>
      <c r="BJ33" s="14"/>
      <c r="BK33" s="35" t="s">
        <v>123</v>
      </c>
      <c r="BL33" s="35">
        <v>108</v>
      </c>
      <c r="BM33" s="9" t="s">
        <v>508</v>
      </c>
      <c r="BP33" s="35"/>
      <c r="BQ33" s="35"/>
      <c r="BU33" s="35"/>
      <c r="BV33" s="35"/>
      <c r="BW33" s="9" t="s">
        <v>1848</v>
      </c>
      <c r="BX33" s="14">
        <f>SUM((BX29-BX31))</f>
        <v>9414</v>
      </c>
      <c r="BZ33" s="35" t="s">
        <v>945</v>
      </c>
      <c r="CA33" s="35">
        <v>190</v>
      </c>
      <c r="CB33" s="9" t="s">
        <v>973</v>
      </c>
      <c r="CC33" s="14">
        <v>0</v>
      </c>
      <c r="CE33" s="35" t="s">
        <v>1682</v>
      </c>
      <c r="CF33" s="35">
        <v>211</v>
      </c>
      <c r="CG33" s="9" t="s">
        <v>1683</v>
      </c>
      <c r="CH33" s="14">
        <v>0</v>
      </c>
      <c r="CJ33" s="35"/>
      <c r="CK33" s="35"/>
      <c r="CM33" s="33" t="s">
        <v>1074</v>
      </c>
      <c r="CO33" s="35"/>
      <c r="CQ33" s="79" t="s">
        <v>1074</v>
      </c>
      <c r="CS33" s="35"/>
      <c r="CX33" s="35"/>
    </row>
    <row r="34" spans="1:104" ht="15">
      <c r="A34" s="9"/>
      <c r="B34" s="9" t="s">
        <v>1654</v>
      </c>
      <c r="C34" s="14">
        <f aca="true" t="shared" si="1" ref="C34:C39">SUM(K22)</f>
        <v>2881108.48</v>
      </c>
      <c r="E34" s="9"/>
      <c r="F34" s="9" t="s">
        <v>1654</v>
      </c>
      <c r="G34" s="14">
        <f>SUM((L22+L23))</f>
        <v>6722586.4399999995</v>
      </c>
      <c r="I34" s="9" t="s">
        <v>648</v>
      </c>
      <c r="J34" s="14">
        <f>SUM(J20)</f>
        <v>869671</v>
      </c>
      <c r="K34" s="14">
        <f>SUM(K20)</f>
        <v>260901</v>
      </c>
      <c r="L34" s="14">
        <f>SUM(L20)</f>
        <v>608770</v>
      </c>
      <c r="M34" s="182"/>
      <c r="N34" s="14"/>
      <c r="O34" s="35">
        <v>16</v>
      </c>
      <c r="P34" s="9" t="s">
        <v>1739</v>
      </c>
      <c r="Q34" s="14">
        <f>SUM(((((((((((Q20-Q21)+Q22)+Q23)+Q24)+Q25)+Q26)+Q27)-Q30)-Q31)-Q32))+Q28-Q29</f>
        <v>124073386.34299995</v>
      </c>
      <c r="R34" s="188"/>
      <c r="S34" s="35"/>
      <c r="U34" s="33" t="s">
        <v>1074</v>
      </c>
      <c r="V34" s="14"/>
      <c r="W34" s="35" t="s">
        <v>725</v>
      </c>
      <c r="X34" s="9" t="s">
        <v>706</v>
      </c>
      <c r="Y34" s="14">
        <f>IF((Y23&lt;Y29),Y23,Y29)</f>
        <v>95245306.17999999</v>
      </c>
      <c r="Z34" s="14"/>
      <c r="AA34" s="35"/>
      <c r="AD34" s="14"/>
      <c r="AE34" s="35" t="s">
        <v>39</v>
      </c>
      <c r="AF34" s="116" t="s">
        <v>1684</v>
      </c>
      <c r="AI34" s="35">
        <v>9</v>
      </c>
      <c r="AJ34" s="35"/>
      <c r="AK34" s="9" t="s">
        <v>233</v>
      </c>
      <c r="AL34" s="14">
        <f>AL15+AL17+AL19+AL22+AL25+AL27+AL29+AL31</f>
        <v>-8750</v>
      </c>
      <c r="AM34" s="14"/>
      <c r="AN34" s="35"/>
      <c r="AO34" s="35"/>
      <c r="AQ34" s="33" t="s">
        <v>1074</v>
      </c>
      <c r="BC34" s="35">
        <v>7</v>
      </c>
      <c r="BD34" s="35" t="s">
        <v>1847</v>
      </c>
      <c r="BE34" s="9" t="s">
        <v>647</v>
      </c>
      <c r="BJ34" s="14"/>
      <c r="BK34" s="35"/>
      <c r="BL34" s="35"/>
      <c r="BM34" s="9" t="s">
        <v>652</v>
      </c>
      <c r="BN34" s="14">
        <f>IF(AEGBS!F13&gt;0,AEGBS!F13,AEGBS!F13*-1)</f>
        <v>457119233.56</v>
      </c>
      <c r="BP34" s="35"/>
      <c r="BQ34" s="35"/>
      <c r="BU34" s="35">
        <v>40</v>
      </c>
      <c r="BV34" s="35"/>
      <c r="BW34" s="9" t="s">
        <v>1660</v>
      </c>
      <c r="BX34" s="33" t="s">
        <v>1074</v>
      </c>
      <c r="BZ34" s="35" t="s">
        <v>6</v>
      </c>
      <c r="CA34" s="35">
        <v>281</v>
      </c>
      <c r="CB34" s="9" t="s">
        <v>594</v>
      </c>
      <c r="CE34" s="35" t="s">
        <v>610</v>
      </c>
      <c r="CF34" s="35">
        <v>213</v>
      </c>
      <c r="CG34" s="9" t="s">
        <v>813</v>
      </c>
      <c r="CH34" s="14">
        <v>0</v>
      </c>
      <c r="CJ34" s="35">
        <v>38</v>
      </c>
      <c r="CK34" s="35"/>
      <c r="CL34" s="9" t="s">
        <v>169</v>
      </c>
      <c r="CM34" s="14">
        <f>CM30-CM31+CM32</f>
        <v>82119102.89</v>
      </c>
      <c r="CO34" s="35" t="s">
        <v>1845</v>
      </c>
      <c r="CP34" s="9" t="s">
        <v>1846</v>
      </c>
      <c r="CQ34" s="185">
        <f>(SUM(CQ28:CQ31))-CQ32</f>
        <v>1</v>
      </c>
      <c r="CS34" s="35"/>
      <c r="CX34" s="35">
        <v>911</v>
      </c>
      <c r="CY34" s="9" t="s">
        <v>1769</v>
      </c>
      <c r="CZ34" s="14">
        <v>0</v>
      </c>
    </row>
    <row r="35" spans="1:126" ht="15">
      <c r="A35" s="9"/>
      <c r="B35" s="9" t="s">
        <v>841</v>
      </c>
      <c r="C35" s="14">
        <f t="shared" si="1"/>
        <v>0</v>
      </c>
      <c r="E35" s="9"/>
      <c r="F35" s="9" t="s">
        <v>841</v>
      </c>
      <c r="G35" s="14">
        <f>SUM(L23)</f>
        <v>0</v>
      </c>
      <c r="I35" s="9" t="s">
        <v>982</v>
      </c>
      <c r="J35" s="14">
        <f>SUM(BF28)</f>
        <v>-267050.87999999995</v>
      </c>
      <c r="K35" s="14">
        <f>SUM(BG28)</f>
        <v>-80115</v>
      </c>
      <c r="L35" s="14">
        <f>SUM(BH28)</f>
        <v>-186936</v>
      </c>
      <c r="M35" s="182"/>
      <c r="N35" s="14"/>
      <c r="O35" s="35"/>
      <c r="P35" s="9"/>
      <c r="Q35" s="33" t="s">
        <v>1074</v>
      </c>
      <c r="R35" s="188"/>
      <c r="S35" s="35">
        <v>16</v>
      </c>
      <c r="T35" s="9" t="s">
        <v>1681</v>
      </c>
      <c r="U35" s="14">
        <f>SUM(((((((((((U21-U22)+U23)+U24)+U25)+U26)+U27)+U28)-U31)-U32)-U33))+U29-U30</f>
        <v>192907743.59567997</v>
      </c>
      <c r="V35" s="14"/>
      <c r="W35" s="35" t="s">
        <v>42</v>
      </c>
      <c r="X35" s="9" t="s">
        <v>722</v>
      </c>
      <c r="Y35" s="193">
        <v>0.0101333</v>
      </c>
      <c r="Z35" s="14"/>
      <c r="AA35" s="35" t="s">
        <v>42</v>
      </c>
      <c r="AB35" s="116" t="s">
        <v>1324</v>
      </c>
      <c r="AD35" s="14"/>
      <c r="AE35" s="35"/>
      <c r="AL35" s="33" t="s">
        <v>1572</v>
      </c>
      <c r="AM35" s="14"/>
      <c r="AN35" s="35" t="s">
        <v>6</v>
      </c>
      <c r="AO35" s="35" t="s">
        <v>649</v>
      </c>
      <c r="AP35" s="9" t="s">
        <v>650</v>
      </c>
      <c r="BC35" s="35"/>
      <c r="BE35" s="9" t="s">
        <v>10</v>
      </c>
      <c r="BF35" s="143">
        <f>IF(INSTRUCTIONS!$L$29="ESTIMATE",TXPG12RV!G43,IF(INSTRUCTIONS!$L$29="ACTUAL",TXPG12RV!I43,"SEE NOTE"))</f>
        <v>25996</v>
      </c>
      <c r="BG35" s="14">
        <f>ROUND(SUM((BF35*INSTRUCTIONS!$M$20)),0)</f>
        <v>7799</v>
      </c>
      <c r="BH35" s="14">
        <f>ROUND(BF35-BG35,0)</f>
        <v>18197</v>
      </c>
      <c r="BI35" s="14"/>
      <c r="BJ35" s="14"/>
      <c r="BK35" s="35" t="s">
        <v>1831</v>
      </c>
      <c r="BL35" s="35">
        <v>110</v>
      </c>
      <c r="BM35" s="9" t="s">
        <v>508</v>
      </c>
      <c r="BP35" s="35"/>
      <c r="BQ35" s="35"/>
      <c r="BU35" s="35"/>
      <c r="BV35" s="35"/>
      <c r="BW35" s="9" t="s">
        <v>651</v>
      </c>
      <c r="BX35" s="14">
        <f>SUM(((((((((((BN27+BN29)-BN46)+BN58)+BN60)+BN62)+BS31)+BS37)-BS39)-BX26)-BX33))</f>
        <v>193851770.33567998</v>
      </c>
      <c r="BZ35" s="35"/>
      <c r="CA35" s="35"/>
      <c r="CB35" s="9" t="s">
        <v>1298</v>
      </c>
      <c r="CC35" s="14">
        <v>0</v>
      </c>
      <c r="CE35" s="35"/>
      <c r="CF35" s="35"/>
      <c r="CH35" s="33" t="s">
        <v>1074</v>
      </c>
      <c r="CJ35" s="35"/>
      <c r="CK35" s="35"/>
      <c r="CM35" s="33" t="s">
        <v>1074</v>
      </c>
      <c r="CO35" s="35"/>
      <c r="CQ35" s="79" t="s">
        <v>1572</v>
      </c>
      <c r="CS35" s="35"/>
      <c r="CT35" s="35" t="s">
        <v>1781</v>
      </c>
      <c r="CU35" s="14">
        <f>SUM(CU27:CU32)</f>
        <v>443383.93</v>
      </c>
      <c r="CX35" s="35">
        <v>912</v>
      </c>
      <c r="CY35" s="9" t="s">
        <v>302</v>
      </c>
      <c r="CZ35" s="14">
        <v>0</v>
      </c>
      <c r="DV35" s="14"/>
    </row>
    <row r="36" spans="1:126" ht="15.75">
      <c r="A36" s="9"/>
      <c r="B36" s="9" t="s">
        <v>842</v>
      </c>
      <c r="C36" s="14">
        <f t="shared" si="1"/>
        <v>-2625</v>
      </c>
      <c r="E36" s="9"/>
      <c r="F36" s="9" t="s">
        <v>842</v>
      </c>
      <c r="G36" s="14">
        <f>SUM(L24)</f>
        <v>-6125</v>
      </c>
      <c r="I36" s="9" t="s">
        <v>1187</v>
      </c>
      <c r="J36" s="14">
        <f>SUM(BF55)</f>
        <v>289523.19</v>
      </c>
      <c r="K36" s="14">
        <f>SUM(BG55)</f>
        <v>86857</v>
      </c>
      <c r="L36" s="14">
        <f>SUM(BH55)</f>
        <v>202666</v>
      </c>
      <c r="M36" s="182"/>
      <c r="N36" s="14"/>
      <c r="O36" s="35">
        <v>17</v>
      </c>
      <c r="P36" s="116" t="s">
        <v>609</v>
      </c>
      <c r="Q36" s="9"/>
      <c r="R36" s="188"/>
      <c r="S36" s="35"/>
      <c r="U36" s="33" t="s">
        <v>1074</v>
      </c>
      <c r="V36" s="14"/>
      <c r="W36" s="35" t="s">
        <v>644</v>
      </c>
      <c r="X36" s="9" t="s">
        <v>168</v>
      </c>
      <c r="Y36" s="14">
        <f>ROUND((Y34*Y35),0)</f>
        <v>965149</v>
      </c>
      <c r="Z36" s="14"/>
      <c r="AA36" s="35"/>
      <c r="AD36" s="14"/>
      <c r="AE36" s="35" t="s">
        <v>1845</v>
      </c>
      <c r="AF36" s="9" t="s">
        <v>556</v>
      </c>
      <c r="AG36" s="14">
        <v>2332353</v>
      </c>
      <c r="AM36" s="14"/>
      <c r="AN36" s="35"/>
      <c r="AO36" s="35"/>
      <c r="AP36" s="194" t="s">
        <v>128</v>
      </c>
      <c r="AQ36" s="14">
        <f>SUM(CZ32)</f>
        <v>0</v>
      </c>
      <c r="BC36" s="35"/>
      <c r="BF36" s="9" t="s">
        <v>1557</v>
      </c>
      <c r="BJ36" s="14"/>
      <c r="BK36" s="35"/>
      <c r="BL36" s="35"/>
      <c r="BM36" s="9" t="s">
        <v>1776</v>
      </c>
      <c r="BN36" s="14">
        <v>0</v>
      </c>
      <c r="BP36" s="35"/>
      <c r="BQ36" s="35"/>
      <c r="BU36" s="35"/>
      <c r="BV36" s="35"/>
      <c r="BX36" s="33" t="s">
        <v>1572</v>
      </c>
      <c r="BZ36" s="35" t="s">
        <v>123</v>
      </c>
      <c r="CA36" s="35">
        <v>282</v>
      </c>
      <c r="CB36" s="9" t="s">
        <v>594</v>
      </c>
      <c r="CE36" s="35" t="s">
        <v>1077</v>
      </c>
      <c r="CF36" s="35"/>
      <c r="CG36" s="9" t="s">
        <v>464</v>
      </c>
      <c r="CH36" s="14">
        <f>SUM(CH31:CH34)</f>
        <v>92228987.11</v>
      </c>
      <c r="CJ36" s="35">
        <v>39</v>
      </c>
      <c r="CK36" s="35"/>
      <c r="CL36" s="116" t="s">
        <v>167</v>
      </c>
      <c r="CO36" s="35" t="s">
        <v>901</v>
      </c>
      <c r="CP36" s="116" t="s">
        <v>987</v>
      </c>
      <c r="CS36" s="35"/>
      <c r="CX36" s="35">
        <v>913</v>
      </c>
      <c r="CY36" s="9" t="s">
        <v>212</v>
      </c>
      <c r="CZ36" s="14">
        <v>0</v>
      </c>
      <c r="DV36" s="14"/>
    </row>
    <row r="37" spans="1:126" ht="15">
      <c r="A37" s="9"/>
      <c r="B37" s="9" t="s">
        <v>782</v>
      </c>
      <c r="C37" s="14">
        <f t="shared" si="1"/>
        <v>272993</v>
      </c>
      <c r="E37" s="9"/>
      <c r="F37" s="9" t="s">
        <v>782</v>
      </c>
      <c r="G37" s="14">
        <f>SUM(L25)</f>
        <v>636983.8300000001</v>
      </c>
      <c r="I37" s="9" t="s">
        <v>799</v>
      </c>
      <c r="J37" s="14">
        <f>ROUND((Y46+((Y58*Y62)*Y63)),0)</f>
        <v>135011</v>
      </c>
      <c r="K37" s="14">
        <f>ROUND((J37*INSTRUCTIONS!$M$20),0)</f>
        <v>40503</v>
      </c>
      <c r="L37" s="14">
        <f>SUM((J37-K37))</f>
        <v>94508</v>
      </c>
      <c r="M37" s="182"/>
      <c r="N37" s="14"/>
      <c r="O37" s="35"/>
      <c r="P37" s="9"/>
      <c r="Q37" s="9"/>
      <c r="R37" s="188"/>
      <c r="S37" s="35">
        <v>17</v>
      </c>
      <c r="T37" s="9" t="s">
        <v>303</v>
      </c>
      <c r="V37" s="14"/>
      <c r="W37" s="35" t="s">
        <v>39</v>
      </c>
      <c r="X37" s="9" t="s">
        <v>704</v>
      </c>
      <c r="Y37" s="195">
        <f>SUM(Q58)</f>
        <v>0.489573</v>
      </c>
      <c r="Z37" s="14"/>
      <c r="AA37" s="35"/>
      <c r="AD37" s="14"/>
      <c r="AE37" s="35" t="s">
        <v>901</v>
      </c>
      <c r="AF37" s="9" t="s">
        <v>848</v>
      </c>
      <c r="AG37" s="194">
        <v>7535.6</v>
      </c>
      <c r="AM37" s="14"/>
      <c r="AN37" s="35"/>
      <c r="AO37" s="35"/>
      <c r="AQ37" s="33" t="s">
        <v>1074</v>
      </c>
      <c r="BC37" s="35"/>
      <c r="BD37" s="35"/>
      <c r="BJ37" s="14"/>
      <c r="BK37" s="35" t="s">
        <v>850</v>
      </c>
      <c r="BL37" s="35">
        <v>111</v>
      </c>
      <c r="BM37" s="9" t="s">
        <v>523</v>
      </c>
      <c r="BP37" s="35" t="s">
        <v>850</v>
      </c>
      <c r="BQ37" s="35">
        <v>181</v>
      </c>
      <c r="BR37" s="9" t="s">
        <v>524</v>
      </c>
      <c r="BS37" s="14">
        <f>IF(AEGBS!F46&gt;0,AEGBS!F46,AEGBS!F46*-1)</f>
        <v>40696.45</v>
      </c>
      <c r="BU37" s="35"/>
      <c r="BV37" s="35"/>
      <c r="BZ37" s="35"/>
      <c r="CA37" s="35"/>
      <c r="CB37" s="9" t="s">
        <v>1177</v>
      </c>
      <c r="CC37" s="14">
        <v>0</v>
      </c>
      <c r="CE37" s="35"/>
      <c r="CF37" s="35"/>
      <c r="CH37" s="33" t="s">
        <v>1074</v>
      </c>
      <c r="CJ37" s="35"/>
      <c r="CK37" s="35"/>
      <c r="CO37" s="35"/>
      <c r="CS37" s="35" t="s">
        <v>705</v>
      </c>
      <c r="CT37" s="9" t="s">
        <v>535</v>
      </c>
      <c r="CU37" s="14">
        <f>EXPENSES!J64</f>
        <v>0</v>
      </c>
      <c r="CX37" s="35">
        <v>916</v>
      </c>
      <c r="CY37" s="9" t="s">
        <v>798</v>
      </c>
      <c r="CZ37" s="14">
        <v>0</v>
      </c>
      <c r="DQ37" s="14"/>
      <c r="DV37" s="14"/>
    </row>
    <row r="38" spans="1:126" ht="15">
      <c r="A38" s="9"/>
      <c r="B38" s="9" t="s">
        <v>141</v>
      </c>
      <c r="C38" s="14">
        <f t="shared" si="1"/>
        <v>503674</v>
      </c>
      <c r="E38" s="9"/>
      <c r="F38" s="9" t="s">
        <v>141</v>
      </c>
      <c r="G38" s="14">
        <f>SUM(L26)</f>
        <v>1175240.6049999997</v>
      </c>
      <c r="I38" s="9"/>
      <c r="J38" s="196" t="s">
        <v>1074</v>
      </c>
      <c r="K38" s="196" t="s">
        <v>1074</v>
      </c>
      <c r="L38" s="196" t="s">
        <v>1074</v>
      </c>
      <c r="M38" s="197"/>
      <c r="N38" s="14"/>
      <c r="O38" s="35"/>
      <c r="P38" s="9"/>
      <c r="Q38" s="9"/>
      <c r="R38" s="188"/>
      <c r="S38" s="35"/>
      <c r="V38" s="14"/>
      <c r="W38" s="35" t="s">
        <v>1845</v>
      </c>
      <c r="X38" s="9" t="s">
        <v>977</v>
      </c>
      <c r="Y38" s="195">
        <f>ROUND((U35/U56),4)</f>
        <v>1.5548</v>
      </c>
      <c r="Z38" s="196"/>
      <c r="AA38" s="35" t="s">
        <v>644</v>
      </c>
      <c r="AB38" s="9" t="s">
        <v>394</v>
      </c>
      <c r="AC38" s="185">
        <f>(+WTAVE!H31)*0.01</f>
        <v>0.022599345923134253</v>
      </c>
      <c r="AD38" s="198"/>
      <c r="AE38" s="35" t="s">
        <v>43</v>
      </c>
      <c r="AF38" s="9" t="s">
        <v>1530</v>
      </c>
      <c r="AG38" s="199">
        <f>ROUND((AG36/AG37),2)</f>
        <v>309.51</v>
      </c>
      <c r="AN38" s="35" t="s">
        <v>123</v>
      </c>
      <c r="AO38" s="35" t="s">
        <v>804</v>
      </c>
      <c r="AP38" s="194" t="s">
        <v>1511</v>
      </c>
      <c r="AQ38" s="14">
        <f>SUM(CZ40)</f>
        <v>0</v>
      </c>
      <c r="BC38" s="35"/>
      <c r="BF38" s="143"/>
      <c r="BG38" s="14"/>
      <c r="BH38" s="14"/>
      <c r="BI38" s="14"/>
      <c r="BJ38" s="14"/>
      <c r="BK38" s="35"/>
      <c r="BL38" s="35"/>
      <c r="BM38" s="9" t="s">
        <v>652</v>
      </c>
      <c r="BN38" s="14">
        <f>IF(AEGBS!F14&gt;0,AEGBS!F14,AEGBS!F14*-1)</f>
        <v>482384.78</v>
      </c>
      <c r="BP38" s="35"/>
      <c r="BQ38" s="35"/>
      <c r="BS38" s="33" t="s">
        <v>1074</v>
      </c>
      <c r="BU38" s="35"/>
      <c r="BV38" s="35"/>
      <c r="BZ38" s="35" t="s">
        <v>1831</v>
      </c>
      <c r="CA38" s="35">
        <v>283</v>
      </c>
      <c r="CB38" s="9" t="s">
        <v>594</v>
      </c>
      <c r="CE38" s="35" t="s">
        <v>1512</v>
      </c>
      <c r="CF38" s="35"/>
      <c r="CG38" s="116" t="s">
        <v>943</v>
      </c>
      <c r="CJ38" s="35">
        <v>40</v>
      </c>
      <c r="CK38" s="35">
        <v>132</v>
      </c>
      <c r="CL38" s="9" t="s">
        <v>944</v>
      </c>
      <c r="CM38" s="14">
        <f>AEGBS!D149</f>
        <v>0</v>
      </c>
      <c r="CO38" s="35" t="s">
        <v>43</v>
      </c>
      <c r="CP38" s="9" t="s">
        <v>1156</v>
      </c>
      <c r="CQ38" s="185">
        <f>SUM(AC38)</f>
        <v>0.022599345923134253</v>
      </c>
      <c r="CS38" s="35" t="s">
        <v>978</v>
      </c>
      <c r="CT38" s="9" t="s">
        <v>979</v>
      </c>
      <c r="CU38" s="14">
        <f>EXPENSES!J65</f>
        <v>-4489.22</v>
      </c>
      <c r="CX38" s="35">
        <v>917</v>
      </c>
      <c r="CY38" s="9" t="s">
        <v>980</v>
      </c>
      <c r="CZ38" s="14">
        <v>0</v>
      </c>
      <c r="DV38" s="14"/>
    </row>
    <row r="39" spans="1:126" ht="15">
      <c r="A39" s="9"/>
      <c r="B39" s="9" t="s">
        <v>136</v>
      </c>
      <c r="C39" s="14">
        <f t="shared" si="1"/>
        <v>29658</v>
      </c>
      <c r="E39" s="9"/>
      <c r="F39" s="9" t="s">
        <v>136</v>
      </c>
      <c r="G39" s="14">
        <f>SUM(L27)</f>
        <v>69201.32</v>
      </c>
      <c r="I39" s="9" t="s">
        <v>1237</v>
      </c>
      <c r="J39" s="14">
        <f>TRUNC((((J34+J35)+J36)-J37))</f>
        <v>757132</v>
      </c>
      <c r="K39" s="14">
        <f>TRUNC((((K34+K35)+K36)-K37))</f>
        <v>227140</v>
      </c>
      <c r="L39" s="14">
        <f>TRUNC((((L34+L35)+L36)-L37))</f>
        <v>529992</v>
      </c>
      <c r="M39" s="182"/>
      <c r="N39" s="14"/>
      <c r="O39" s="35">
        <v>18</v>
      </c>
      <c r="P39" s="9" t="s">
        <v>525</v>
      </c>
      <c r="Q39" s="14">
        <f>SUM(CC16)</f>
        <v>129745731.2</v>
      </c>
      <c r="R39" s="188"/>
      <c r="S39" s="35"/>
      <c r="V39" s="14"/>
      <c r="W39" s="35" t="s">
        <v>901</v>
      </c>
      <c r="X39" s="9" t="s">
        <v>1237</v>
      </c>
      <c r="Y39" s="143">
        <f>ROUND(((Y36*Y37)*Y38),0)</f>
        <v>734660</v>
      </c>
      <c r="Z39" s="14"/>
      <c r="AA39" s="35" t="s">
        <v>39</v>
      </c>
      <c r="AB39" s="9" t="s">
        <v>1353</v>
      </c>
      <c r="AC39" s="185">
        <f>+INSTRUCTIONS!Q4</f>
        <v>0.004537</v>
      </c>
      <c r="AD39" s="14"/>
      <c r="AE39" s="35" t="s">
        <v>981</v>
      </c>
      <c r="AF39" s="9" t="s">
        <v>777</v>
      </c>
      <c r="AG39" s="14">
        <v>24</v>
      </c>
      <c r="AN39" s="35"/>
      <c r="AO39" s="35"/>
      <c r="AQ39" s="33" t="s">
        <v>1074</v>
      </c>
      <c r="BC39" s="35"/>
      <c r="BJ39" s="14"/>
      <c r="BK39" s="35" t="s">
        <v>778</v>
      </c>
      <c r="BL39" s="35">
        <v>115</v>
      </c>
      <c r="BM39" s="9" t="s">
        <v>523</v>
      </c>
      <c r="BP39" s="35" t="s">
        <v>778</v>
      </c>
      <c r="BQ39" s="35">
        <v>253</v>
      </c>
      <c r="BR39" s="9" t="s">
        <v>1235</v>
      </c>
      <c r="BS39" s="14">
        <f>IF(AEGBS!F54&gt;0,AEGBS!F54,AEGBS!F54*-1)</f>
        <v>0</v>
      </c>
      <c r="BU39" s="35"/>
      <c r="BV39" s="35"/>
      <c r="BZ39" s="35"/>
      <c r="CA39" s="35"/>
      <c r="CB39" s="9" t="s">
        <v>623</v>
      </c>
      <c r="CC39" s="14">
        <v>0</v>
      </c>
      <c r="CE39" s="35"/>
      <c r="CF39" s="35"/>
      <c r="CJ39" s="35">
        <v>41</v>
      </c>
      <c r="CK39" s="35">
        <v>133</v>
      </c>
      <c r="CL39" s="9" t="s">
        <v>1236</v>
      </c>
      <c r="CM39" s="14">
        <v>0</v>
      </c>
      <c r="CO39" s="35" t="s">
        <v>981</v>
      </c>
      <c r="CP39" s="9" t="s">
        <v>108</v>
      </c>
      <c r="CQ39" s="185">
        <f>SUM(AC39)</f>
        <v>0.004537</v>
      </c>
      <c r="CS39" s="35" t="s">
        <v>432</v>
      </c>
      <c r="CT39" s="9" t="s">
        <v>433</v>
      </c>
      <c r="CU39" s="14">
        <f>EXPENSES!J66</f>
        <v>-12859.91</v>
      </c>
      <c r="CX39" s="35"/>
      <c r="DV39" s="14"/>
    </row>
    <row r="40" spans="1:104" ht="15">
      <c r="A40" s="9"/>
      <c r="B40" s="9" t="s">
        <v>383</v>
      </c>
      <c r="C40" s="14">
        <f>IF(INSTRUCTIONS!L8="ACTUAL",'Actual Taxes'!D39+'Actual Taxes'!D47,K28)</f>
        <v>209163</v>
      </c>
      <c r="E40" s="9"/>
      <c r="F40" s="9" t="s">
        <v>383</v>
      </c>
      <c r="G40" s="14">
        <f>IF(INSTRUCTIONS!L8="ACTUAL",'Actual Taxes'!D40+'Actual Taxes'!E47,L28)</f>
        <v>488046</v>
      </c>
      <c r="I40" s="9" t="s">
        <v>1747</v>
      </c>
      <c r="J40" s="80">
        <v>0.53846153846154</v>
      </c>
      <c r="K40" s="80">
        <f>+J40</f>
        <v>0.53846153846154</v>
      </c>
      <c r="L40" s="80">
        <f>+J40</f>
        <v>0.53846153846154</v>
      </c>
      <c r="M40" s="200"/>
      <c r="N40" s="80"/>
      <c r="O40" s="35">
        <v>19</v>
      </c>
      <c r="P40" s="9" t="s">
        <v>1463</v>
      </c>
      <c r="Q40" s="14">
        <f>SUM(CC29)</f>
        <v>0</v>
      </c>
      <c r="R40" s="188"/>
      <c r="S40" s="35">
        <v>18</v>
      </c>
      <c r="T40" s="9" t="s">
        <v>673</v>
      </c>
      <c r="U40" s="14">
        <f>'UNIT 2 PWR BILL'!U21</f>
        <v>139187917.38</v>
      </c>
      <c r="V40" s="14"/>
      <c r="W40" s="35"/>
      <c r="Z40" s="80"/>
      <c r="AA40" s="35" t="s">
        <v>1845</v>
      </c>
      <c r="AB40" s="9" t="s">
        <v>457</v>
      </c>
      <c r="AC40" s="185">
        <v>0</v>
      </c>
      <c r="AD40" s="14"/>
      <c r="AE40" s="35" t="s">
        <v>434</v>
      </c>
      <c r="AF40" s="9" t="s">
        <v>235</v>
      </c>
      <c r="AG40" s="199">
        <f>ROUND((AG38*AG39),2)</f>
        <v>7428.24</v>
      </c>
      <c r="AN40" s="35" t="s">
        <v>1831</v>
      </c>
      <c r="AO40" s="35" t="s">
        <v>236</v>
      </c>
      <c r="AP40" s="9" t="s">
        <v>118</v>
      </c>
      <c r="BC40" s="35">
        <v>8</v>
      </c>
      <c r="BD40" s="45" t="s">
        <v>1745</v>
      </c>
      <c r="BE40" s="8" t="s">
        <v>1746</v>
      </c>
      <c r="BF40" s="8"/>
      <c r="BG40" s="8"/>
      <c r="BH40" s="8"/>
      <c r="BI40" s="8"/>
      <c r="BJ40" s="14"/>
      <c r="BK40" s="35"/>
      <c r="BL40" s="35"/>
      <c r="BM40" s="9" t="s">
        <v>1838</v>
      </c>
      <c r="BS40" s="33" t="s">
        <v>1074</v>
      </c>
      <c r="BU40" s="35"/>
      <c r="BV40" s="35"/>
      <c r="BZ40" s="35" t="s">
        <v>850</v>
      </c>
      <c r="CA40" s="35"/>
      <c r="CB40" s="9" t="s">
        <v>753</v>
      </c>
      <c r="CC40" s="33" t="s">
        <v>1074</v>
      </c>
      <c r="CE40" s="35" t="s">
        <v>1839</v>
      </c>
      <c r="CF40" s="35">
        <v>215</v>
      </c>
      <c r="CG40" s="9" t="s">
        <v>1840</v>
      </c>
      <c r="CH40" s="14">
        <v>0</v>
      </c>
      <c r="CJ40" s="35">
        <v>42</v>
      </c>
      <c r="CK40" s="35">
        <v>134</v>
      </c>
      <c r="CL40" s="9" t="s">
        <v>456</v>
      </c>
      <c r="CM40" s="14">
        <v>0</v>
      </c>
      <c r="CO40" s="35" t="s">
        <v>434</v>
      </c>
      <c r="CP40" s="9" t="s">
        <v>47</v>
      </c>
      <c r="CQ40" s="185">
        <v>0</v>
      </c>
      <c r="CS40" s="35"/>
      <c r="CX40" s="35"/>
      <c r="CY40" s="9" t="s">
        <v>1744</v>
      </c>
      <c r="CZ40" s="14">
        <f>SUM(CZ34:CZ38)</f>
        <v>0</v>
      </c>
    </row>
    <row r="41" spans="1:102" ht="15">
      <c r="A41" s="9"/>
      <c r="B41" s="9"/>
      <c r="C41" s="33" t="s">
        <v>1074</v>
      </c>
      <c r="E41" s="9"/>
      <c r="F41" s="9"/>
      <c r="G41" s="33" t="s">
        <v>1074</v>
      </c>
      <c r="I41" s="9" t="s">
        <v>217</v>
      </c>
      <c r="J41" s="14">
        <f>SUM(K41:L41)</f>
        <v>407686</v>
      </c>
      <c r="K41" s="14">
        <f>ROUND((K39*K40),0)</f>
        <v>122306</v>
      </c>
      <c r="L41" s="14">
        <f>ROUND((L39*L40),0)</f>
        <v>285380</v>
      </c>
      <c r="M41" s="182"/>
      <c r="N41" s="14"/>
      <c r="O41" s="35">
        <v>20</v>
      </c>
      <c r="P41" s="9" t="s">
        <v>1585</v>
      </c>
      <c r="Q41" s="14">
        <f>SUM(CC41)</f>
        <v>0</v>
      </c>
      <c r="R41" s="188"/>
      <c r="S41" s="35">
        <v>19</v>
      </c>
      <c r="T41" s="9" t="s">
        <v>1144</v>
      </c>
      <c r="U41" s="14">
        <f>'UNIT 2 PWR BILL'!U22</f>
        <v>148129202.53</v>
      </c>
      <c r="V41" s="14"/>
      <c r="W41" s="35" t="s">
        <v>43</v>
      </c>
      <c r="X41" s="9" t="s">
        <v>526</v>
      </c>
      <c r="Y41" s="14">
        <f>IF((Y23&gt;Y29),(Y23-Y29),0)</f>
        <v>0</v>
      </c>
      <c r="Z41" s="14"/>
      <c r="AA41" s="35"/>
      <c r="AD41" s="14"/>
      <c r="AE41" s="35" t="s">
        <v>1748</v>
      </c>
      <c r="AF41" s="9" t="s">
        <v>1749</v>
      </c>
      <c r="AG41" s="14">
        <v>68</v>
      </c>
      <c r="AN41" s="35"/>
      <c r="AO41" s="35"/>
      <c r="AP41" s="199" t="s">
        <v>1750</v>
      </c>
      <c r="AQ41" s="14">
        <f>SUM(CZ56)</f>
        <v>146048.31999999998</v>
      </c>
      <c r="BC41" s="35"/>
      <c r="BD41" s="45"/>
      <c r="BE41" s="8"/>
      <c r="BF41" s="8"/>
      <c r="BG41" s="8"/>
      <c r="BH41" s="8"/>
      <c r="BI41" s="8"/>
      <c r="BJ41" s="14"/>
      <c r="BK41" s="35"/>
      <c r="BL41" s="35"/>
      <c r="BM41" s="9" t="s">
        <v>188</v>
      </c>
      <c r="BN41" s="14">
        <v>0</v>
      </c>
      <c r="BP41" s="32" t="s">
        <v>189</v>
      </c>
      <c r="BQ41" s="9" t="s">
        <v>427</v>
      </c>
      <c r="BU41" s="35"/>
      <c r="BV41" s="35"/>
      <c r="BZ41" s="35"/>
      <c r="CA41" s="35"/>
      <c r="CB41" s="9" t="s">
        <v>360</v>
      </c>
      <c r="CC41" s="14">
        <f>SUM(((((-CC33)+CC35)+CC37)+CC39))</f>
        <v>0</v>
      </c>
      <c r="CE41" s="35" t="s">
        <v>1232</v>
      </c>
      <c r="CF41" s="35">
        <v>215.1</v>
      </c>
      <c r="CG41" s="9" t="s">
        <v>1233</v>
      </c>
      <c r="CJ41" s="35">
        <v>43</v>
      </c>
      <c r="CK41" s="35" t="s">
        <v>129</v>
      </c>
      <c r="CL41" s="9" t="s">
        <v>1234</v>
      </c>
      <c r="CM41" s="14">
        <f>AEGBS!D164+AEGBS!D168</f>
        <v>0</v>
      </c>
      <c r="CO41" s="35" t="s">
        <v>1748</v>
      </c>
      <c r="CP41" s="9" t="s">
        <v>1186</v>
      </c>
      <c r="CQ41" s="185">
        <v>0.1216</v>
      </c>
      <c r="CS41" s="35"/>
      <c r="CT41" s="35" t="s">
        <v>216</v>
      </c>
      <c r="CU41" s="14">
        <f>SUM(CU37:CU39)</f>
        <v>-17349.13</v>
      </c>
      <c r="CX41" s="35"/>
    </row>
    <row r="42" spans="1:104" ht="15">
      <c r="A42" s="9"/>
      <c r="B42" s="35" t="s">
        <v>1690</v>
      </c>
      <c r="C42" s="14">
        <f>C32+KPCO_FUEL_1+C35+C36+C37+C38+C39+C40</f>
        <v>4154872.48</v>
      </c>
      <c r="E42" s="9"/>
      <c r="F42" s="9" t="s">
        <v>906</v>
      </c>
      <c r="G42" s="14">
        <f>G32+IM_FUEL_1+G35+G36+G37+G38+G39+G40</f>
        <v>9694703.195</v>
      </c>
      <c r="I42" s="9" t="s">
        <v>871</v>
      </c>
      <c r="J42" s="14">
        <f>SUM(BF55)</f>
        <v>289523.19</v>
      </c>
      <c r="K42" s="14">
        <f>SUM(BG55)</f>
        <v>86857</v>
      </c>
      <c r="L42" s="14">
        <f>SUM(BH55)</f>
        <v>202666</v>
      </c>
      <c r="M42" s="182"/>
      <c r="N42" s="14"/>
      <c r="O42" s="35"/>
      <c r="P42" s="9"/>
      <c r="Q42" s="33" t="s">
        <v>1074</v>
      </c>
      <c r="R42" s="188"/>
      <c r="S42" s="35">
        <v>20</v>
      </c>
      <c r="T42" s="9" t="s">
        <v>1463</v>
      </c>
      <c r="U42" s="14">
        <f>'UNIT 2 PWR BILL'!U23</f>
        <v>30862489.534999996</v>
      </c>
      <c r="V42" s="14"/>
      <c r="W42" s="35" t="s">
        <v>981</v>
      </c>
      <c r="X42" s="9" t="s">
        <v>765</v>
      </c>
      <c r="Y42" s="185">
        <f>ROUND(((AC50*CU58)/CU59),6)</f>
        <v>0.001055</v>
      </c>
      <c r="Z42" s="14"/>
      <c r="AA42" s="35"/>
      <c r="AD42" s="14"/>
      <c r="AE42" s="35" t="s">
        <v>218</v>
      </c>
      <c r="AF42" s="9" t="s">
        <v>1698</v>
      </c>
      <c r="AG42" s="14">
        <f>ROUND((AG40*AG41),0)</f>
        <v>505120</v>
      </c>
      <c r="AN42" s="35" t="s">
        <v>850</v>
      </c>
      <c r="AO42" s="35" t="s">
        <v>1699</v>
      </c>
      <c r="AP42" s="9" t="s">
        <v>118</v>
      </c>
      <c r="BC42" s="35"/>
      <c r="BF42" s="143"/>
      <c r="BG42" s="14"/>
      <c r="BH42" s="14"/>
      <c r="BI42" s="14"/>
      <c r="BJ42" s="14"/>
      <c r="BK42" s="35" t="s">
        <v>1700</v>
      </c>
      <c r="BL42" s="35">
        <v>119</v>
      </c>
      <c r="BM42" s="9" t="s">
        <v>508</v>
      </c>
      <c r="BZ42" s="35"/>
      <c r="CA42" s="35"/>
      <c r="CC42" s="33" t="s">
        <v>1074</v>
      </c>
      <c r="CE42" s="35"/>
      <c r="CF42" s="35"/>
      <c r="CG42" s="9" t="s">
        <v>764</v>
      </c>
      <c r="CH42" s="14">
        <v>0</v>
      </c>
      <c r="CJ42" s="35"/>
      <c r="CK42" s="35"/>
      <c r="CM42" s="33" t="s">
        <v>1074</v>
      </c>
      <c r="CO42" s="35" t="s">
        <v>218</v>
      </c>
      <c r="CP42" s="201" t="s">
        <v>1284</v>
      </c>
      <c r="CQ42" s="185">
        <f>SUM(AC46:AC48)</f>
        <v>0.01242</v>
      </c>
      <c r="CS42" s="35"/>
      <c r="CX42" s="35">
        <v>920</v>
      </c>
      <c r="CY42" s="9" t="s">
        <v>849</v>
      </c>
      <c r="CZ42" s="14">
        <f>EXPENSES!J28</f>
        <v>36264.06</v>
      </c>
    </row>
    <row r="43" spans="1:104" ht="15">
      <c r="A43" s="9"/>
      <c r="B43" s="9"/>
      <c r="C43" s="79" t="s">
        <v>1074</v>
      </c>
      <c r="E43" s="9"/>
      <c r="F43" s="9"/>
      <c r="G43" s="79" t="s">
        <v>1074</v>
      </c>
      <c r="I43" s="9"/>
      <c r="J43" s="79" t="s">
        <v>1074</v>
      </c>
      <c r="K43" s="79" t="s">
        <v>1074</v>
      </c>
      <c r="L43" s="79" t="s">
        <v>1074</v>
      </c>
      <c r="M43" s="187"/>
      <c r="N43" s="14"/>
      <c r="O43" s="35">
        <v>21</v>
      </c>
      <c r="P43" s="9" t="s">
        <v>1231</v>
      </c>
      <c r="Q43" s="14">
        <f>SUM(((Q39+Q40)-Q41))</f>
        <v>129745731.2</v>
      </c>
      <c r="R43" s="188"/>
      <c r="S43" s="35">
        <v>21</v>
      </c>
      <c r="T43" s="9" t="s">
        <v>1675</v>
      </c>
      <c r="U43" s="14">
        <f>'UNIT 2 PWR BILL'!U24</f>
        <v>15043.85</v>
      </c>
      <c r="V43" s="14"/>
      <c r="W43" s="35" t="s">
        <v>434</v>
      </c>
      <c r="X43" s="9" t="s">
        <v>905</v>
      </c>
      <c r="Y43" s="14">
        <f>SUM((Y41*Y42))</f>
        <v>0</v>
      </c>
      <c r="Z43" s="79"/>
      <c r="AA43" s="35" t="s">
        <v>901</v>
      </c>
      <c r="AB43" s="116" t="s">
        <v>801</v>
      </c>
      <c r="AD43" s="14"/>
      <c r="AE43" s="35" t="s">
        <v>872</v>
      </c>
      <c r="AF43" s="9" t="s">
        <v>916</v>
      </c>
      <c r="AG43" s="202">
        <f>AEGBS!D190</f>
        <v>39.99</v>
      </c>
      <c r="AN43" s="35"/>
      <c r="AO43" s="35"/>
      <c r="AP43" s="9" t="s">
        <v>1593</v>
      </c>
      <c r="AQ43" s="14">
        <f>SUM(CZ58)</f>
        <v>10440.91</v>
      </c>
      <c r="BC43" s="35"/>
      <c r="BF43" s="12"/>
      <c r="BJ43" s="14"/>
      <c r="BK43" s="35"/>
      <c r="BL43" s="35"/>
      <c r="BM43" s="9" t="s">
        <v>386</v>
      </c>
      <c r="BZ43" s="35" t="s">
        <v>778</v>
      </c>
      <c r="CA43" s="35"/>
      <c r="CB43" s="9" t="s">
        <v>1806</v>
      </c>
      <c r="CE43" s="35" t="s">
        <v>1015</v>
      </c>
      <c r="CF43" s="35">
        <v>216</v>
      </c>
      <c r="CG43" s="9" t="s">
        <v>1016</v>
      </c>
      <c r="CH43" s="14">
        <f>AEGBS!D157</f>
        <v>2633319.07</v>
      </c>
      <c r="CJ43" s="35">
        <v>44</v>
      </c>
      <c r="CK43" s="35"/>
      <c r="CL43" s="9" t="s">
        <v>800</v>
      </c>
      <c r="CM43" s="14">
        <f>SUM(CM38:CM41)</f>
        <v>0</v>
      </c>
      <c r="CO43" s="35"/>
      <c r="CS43" s="35"/>
      <c r="CX43" s="35">
        <v>921</v>
      </c>
      <c r="CY43" s="9" t="s">
        <v>1902</v>
      </c>
      <c r="CZ43" s="14">
        <f>EXPENSES!J29</f>
        <v>15987.2</v>
      </c>
    </row>
    <row r="44" spans="1:104" ht="15">
      <c r="A44" s="9"/>
      <c r="B44" s="9"/>
      <c r="C44" s="9"/>
      <c r="E44" s="9"/>
      <c r="I44" s="9" t="s">
        <v>1871</v>
      </c>
      <c r="J44" s="14">
        <f>TRUNC((J41+J42))</f>
        <v>697209</v>
      </c>
      <c r="K44" s="14">
        <f>TRUNC((K41+K42))</f>
        <v>209163</v>
      </c>
      <c r="L44" s="14">
        <f>TRUNC((L41+L42))</f>
        <v>488046</v>
      </c>
      <c r="M44" s="182"/>
      <c r="N44" s="14"/>
      <c r="O44" s="35"/>
      <c r="P44" s="9"/>
      <c r="Q44" s="33" t="s">
        <v>1074</v>
      </c>
      <c r="R44" s="188"/>
      <c r="S44" s="35">
        <v>22</v>
      </c>
      <c r="T44" s="9" t="s">
        <v>1578</v>
      </c>
      <c r="U44" s="14">
        <f>'UNIT 2 PWR BILL'!U25</f>
        <v>0</v>
      </c>
      <c r="V44" s="14"/>
      <c r="W44" s="35" t="s">
        <v>1748</v>
      </c>
      <c r="X44" s="9" t="s">
        <v>704</v>
      </c>
      <c r="Y44" s="195">
        <f>SUM(Q58)</f>
        <v>0.489573</v>
      </c>
      <c r="Z44" s="14"/>
      <c r="AA44" s="35"/>
      <c r="AD44" s="14"/>
      <c r="AE44" s="35"/>
      <c r="AG44" s="79" t="s">
        <v>1074</v>
      </c>
      <c r="AN44" s="35"/>
      <c r="AO44" s="35"/>
      <c r="AQ44" s="33" t="s">
        <v>1074</v>
      </c>
      <c r="BC44" s="35">
        <v>9</v>
      </c>
      <c r="BD44" s="35" t="s">
        <v>455</v>
      </c>
      <c r="BE44" s="9" t="s">
        <v>121</v>
      </c>
      <c r="BF44" s="12"/>
      <c r="BJ44" s="14"/>
      <c r="BK44" s="35"/>
      <c r="BL44" s="35"/>
      <c r="BM44" s="9" t="s">
        <v>1903</v>
      </c>
      <c r="BN44" s="14">
        <v>0</v>
      </c>
      <c r="BZ44" s="35"/>
      <c r="CA44" s="35"/>
      <c r="CB44" s="9" t="s">
        <v>1904</v>
      </c>
      <c r="CC44" s="14">
        <f>SUM(((CC16+CC29)-CC41))</f>
        <v>129745731.2</v>
      </c>
      <c r="CE44" s="35"/>
      <c r="CF44" s="35"/>
      <c r="CH44" s="33" t="s">
        <v>1074</v>
      </c>
      <c r="CJ44" s="35"/>
      <c r="CK44" s="35"/>
      <c r="CM44" s="33" t="s">
        <v>1074</v>
      </c>
      <c r="CO44" s="35" t="s">
        <v>872</v>
      </c>
      <c r="CP44" s="116" t="s">
        <v>1620</v>
      </c>
      <c r="CS44" s="35"/>
      <c r="CX44" s="35">
        <v>922</v>
      </c>
      <c r="CY44" s="9" t="s">
        <v>1621</v>
      </c>
      <c r="CZ44" s="14">
        <f>EXPENSES!J30</f>
        <v>0</v>
      </c>
    </row>
    <row r="45" spans="1:104" ht="15">
      <c r="A45" s="52" t="s">
        <v>1246</v>
      </c>
      <c r="B45" s="9"/>
      <c r="C45" s="9"/>
      <c r="E45" s="52" t="s">
        <v>1246</v>
      </c>
      <c r="F45" s="9"/>
      <c r="I45" s="9"/>
      <c r="J45" s="79" t="s">
        <v>1572</v>
      </c>
      <c r="K45" s="79" t="s">
        <v>1572</v>
      </c>
      <c r="L45" s="79" t="s">
        <v>1572</v>
      </c>
      <c r="M45" s="187"/>
      <c r="N45" s="14"/>
      <c r="O45" s="35">
        <v>22</v>
      </c>
      <c r="P45" s="116" t="s">
        <v>1014</v>
      </c>
      <c r="Q45" s="9"/>
      <c r="R45" s="188"/>
      <c r="S45" s="35">
        <v>23</v>
      </c>
      <c r="T45" s="9" t="s">
        <v>756</v>
      </c>
      <c r="U45" s="14">
        <f>'UNIT 2 PWR BILL'!U26</f>
        <v>0</v>
      </c>
      <c r="V45" s="14"/>
      <c r="W45" s="35" t="s">
        <v>218</v>
      </c>
      <c r="X45" s="9" t="s">
        <v>977</v>
      </c>
      <c r="Y45" s="195">
        <f>ROUND((U35/U56),4)</f>
        <v>1.5548</v>
      </c>
      <c r="Z45" s="79"/>
      <c r="AA45" s="35"/>
      <c r="AD45" s="14"/>
      <c r="AE45" s="35" t="s">
        <v>1210</v>
      </c>
      <c r="AF45" s="9" t="s">
        <v>1751</v>
      </c>
      <c r="AG45" s="14">
        <f>ROUND((AG42*AG43),0)</f>
        <v>20199749</v>
      </c>
      <c r="AN45" s="35" t="s">
        <v>778</v>
      </c>
      <c r="AO45" s="35"/>
      <c r="AP45" s="9" t="s">
        <v>640</v>
      </c>
      <c r="AQ45" s="14">
        <f>SUM((AQ41+AQ43))</f>
        <v>156489.22999999998</v>
      </c>
      <c r="BC45" s="35"/>
      <c r="BE45" s="9" t="s">
        <v>1504</v>
      </c>
      <c r="BF45" s="143">
        <f>IF(INSTRUCTIONS!$L$29="ESTIMATE",TXPG12RV!G51+TXPG12RV!G52,IF(INSTRUCTIONS!$L$29="ACTUAL",TXPG12RV!I51+TXPG12RV!I52,"SEE NOTE"))</f>
        <v>-2199</v>
      </c>
      <c r="BG45" s="14">
        <f>ROUND(SUM((BF45*INSTRUCTIONS!$M$20)),0)</f>
        <v>-660</v>
      </c>
      <c r="BH45" s="14">
        <f>ROUND(BF45-BG45,0)</f>
        <v>-1539</v>
      </c>
      <c r="BI45" s="14"/>
      <c r="BJ45" s="14"/>
      <c r="BK45" s="35"/>
      <c r="BL45" s="35"/>
      <c r="BN45" s="33" t="s">
        <v>1074</v>
      </c>
      <c r="BZ45" s="35"/>
      <c r="CA45" s="35"/>
      <c r="CC45" s="33" t="s">
        <v>1572</v>
      </c>
      <c r="CE45" s="35" t="s">
        <v>12</v>
      </c>
      <c r="CF45" s="35"/>
      <c r="CG45" s="9" t="s">
        <v>1260</v>
      </c>
      <c r="CH45" s="14">
        <f>CH40+CH42+CH43</f>
        <v>2633319.07</v>
      </c>
      <c r="CJ45" s="35">
        <v>45</v>
      </c>
      <c r="CK45" s="35"/>
      <c r="CL45" s="9" t="s">
        <v>1245</v>
      </c>
      <c r="CM45" s="14">
        <f>CH47+CH56+CM27+CM34-CM43</f>
        <v>240959457.57</v>
      </c>
      <c r="CO45" s="35"/>
      <c r="CS45" s="35"/>
      <c r="CX45" s="35">
        <v>923</v>
      </c>
      <c r="CY45" s="9" t="s">
        <v>454</v>
      </c>
      <c r="CZ45" s="14">
        <f>EXPENSES!J31</f>
        <v>4396.49</v>
      </c>
    </row>
    <row r="46" spans="1:104" ht="15">
      <c r="A46" s="9"/>
      <c r="B46" s="9" t="s">
        <v>1502</v>
      </c>
      <c r="C46" s="14">
        <f>BILLDIF!E19</f>
        <v>0</v>
      </c>
      <c r="E46" s="9"/>
      <c r="F46" s="9" t="s">
        <v>1502</v>
      </c>
      <c r="G46" s="14">
        <f>BILLDIF!E13</f>
        <v>0</v>
      </c>
      <c r="I46" s="116" t="s">
        <v>1591</v>
      </c>
      <c r="J46" s="9"/>
      <c r="K46" s="9"/>
      <c r="L46" s="9"/>
      <c r="M46" s="181"/>
      <c r="N46" s="9"/>
      <c r="O46" s="35"/>
      <c r="P46" s="9"/>
      <c r="Q46" s="9"/>
      <c r="R46" s="188"/>
      <c r="S46" s="35">
        <v>24</v>
      </c>
      <c r="T46" s="9" t="s">
        <v>1423</v>
      </c>
      <c r="U46" s="14">
        <f>'UNIT 2 PWR BILL'!U27</f>
        <v>-33411263.950000003</v>
      </c>
      <c r="V46" s="14"/>
      <c r="W46" s="35" t="s">
        <v>872</v>
      </c>
      <c r="X46" s="9" t="s">
        <v>1501</v>
      </c>
      <c r="Y46" s="143">
        <f>ROUND(((Y43*Y44)*Y45),0)</f>
        <v>0</v>
      </c>
      <c r="Z46" s="9"/>
      <c r="AA46" s="35" t="s">
        <v>43</v>
      </c>
      <c r="AB46" s="9" t="s">
        <v>1285</v>
      </c>
      <c r="AC46" s="185">
        <f>ROUND((AC28*AC38),6)</f>
        <v>0.009863</v>
      </c>
      <c r="AD46" s="14"/>
      <c r="AE46" s="35"/>
      <c r="AG46" s="79" t="s">
        <v>1074</v>
      </c>
      <c r="AN46" s="35"/>
      <c r="AO46" s="35"/>
      <c r="AQ46" s="33" t="s">
        <v>1074</v>
      </c>
      <c r="BC46" s="35"/>
      <c r="BE46" s="9" t="s">
        <v>1215</v>
      </c>
      <c r="BF46" s="12"/>
      <c r="BJ46" s="14"/>
      <c r="BK46" s="35" t="s">
        <v>876</v>
      </c>
      <c r="BL46" s="35"/>
      <c r="BM46" s="9" t="s">
        <v>1248</v>
      </c>
      <c r="BN46" s="14">
        <f>BN34+BN36+BN38+BN41+BN44</f>
        <v>457601618.34</v>
      </c>
      <c r="BZ46" s="35"/>
      <c r="CA46" s="35"/>
      <c r="CB46" s="116" t="s">
        <v>693</v>
      </c>
      <c r="CE46" s="35"/>
      <c r="CF46" s="35"/>
      <c r="CH46" s="33" t="s">
        <v>1074</v>
      </c>
      <c r="CJ46" s="35"/>
      <c r="CK46" s="35"/>
      <c r="CM46" s="79" t="s">
        <v>1572</v>
      </c>
      <c r="CO46" s="35" t="s">
        <v>1210</v>
      </c>
      <c r="CP46" s="9" t="s">
        <v>1285</v>
      </c>
      <c r="CQ46" s="185">
        <f>ROUND((CQ28*CQ38),6)</f>
        <v>0.005965</v>
      </c>
      <c r="CS46" s="35"/>
      <c r="CX46" s="35">
        <v>924</v>
      </c>
      <c r="CY46" s="9" t="s">
        <v>1503</v>
      </c>
      <c r="CZ46" s="14">
        <f>EXPENSES!J32</f>
        <v>6295.52</v>
      </c>
    </row>
    <row r="47" spans="1:104" ht="15">
      <c r="A47" s="9"/>
      <c r="B47" s="9" t="s">
        <v>940</v>
      </c>
      <c r="C47" s="14">
        <f>BILLDIF!G19</f>
        <v>0</v>
      </c>
      <c r="E47" s="9"/>
      <c r="F47" s="9" t="s">
        <v>1654</v>
      </c>
      <c r="G47" s="14">
        <f>BILLDIF!G13</f>
        <v>0</v>
      </c>
      <c r="I47" s="9"/>
      <c r="J47" s="9"/>
      <c r="K47" s="9"/>
      <c r="L47" s="9"/>
      <c r="M47" s="181"/>
      <c r="N47" s="9"/>
      <c r="O47" s="35"/>
      <c r="P47" s="9"/>
      <c r="Q47" s="9"/>
      <c r="R47" s="188"/>
      <c r="S47" s="35">
        <v>25</v>
      </c>
      <c r="T47" s="9" t="s">
        <v>205</v>
      </c>
      <c r="U47" s="14">
        <f>'UNIT 2 PWR BILL'!U28</f>
        <v>40696.45</v>
      </c>
      <c r="V47" s="14"/>
      <c r="W47" s="35"/>
      <c r="Y47" s="79" t="s">
        <v>1074</v>
      </c>
      <c r="Z47" s="9"/>
      <c r="AA47" s="35" t="s">
        <v>981</v>
      </c>
      <c r="AB47" s="9" t="s">
        <v>310</v>
      </c>
      <c r="AC47" s="185">
        <f>ROUND((AC29*AC39),6)</f>
        <v>0.002557</v>
      </c>
      <c r="AD47" s="14"/>
      <c r="AE47" s="35" t="s">
        <v>1592</v>
      </c>
      <c r="AF47" s="9" t="s">
        <v>1174</v>
      </c>
      <c r="AG47" s="14">
        <f>IF((AG31&gt;AG45),AG45,AG31)</f>
        <v>20199749</v>
      </c>
      <c r="AN47" s="35"/>
      <c r="AO47" s="35"/>
      <c r="BC47" s="35"/>
      <c r="BF47" s="12"/>
      <c r="BJ47" s="14"/>
      <c r="BK47" s="35"/>
      <c r="BL47" s="35"/>
      <c r="BN47" s="33" t="s">
        <v>1074</v>
      </c>
      <c r="BZ47" s="35"/>
      <c r="CA47" s="35"/>
      <c r="CE47" s="35" t="s">
        <v>938</v>
      </c>
      <c r="CF47" s="35"/>
      <c r="CG47" s="9" t="s">
        <v>939</v>
      </c>
      <c r="CH47" s="14">
        <f>SUM(((CH27+CH36)+CH45))</f>
        <v>95245306.17999999</v>
      </c>
      <c r="CJ47" s="35"/>
      <c r="CK47" s="35"/>
      <c r="CO47" s="35" t="s">
        <v>1592</v>
      </c>
      <c r="CP47" s="9" t="s">
        <v>1286</v>
      </c>
      <c r="CQ47" s="185">
        <f>ROUND((CQ29*CQ39),6)</f>
        <v>0.001546</v>
      </c>
      <c r="CS47" s="35"/>
      <c r="CX47" s="35">
        <v>925</v>
      </c>
      <c r="CY47" s="9" t="s">
        <v>100</v>
      </c>
      <c r="CZ47" s="14">
        <f>EXPENSES!J33</f>
        <v>19605.44</v>
      </c>
    </row>
    <row r="48" spans="1:132" ht="15">
      <c r="A48" s="9"/>
      <c r="B48" s="9" t="s">
        <v>1282</v>
      </c>
      <c r="C48" s="14">
        <f>BILLDIF!I19</f>
        <v>-6806</v>
      </c>
      <c r="E48" s="9"/>
      <c r="F48" s="9" t="s">
        <v>1282</v>
      </c>
      <c r="G48" s="14">
        <f>BILLDIF!I13</f>
        <v>-15879</v>
      </c>
      <c r="I48" s="9" t="s">
        <v>961</v>
      </c>
      <c r="J48" s="14">
        <f>SUM(J30)</f>
        <v>13849575.675</v>
      </c>
      <c r="K48" s="14">
        <f>SUM(K30)</f>
        <v>4154872.48</v>
      </c>
      <c r="L48" s="14">
        <f>SUM(L30)</f>
        <v>9694703.195</v>
      </c>
      <c r="M48" s="182"/>
      <c r="N48" s="14"/>
      <c r="O48" s="35">
        <v>23</v>
      </c>
      <c r="P48" s="9" t="s">
        <v>1500</v>
      </c>
      <c r="Q48" s="14">
        <f>SUM((CC48-Q24))</f>
        <v>1034099.36</v>
      </c>
      <c r="R48" s="188"/>
      <c r="S48" s="35">
        <v>26</v>
      </c>
      <c r="T48" s="43" t="s">
        <v>200</v>
      </c>
      <c r="U48" s="14">
        <f>AEGBS!F195</f>
        <v>1369212.385</v>
      </c>
      <c r="V48" s="14"/>
      <c r="W48" s="35" t="s">
        <v>1210</v>
      </c>
      <c r="X48" s="9" t="s">
        <v>1024</v>
      </c>
      <c r="Y48" s="14">
        <f>ROUND((Y39+Y46),0)</f>
        <v>734660</v>
      </c>
      <c r="Z48" s="14"/>
      <c r="AA48" s="35" t="s">
        <v>434</v>
      </c>
      <c r="AB48" s="9" t="s">
        <v>1662</v>
      </c>
      <c r="AC48" s="185">
        <f>ROUND((AC30*AC40),6)</f>
        <v>0</v>
      </c>
      <c r="AD48" s="14"/>
      <c r="AE48" s="35"/>
      <c r="AG48" s="79" t="s">
        <v>1074</v>
      </c>
      <c r="AN48" s="35" t="s">
        <v>1700</v>
      </c>
      <c r="AO48" s="35"/>
      <c r="AP48" s="9" t="s">
        <v>374</v>
      </c>
      <c r="AQ48" s="14">
        <f>AQ19+AQ21+AQ26+AQ31+AQ33+AQ36+AQ38+AQ45</f>
        <v>10513671.75</v>
      </c>
      <c r="BC48" s="35">
        <v>10</v>
      </c>
      <c r="BD48" s="35" t="s">
        <v>455</v>
      </c>
      <c r="BE48" s="9" t="s">
        <v>121</v>
      </c>
      <c r="BF48" s="12"/>
      <c r="BJ48" s="14"/>
      <c r="BK48" s="35" t="s">
        <v>375</v>
      </c>
      <c r="BL48" s="35"/>
      <c r="BM48" s="116" t="s">
        <v>974</v>
      </c>
      <c r="BZ48" s="35" t="s">
        <v>1700</v>
      </c>
      <c r="CA48" s="35">
        <v>105</v>
      </c>
      <c r="CB48" s="9" t="s">
        <v>135</v>
      </c>
      <c r="CC48" s="14">
        <f>AEGBS!D147</f>
        <v>1034099.36</v>
      </c>
      <c r="CE48" s="35"/>
      <c r="CF48" s="35"/>
      <c r="CH48" s="33" t="s">
        <v>1074</v>
      </c>
      <c r="CJ48" s="35"/>
      <c r="CK48" s="35"/>
      <c r="CO48" s="35" t="s">
        <v>1025</v>
      </c>
      <c r="CP48" s="9" t="s">
        <v>572</v>
      </c>
      <c r="CQ48" s="185">
        <f>ROUND((CQ30*CQ40),6)</f>
        <v>0</v>
      </c>
      <c r="CS48" s="35"/>
      <c r="CX48" s="35">
        <v>926</v>
      </c>
      <c r="CY48" s="9" t="s">
        <v>960</v>
      </c>
      <c r="CZ48" s="14">
        <f>EXPENSES!J34</f>
        <v>60868.38</v>
      </c>
      <c r="DZ48" s="189"/>
      <c r="EB48" s="189"/>
    </row>
    <row r="49" spans="1:104" ht="15" customHeight="1">
      <c r="A49" s="9"/>
      <c r="B49" s="9"/>
      <c r="C49" s="13"/>
      <c r="E49" s="9"/>
      <c r="F49" s="9"/>
      <c r="G49" s="13"/>
      <c r="I49" s="9" t="s">
        <v>227</v>
      </c>
      <c r="J49" s="14">
        <f>SUM(((J22+J23)+J25))</f>
        <v>10513671.75</v>
      </c>
      <c r="K49" s="14">
        <f>SUM(((K22+K23)+K25))</f>
        <v>3154101.48</v>
      </c>
      <c r="L49" s="14">
        <f>SUM(((L22+L23)+L25))</f>
        <v>7359570.27</v>
      </c>
      <c r="M49" s="182"/>
      <c r="N49" s="14"/>
      <c r="O49" s="35">
        <v>24</v>
      </c>
      <c r="P49" s="9" t="s">
        <v>937</v>
      </c>
      <c r="Q49" s="14">
        <f>SUM((CC50-Q25))</f>
        <v>2548422.87</v>
      </c>
      <c r="R49" s="188"/>
      <c r="S49" s="35">
        <v>27</v>
      </c>
      <c r="T49" s="43" t="s">
        <v>199</v>
      </c>
      <c r="U49" s="14">
        <f>AEGBS!F196</f>
        <v>2313239.125</v>
      </c>
      <c r="V49" s="14"/>
      <c r="W49" s="35"/>
      <c r="Y49" s="79" t="s">
        <v>1572</v>
      </c>
      <c r="Z49" s="14"/>
      <c r="AA49" s="35"/>
      <c r="AC49" s="79" t="s">
        <v>1074</v>
      </c>
      <c r="AD49" s="14"/>
      <c r="AE49" s="35" t="s">
        <v>1025</v>
      </c>
      <c r="AF49" s="9" t="s">
        <v>962</v>
      </c>
      <c r="AG49" s="14">
        <f>ROUND((AG31-AG47),0)</f>
        <v>23636077459</v>
      </c>
      <c r="AN49" s="35"/>
      <c r="AO49" s="35"/>
      <c r="AQ49" s="79" t="s">
        <v>1572</v>
      </c>
      <c r="BC49" s="35"/>
      <c r="BE49" s="9" t="s">
        <v>416</v>
      </c>
      <c r="BF49" s="143">
        <f>IF(INSTRUCTIONS!$L$29="ESTIMATE",TXPG12RV!G55+TXPG12RV!G56,IF(INSTRUCTIONS!$L$29="ACTUAL",TXPG12RV!I55+TXPG12RV!I56,"SEE NOTE"))</f>
        <v>-50.5</v>
      </c>
      <c r="BG49" s="14">
        <f>ROUND(SUM((BF49*INSTRUCTIONS!$M$20)),0)</f>
        <v>-15</v>
      </c>
      <c r="BH49" s="14">
        <f>ROUND(BF49-BG49,0)</f>
        <v>-36</v>
      </c>
      <c r="BI49" s="14"/>
      <c r="BJ49" s="14"/>
      <c r="BK49" s="35"/>
      <c r="BL49" s="35"/>
      <c r="BZ49" s="35"/>
      <c r="CA49" s="35"/>
      <c r="CE49" s="35" t="s">
        <v>963</v>
      </c>
      <c r="CF49" s="35"/>
      <c r="CG49" s="116" t="s">
        <v>1614</v>
      </c>
      <c r="CJ49" s="35"/>
      <c r="CK49" s="35"/>
      <c r="CO49" s="35" t="s">
        <v>1615</v>
      </c>
      <c r="CP49" s="9" t="s">
        <v>1028</v>
      </c>
      <c r="CQ49" s="185">
        <f>ROUND((CQ31*CQ41),6)</f>
        <v>0.048065</v>
      </c>
      <c r="CS49" s="35"/>
      <c r="CX49" s="35">
        <v>927</v>
      </c>
      <c r="CY49" s="9" t="s">
        <v>1616</v>
      </c>
      <c r="CZ49" s="14">
        <v>0</v>
      </c>
    </row>
    <row r="50" spans="1:104" ht="15">
      <c r="A50" s="9"/>
      <c r="B50" s="9"/>
      <c r="C50" s="33" t="s">
        <v>1074</v>
      </c>
      <c r="E50" s="9"/>
      <c r="F50" s="11"/>
      <c r="G50" s="33" t="s">
        <v>1074</v>
      </c>
      <c r="I50" s="9" t="s">
        <v>451</v>
      </c>
      <c r="J50" s="14">
        <f aca="true" t="shared" si="2" ref="J50:L51">SUM(J26)</f>
        <v>1678914.6049999997</v>
      </c>
      <c r="K50" s="14">
        <f t="shared" si="2"/>
        <v>503674</v>
      </c>
      <c r="L50" s="14">
        <f t="shared" si="2"/>
        <v>1175240.6049999997</v>
      </c>
      <c r="M50" s="182"/>
      <c r="N50" s="14"/>
      <c r="O50" s="35">
        <v>25</v>
      </c>
      <c r="P50" s="9" t="s">
        <v>1019</v>
      </c>
      <c r="Q50" s="14">
        <f>SUM(CC52)</f>
        <v>-3969805</v>
      </c>
      <c r="R50" s="188"/>
      <c r="S50" s="35">
        <v>28</v>
      </c>
      <c r="T50" s="9" t="s">
        <v>992</v>
      </c>
      <c r="U50" s="14">
        <f>'UNIT 2 PWR BILL'!U31</f>
        <v>42337966</v>
      </c>
      <c r="V50" s="14"/>
      <c r="W50" s="35"/>
      <c r="Z50" s="14"/>
      <c r="AA50" s="35" t="s">
        <v>1748</v>
      </c>
      <c r="AB50" s="9" t="s">
        <v>877</v>
      </c>
      <c r="AC50" s="185">
        <f>SUM(AC46:AC48)</f>
        <v>0.01242</v>
      </c>
      <c r="AD50" s="14"/>
      <c r="AE50" s="35"/>
      <c r="AG50" s="79" t="s">
        <v>1572</v>
      </c>
      <c r="AN50" s="35"/>
      <c r="AO50" s="35"/>
      <c r="BC50" s="35"/>
      <c r="BF50" s="12"/>
      <c r="BJ50" s="14"/>
      <c r="BK50" s="35" t="s">
        <v>228</v>
      </c>
      <c r="BL50" s="35">
        <v>151</v>
      </c>
      <c r="BM50" s="9" t="s">
        <v>1142</v>
      </c>
      <c r="BN50" s="14">
        <f>SUM((AG17+AG19))</f>
        <v>21591268.2</v>
      </c>
      <c r="BZ50" s="35" t="s">
        <v>876</v>
      </c>
      <c r="CA50" s="35">
        <v>186</v>
      </c>
      <c r="CB50" s="9" t="s">
        <v>229</v>
      </c>
      <c r="CC50" s="14">
        <f>AEGBS!D151</f>
        <v>2548422.87</v>
      </c>
      <c r="CE50" s="35"/>
      <c r="CF50" s="35"/>
      <c r="CJ50" s="35"/>
      <c r="CK50" s="35"/>
      <c r="CO50" s="35" t="s">
        <v>1213</v>
      </c>
      <c r="CP50" s="9" t="s">
        <v>953</v>
      </c>
      <c r="CQ50" s="185">
        <f>ROUND((CQ32*CQ42),6)</f>
        <v>0</v>
      </c>
      <c r="CS50" s="35"/>
      <c r="CX50" s="35">
        <v>928</v>
      </c>
      <c r="CY50" s="9" t="s">
        <v>904</v>
      </c>
      <c r="CZ50" s="14">
        <f>EXPENSES!J35</f>
        <v>0</v>
      </c>
    </row>
    <row r="51" spans="1:104" ht="15">
      <c r="A51" s="9"/>
      <c r="B51" s="35" t="s">
        <v>1212</v>
      </c>
      <c r="C51" s="14">
        <f>SUM(C46:C48)</f>
        <v>-6806</v>
      </c>
      <c r="E51" s="9"/>
      <c r="F51" s="35" t="s">
        <v>1212</v>
      </c>
      <c r="G51" s="14">
        <f>SUM(G46:G48)</f>
        <v>-15879</v>
      </c>
      <c r="I51" s="9" t="s">
        <v>964</v>
      </c>
      <c r="J51" s="14">
        <f t="shared" si="2"/>
        <v>98859.32</v>
      </c>
      <c r="K51" s="14">
        <f t="shared" si="2"/>
        <v>29658</v>
      </c>
      <c r="L51" s="14">
        <f t="shared" si="2"/>
        <v>69201.32</v>
      </c>
      <c r="M51" s="182"/>
      <c r="N51" s="14"/>
      <c r="O51" s="35"/>
      <c r="P51" s="9"/>
      <c r="Q51" s="33" t="s">
        <v>1074</v>
      </c>
      <c r="R51" s="188"/>
      <c r="S51" s="35">
        <v>29</v>
      </c>
      <c r="T51" s="9" t="s">
        <v>1585</v>
      </c>
      <c r="U51" s="14">
        <f>'UNIT 2 PWR BILL'!U32</f>
        <v>-821045.7523199975</v>
      </c>
      <c r="V51" s="14"/>
      <c r="W51" s="35" t="s">
        <v>1592</v>
      </c>
      <c r="X51" s="116" t="s">
        <v>1227</v>
      </c>
      <c r="Z51" s="14"/>
      <c r="AA51" s="35"/>
      <c r="AC51" s="79" t="s">
        <v>1572</v>
      </c>
      <c r="AD51" s="14"/>
      <c r="AE51" s="35"/>
      <c r="AN51" s="35"/>
      <c r="AO51" s="35"/>
      <c r="BC51" s="35">
        <v>11</v>
      </c>
      <c r="BD51" s="35" t="s">
        <v>455</v>
      </c>
      <c r="BE51" s="9" t="s">
        <v>121</v>
      </c>
      <c r="BF51" s="12"/>
      <c r="BJ51" s="14"/>
      <c r="BK51" s="35" t="s">
        <v>1224</v>
      </c>
      <c r="BL51" s="35">
        <v>152</v>
      </c>
      <c r="BM51" s="9" t="s">
        <v>330</v>
      </c>
      <c r="BN51" s="14">
        <f>SUM(AG18)</f>
        <v>950306.81</v>
      </c>
      <c r="BZ51" s="35"/>
      <c r="CA51" s="35"/>
      <c r="CE51" s="35" t="s">
        <v>1225</v>
      </c>
      <c r="CF51" s="35">
        <v>204</v>
      </c>
      <c r="CG51" s="9" t="s">
        <v>1226</v>
      </c>
      <c r="CH51" s="14">
        <v>0</v>
      </c>
      <c r="CJ51" s="35"/>
      <c r="CO51" s="35"/>
      <c r="CQ51" s="79" t="s">
        <v>1074</v>
      </c>
      <c r="CS51" s="35"/>
      <c r="CX51" s="35">
        <v>929</v>
      </c>
      <c r="CY51" s="9" t="s">
        <v>1259</v>
      </c>
      <c r="CZ51" s="14">
        <f>EXPENSES!J36</f>
        <v>0</v>
      </c>
    </row>
    <row r="52" spans="1:104" ht="15">
      <c r="A52" s="9"/>
      <c r="B52" s="9"/>
      <c r="C52" s="33" t="s">
        <v>1074</v>
      </c>
      <c r="E52" s="9"/>
      <c r="F52" s="9"/>
      <c r="G52" s="33" t="s">
        <v>1074</v>
      </c>
      <c r="I52" s="9" t="s">
        <v>799</v>
      </c>
      <c r="J52" s="14">
        <f>ROUND((Y46+((Y58*Y62)*Y63)),0)</f>
        <v>135011</v>
      </c>
      <c r="K52" s="14">
        <f>ROUND((J52*INSTRUCTIONS!$M$20),0)</f>
        <v>40503</v>
      </c>
      <c r="L52" s="14">
        <f>SUM((J52-K52))</f>
        <v>94508</v>
      </c>
      <c r="M52" s="182"/>
      <c r="N52" s="14"/>
      <c r="O52" s="35">
        <v>26</v>
      </c>
      <c r="P52" s="9" t="s">
        <v>76</v>
      </c>
      <c r="Q52" s="14">
        <f>SUM(Q48:Q50)</f>
        <v>-387282.77</v>
      </c>
      <c r="R52" s="188"/>
      <c r="S52" s="35">
        <v>30</v>
      </c>
      <c r="T52" s="9" t="s">
        <v>815</v>
      </c>
      <c r="U52" s="14">
        <f>'UNIT 2 PWR BILL'!U33</f>
        <v>14939091</v>
      </c>
      <c r="V52" s="14"/>
      <c r="W52" s="35"/>
      <c r="Z52" s="14"/>
      <c r="AA52" s="35"/>
      <c r="AD52" s="14"/>
      <c r="AE52" s="35" t="s">
        <v>1615</v>
      </c>
      <c r="AF52" s="116" t="s">
        <v>965</v>
      </c>
      <c r="AN52" s="35"/>
      <c r="AO52" s="35"/>
      <c r="BC52" s="35"/>
      <c r="BE52" s="9" t="s">
        <v>78</v>
      </c>
      <c r="BF52" s="143">
        <f>IF(INSTRUCTIONS!$L$29="ESTIMATE",TXPG12RV!G75,IF(INSTRUCTIONS!$L$29="ACTUAL",TXPG12RV!I75,"SEE NOTE"))</f>
        <v>265776.69</v>
      </c>
      <c r="BG52" s="14">
        <f>ROUND(SUM((BF52*INSTRUCTIONS!$M$20)),0)</f>
        <v>79733</v>
      </c>
      <c r="BH52" s="14">
        <f>ROUND(BF52-BG52,0)</f>
        <v>186044</v>
      </c>
      <c r="BI52" s="14"/>
      <c r="BJ52" s="14"/>
      <c r="BK52" s="35" t="s">
        <v>966</v>
      </c>
      <c r="BL52" s="35">
        <v>153</v>
      </c>
      <c r="BM52" s="9" t="s">
        <v>1673</v>
      </c>
      <c r="BN52" s="14">
        <v>0</v>
      </c>
      <c r="BZ52" s="35" t="s">
        <v>375</v>
      </c>
      <c r="CA52" s="35" t="s">
        <v>967</v>
      </c>
      <c r="CB52" s="9" t="s">
        <v>828</v>
      </c>
      <c r="CC52" s="14">
        <f>SUM(CC62)</f>
        <v>-3969805</v>
      </c>
      <c r="CE52" s="35" t="s">
        <v>830</v>
      </c>
      <c r="CF52" s="35">
        <v>205</v>
      </c>
      <c r="CG52" s="9" t="s">
        <v>74</v>
      </c>
      <c r="CH52" s="14">
        <v>0</v>
      </c>
      <c r="CO52" s="35" t="s">
        <v>75</v>
      </c>
      <c r="CP52" s="9" t="s">
        <v>875</v>
      </c>
      <c r="CQ52" s="185">
        <f>(SUM(CQ46:CQ49))-CQ50</f>
        <v>0.055576</v>
      </c>
      <c r="CS52" s="35"/>
      <c r="CX52" s="35">
        <v>930</v>
      </c>
      <c r="CY52" s="9" t="s">
        <v>1531</v>
      </c>
      <c r="CZ52" s="14">
        <f>EXPENSES!J37</f>
        <v>1922.3700000000001</v>
      </c>
    </row>
    <row r="53" spans="1:104" ht="19.5" customHeight="1">
      <c r="A53" s="9"/>
      <c r="B53" s="9"/>
      <c r="C53" s="33"/>
      <c r="E53" s="9"/>
      <c r="F53" s="9"/>
      <c r="G53" s="33"/>
      <c r="I53" s="203" t="s">
        <v>1506</v>
      </c>
      <c r="J53" s="14">
        <f>SUM(J24)</f>
        <v>-8750</v>
      </c>
      <c r="K53" s="14">
        <f>SUM(K24)</f>
        <v>-2625</v>
      </c>
      <c r="L53" s="14">
        <f>SUM(L24)</f>
        <v>-6125</v>
      </c>
      <c r="M53" s="182"/>
      <c r="N53" s="14"/>
      <c r="O53" s="35"/>
      <c r="P53" s="9"/>
      <c r="Q53" s="33" t="s">
        <v>1074</v>
      </c>
      <c r="R53" s="188"/>
      <c r="S53" s="35"/>
      <c r="U53" s="33" t="s">
        <v>1074</v>
      </c>
      <c r="V53" s="14"/>
      <c r="W53" s="35" t="s">
        <v>1025</v>
      </c>
      <c r="X53" s="9" t="s">
        <v>1311</v>
      </c>
      <c r="Y53" s="14">
        <f>ROUND((((CM27*AC38)*CU58)/CU59),0)</f>
        <v>122064</v>
      </c>
      <c r="Z53" s="14"/>
      <c r="AA53" s="35"/>
      <c r="AE53" s="35"/>
      <c r="AO53" s="35"/>
      <c r="BC53" s="35"/>
      <c r="BF53" s="79" t="s">
        <v>1074</v>
      </c>
      <c r="BG53" s="79" t="s">
        <v>1074</v>
      </c>
      <c r="BH53" s="79" t="s">
        <v>1074</v>
      </c>
      <c r="BI53" s="79"/>
      <c r="BJ53" s="14"/>
      <c r="BK53" s="35" t="s">
        <v>1619</v>
      </c>
      <c r="BL53" s="35">
        <v>154</v>
      </c>
      <c r="BM53" s="9" t="s">
        <v>1802</v>
      </c>
      <c r="BN53" s="14">
        <f>SUM(AG20)</f>
        <v>12290719.11</v>
      </c>
      <c r="BZ53" s="35"/>
      <c r="CA53" s="35"/>
      <c r="CE53" s="35" t="s">
        <v>387</v>
      </c>
      <c r="CF53" s="35">
        <v>206</v>
      </c>
      <c r="CG53" s="9" t="s">
        <v>1257</v>
      </c>
      <c r="CO53" s="35"/>
      <c r="CQ53" s="79" t="s">
        <v>1572</v>
      </c>
      <c r="CS53" s="35"/>
      <c r="CT53" s="32"/>
      <c r="CU53" s="37" t="s">
        <v>366</v>
      </c>
      <c r="CX53" s="35">
        <v>931</v>
      </c>
      <c r="CY53" s="9" t="s">
        <v>1630</v>
      </c>
      <c r="CZ53" s="14">
        <f>EXPENSES!J38</f>
        <v>708.86</v>
      </c>
    </row>
    <row r="54" spans="1:104" ht="15">
      <c r="A54" s="9"/>
      <c r="B54" s="9"/>
      <c r="C54" s="33"/>
      <c r="E54" s="9"/>
      <c r="F54" s="9"/>
      <c r="G54" s="33"/>
      <c r="I54" s="9"/>
      <c r="J54" s="79" t="s">
        <v>1074</v>
      </c>
      <c r="K54" s="79" t="s">
        <v>1074</v>
      </c>
      <c r="L54" s="79" t="s">
        <v>1074</v>
      </c>
      <c r="M54" s="187"/>
      <c r="N54" s="14"/>
      <c r="O54" s="35"/>
      <c r="P54" s="9"/>
      <c r="Q54" s="9"/>
      <c r="R54" s="188"/>
      <c r="S54" s="35">
        <v>31</v>
      </c>
      <c r="T54" s="9" t="s">
        <v>1188</v>
      </c>
      <c r="U54" s="14">
        <f>SUM(((((((((((U40-U41)+U42)+U43)+U44)+U45)+U46)+U47)-U50)-U51)-U52))+U48-U49</f>
        <v>-68834357.25268003</v>
      </c>
      <c r="V54" s="14"/>
      <c r="W54" s="35" t="s">
        <v>1615</v>
      </c>
      <c r="X54" s="203" t="s">
        <v>1886</v>
      </c>
      <c r="Y54" s="14">
        <f>EXPENSES!F81</f>
        <v>55304.5</v>
      </c>
      <c r="Z54" s="14"/>
      <c r="AA54" s="35"/>
      <c r="AE54" s="35" t="s">
        <v>1213</v>
      </c>
      <c r="AF54" s="9" t="s">
        <v>193</v>
      </c>
      <c r="AG54" s="14">
        <v>162424434</v>
      </c>
      <c r="AO54" s="35"/>
      <c r="BC54" s="35"/>
      <c r="BD54" s="35"/>
      <c r="BJ54" s="14"/>
      <c r="BK54" s="35" t="s">
        <v>89</v>
      </c>
      <c r="BL54" s="35">
        <v>155</v>
      </c>
      <c r="BM54" s="9" t="s">
        <v>754</v>
      </c>
      <c r="BN54" s="14">
        <f>SUM(AG21)</f>
        <v>0</v>
      </c>
      <c r="BZ54" s="35" t="s">
        <v>228</v>
      </c>
      <c r="CA54" s="35"/>
      <c r="CB54" s="9" t="s">
        <v>90</v>
      </c>
      <c r="CC54" s="33" t="s">
        <v>1074</v>
      </c>
      <c r="CE54" s="35"/>
      <c r="CF54" s="35"/>
      <c r="CG54" s="9" t="s">
        <v>91</v>
      </c>
      <c r="CH54" s="14">
        <v>0</v>
      </c>
      <c r="CO54" s="35"/>
      <c r="CT54" s="35" t="s">
        <v>158</v>
      </c>
      <c r="CU54" s="14">
        <f>J22-K22-L22</f>
        <v>0</v>
      </c>
      <c r="CX54" s="35">
        <v>933</v>
      </c>
      <c r="CY54" s="9" t="s">
        <v>159</v>
      </c>
      <c r="CZ54" s="14">
        <v>0</v>
      </c>
    </row>
    <row r="55" spans="1:102" ht="15">
      <c r="A55" s="9"/>
      <c r="B55" s="9"/>
      <c r="C55" s="14"/>
      <c r="E55" s="9"/>
      <c r="F55" s="9"/>
      <c r="G55" s="14"/>
      <c r="I55" s="9" t="s">
        <v>785</v>
      </c>
      <c r="J55" s="14">
        <f>TRUNC(J48-(SUM(J49:J53)))</f>
        <v>1431869</v>
      </c>
      <c r="K55" s="14">
        <f>TRUNC(K48-(SUM(K49:K53)))</f>
        <v>429561</v>
      </c>
      <c r="L55" s="14">
        <f>TRUNC(L48-(SUM(L49:L53)))</f>
        <v>1002308</v>
      </c>
      <c r="M55" s="182"/>
      <c r="N55" s="14"/>
      <c r="O55" s="35">
        <v>27</v>
      </c>
      <c r="P55" s="9" t="s">
        <v>201</v>
      </c>
      <c r="Q55" s="14">
        <f>SUM(((Q34+Q43)+Q52))</f>
        <v>253431834.77299994</v>
      </c>
      <c r="R55" s="188"/>
      <c r="S55" s="35"/>
      <c r="U55" s="33" t="s">
        <v>1074</v>
      </c>
      <c r="V55" s="14"/>
      <c r="W55" s="35" t="s">
        <v>1213</v>
      </c>
      <c r="X55" s="203" t="s">
        <v>211</v>
      </c>
      <c r="Y55" s="14">
        <f>EXPENSES!F82</f>
        <v>0</v>
      </c>
      <c r="Z55" s="14"/>
      <c r="AA55" s="35"/>
      <c r="AE55" s="35" t="s">
        <v>75</v>
      </c>
      <c r="AF55" s="9" t="s">
        <v>133</v>
      </c>
      <c r="AG55" s="14">
        <f>SUM((((AG54*CQ59)/CU59)*CU58))</f>
        <v>1123695.3992615836</v>
      </c>
      <c r="BC55" s="35">
        <v>12</v>
      </c>
      <c r="BD55" s="35" t="s">
        <v>632</v>
      </c>
      <c r="BE55" s="9" t="s">
        <v>1076</v>
      </c>
      <c r="BF55" s="14">
        <f>BF35+BF38+BF42+BF45+BF49+BF52</f>
        <v>289523.19</v>
      </c>
      <c r="BG55" s="14">
        <f>BG35+BG38+BG42+BG45+BG49+BG52</f>
        <v>86857</v>
      </c>
      <c r="BH55" s="14">
        <f>BH35+BH38+BH42+BH45+BH49+BH52</f>
        <v>202666</v>
      </c>
      <c r="BI55" s="14"/>
      <c r="BJ55" s="14"/>
      <c r="BK55" s="35" t="s">
        <v>134</v>
      </c>
      <c r="BL55" s="35">
        <v>156</v>
      </c>
      <c r="BM55" s="9" t="s">
        <v>160</v>
      </c>
      <c r="BN55" s="14">
        <v>0</v>
      </c>
      <c r="BZ55" s="35"/>
      <c r="CA55" s="35"/>
      <c r="CB55" s="9" t="s">
        <v>623</v>
      </c>
      <c r="CC55" s="14">
        <f>CC48+CC50+CC52</f>
        <v>-387282.77</v>
      </c>
      <c r="CE55" s="35"/>
      <c r="CF55" s="35"/>
      <c r="CH55" s="33" t="s">
        <v>1074</v>
      </c>
      <c r="CO55" s="35" t="s">
        <v>162</v>
      </c>
      <c r="CP55" s="9" t="s">
        <v>783</v>
      </c>
      <c r="CQ55" s="185">
        <f>SUM(((CQ46+CQ47)-CQ50))</f>
        <v>0.007511</v>
      </c>
      <c r="CT55" s="35" t="s">
        <v>784</v>
      </c>
      <c r="CU55" s="33" t="s">
        <v>1074</v>
      </c>
      <c r="CX55" s="35"/>
    </row>
    <row r="56" spans="1:104" ht="15">
      <c r="A56" s="9"/>
      <c r="B56" s="9"/>
      <c r="C56" s="58"/>
      <c r="E56" s="9"/>
      <c r="F56" s="9"/>
      <c r="G56" s="14"/>
      <c r="I56" s="9" t="s">
        <v>982</v>
      </c>
      <c r="J56" s="14">
        <f>SUM(J35)</f>
        <v>-267050.87999999995</v>
      </c>
      <c r="K56" s="14">
        <f>SUM(K35)</f>
        <v>-80115</v>
      </c>
      <c r="L56" s="14">
        <f>SUM(L35)</f>
        <v>-186936</v>
      </c>
      <c r="M56" s="182"/>
      <c r="N56" s="14"/>
      <c r="O56" s="35"/>
      <c r="P56" s="9"/>
      <c r="Q56" s="33" t="s">
        <v>1572</v>
      </c>
      <c r="R56" s="188"/>
      <c r="S56" s="35">
        <v>32</v>
      </c>
      <c r="T56" s="9" t="s">
        <v>829</v>
      </c>
      <c r="U56" s="14">
        <f>SUM((U35+U54))</f>
        <v>124073386.34299994</v>
      </c>
      <c r="V56" s="14"/>
      <c r="W56" s="35" t="s">
        <v>75</v>
      </c>
      <c r="X56" s="9" t="s">
        <v>1868</v>
      </c>
      <c r="Y56" s="14">
        <f>ROUND((((Y24*AC50)*CU58)/CU59),0)</f>
        <v>0</v>
      </c>
      <c r="Z56" s="14"/>
      <c r="AA56" s="35"/>
      <c r="AE56" s="35" t="s">
        <v>162</v>
      </c>
      <c r="AF56" s="9" t="s">
        <v>452</v>
      </c>
      <c r="AG56" s="14">
        <f>IF(AG69&gt;0,AG69,0)</f>
        <v>0</v>
      </c>
      <c r="BC56" s="35"/>
      <c r="BF56" s="79" t="s">
        <v>1572</v>
      </c>
      <c r="BG56" s="79" t="s">
        <v>1572</v>
      </c>
      <c r="BH56" s="79" t="s">
        <v>1572</v>
      </c>
      <c r="BI56" s="79"/>
      <c r="BJ56" s="14"/>
      <c r="BK56" s="35" t="s">
        <v>453</v>
      </c>
      <c r="BL56" s="35">
        <v>163</v>
      </c>
      <c r="BM56" s="9" t="s">
        <v>1898</v>
      </c>
      <c r="BN56" s="14">
        <f>SUM(AG22)</f>
        <v>0</v>
      </c>
      <c r="CC56" s="33" t="s">
        <v>1572</v>
      </c>
      <c r="CE56" s="35" t="s">
        <v>173</v>
      </c>
      <c r="CF56" s="35"/>
      <c r="CG56" s="9" t="s">
        <v>114</v>
      </c>
      <c r="CH56" s="14">
        <f>CH51+CH52+CH54</f>
        <v>0</v>
      </c>
      <c r="CO56" s="35"/>
      <c r="CP56" s="9" t="s">
        <v>63</v>
      </c>
      <c r="CU56" s="37" t="s">
        <v>1557</v>
      </c>
      <c r="CX56" s="35"/>
      <c r="CY56" s="9" t="s">
        <v>1869</v>
      </c>
      <c r="CZ56" s="14">
        <f>SUM(CZ42:CZ54)</f>
        <v>146048.31999999998</v>
      </c>
    </row>
    <row r="57" spans="1:102" ht="15">
      <c r="A57" s="9"/>
      <c r="B57" s="9"/>
      <c r="C57" s="33"/>
      <c r="E57" s="9"/>
      <c r="F57" s="9"/>
      <c r="G57" s="33"/>
      <c r="I57" s="9"/>
      <c r="J57" s="79" t="s">
        <v>1074</v>
      </c>
      <c r="K57" s="79" t="s">
        <v>1074</v>
      </c>
      <c r="L57" s="79" t="s">
        <v>1074</v>
      </c>
      <c r="M57" s="187"/>
      <c r="N57" s="14"/>
      <c r="O57" s="35"/>
      <c r="P57" s="9"/>
      <c r="Q57" s="9"/>
      <c r="R57" s="188"/>
      <c r="S57" s="35"/>
      <c r="U57" s="33" t="s">
        <v>1572</v>
      </c>
      <c r="V57" s="14"/>
      <c r="W57" s="35"/>
      <c r="Y57" s="33" t="s">
        <v>1074</v>
      </c>
      <c r="Z57" s="14"/>
      <c r="AE57" s="35" t="s">
        <v>1870</v>
      </c>
      <c r="AF57" s="9" t="s">
        <v>104</v>
      </c>
      <c r="AG57" s="14">
        <f>IF(AG69&lt;0,-1*AG69,0)</f>
        <v>25858</v>
      </c>
      <c r="BC57" s="35"/>
      <c r="BD57" s="52" t="s">
        <v>1075</v>
      </c>
      <c r="BJ57" s="14"/>
      <c r="BK57" s="35" t="s">
        <v>105</v>
      </c>
      <c r="BL57" s="35"/>
      <c r="BM57" s="9" t="s">
        <v>1656</v>
      </c>
      <c r="BN57" s="33" t="s">
        <v>1074</v>
      </c>
      <c r="CH57" s="33" t="s">
        <v>1074</v>
      </c>
      <c r="CO57" s="35" t="s">
        <v>1870</v>
      </c>
      <c r="CP57" s="9" t="s">
        <v>1175</v>
      </c>
      <c r="CQ57" s="185">
        <f>ROUND((CQ49/0.65),6)</f>
        <v>0.073946</v>
      </c>
      <c r="CX57" s="35"/>
    </row>
    <row r="58" spans="1:104" ht="15">
      <c r="A58" s="9"/>
      <c r="B58" s="35"/>
      <c r="C58" s="14"/>
      <c r="E58" s="9"/>
      <c r="F58" s="35"/>
      <c r="G58" s="14"/>
      <c r="I58" s="9" t="s">
        <v>527</v>
      </c>
      <c r="J58" s="14">
        <f>SUM((J55+J56))</f>
        <v>1164818.12</v>
      </c>
      <c r="K58" s="14">
        <f>SUM((K55+K56))</f>
        <v>349446</v>
      </c>
      <c r="L58" s="14">
        <f>SUM((L55+L56))</f>
        <v>815372</v>
      </c>
      <c r="M58" s="182"/>
      <c r="N58" s="14"/>
      <c r="O58" s="35">
        <v>28</v>
      </c>
      <c r="P58" s="9" t="s">
        <v>202</v>
      </c>
      <c r="Q58" s="185">
        <f>ROUND((Q34/Q55),6)</f>
        <v>0.489573</v>
      </c>
      <c r="R58" s="188"/>
      <c r="S58" s="35"/>
      <c r="V58" s="14"/>
      <c r="W58" s="35" t="s">
        <v>162</v>
      </c>
      <c r="X58" s="9" t="s">
        <v>1803</v>
      </c>
      <c r="Y58" s="14">
        <f>SUM((((Y53+Y54)+Y55)-Y56))</f>
        <v>177368.5</v>
      </c>
      <c r="Z58" s="14"/>
      <c r="AE58" s="35"/>
      <c r="AG58" s="79" t="s">
        <v>1074</v>
      </c>
      <c r="BD58" s="52" t="s">
        <v>1215</v>
      </c>
      <c r="BJ58" s="14"/>
      <c r="BK58" s="35"/>
      <c r="BL58" s="35"/>
      <c r="BM58" s="9" t="s">
        <v>34</v>
      </c>
      <c r="BN58" s="14">
        <f>SUM(BN50:BN56)</f>
        <v>34832294.12</v>
      </c>
      <c r="CA58" s="52" t="s">
        <v>35</v>
      </c>
      <c r="CC58" s="9" t="s">
        <v>1557</v>
      </c>
      <c r="CO58" s="35"/>
      <c r="CP58" s="9" t="s">
        <v>64</v>
      </c>
      <c r="CQ58" s="79" t="s">
        <v>1074</v>
      </c>
      <c r="CT58" s="35" t="s">
        <v>1349</v>
      </c>
      <c r="CU58" s="9">
        <v>31</v>
      </c>
      <c r="CX58" s="35">
        <v>935</v>
      </c>
      <c r="CY58" s="9" t="s">
        <v>1609</v>
      </c>
      <c r="CZ58" s="14">
        <f>EXPENSES!J43</f>
        <v>10440.91</v>
      </c>
    </row>
    <row r="59" spans="1:102" ht="15">
      <c r="A59" s="9"/>
      <c r="B59" s="9"/>
      <c r="C59" s="79" t="s">
        <v>1572</v>
      </c>
      <c r="E59" s="9"/>
      <c r="F59" s="9"/>
      <c r="G59" s="79" t="s">
        <v>1572</v>
      </c>
      <c r="I59" s="9" t="s">
        <v>835</v>
      </c>
      <c r="J59" s="188">
        <v>0.35</v>
      </c>
      <c r="K59" s="188">
        <f>+J59</f>
        <v>0.35</v>
      </c>
      <c r="L59" s="188">
        <f>+J59</f>
        <v>0.35</v>
      </c>
      <c r="M59" s="204"/>
      <c r="N59" s="188"/>
      <c r="O59" s="35"/>
      <c r="P59" s="9"/>
      <c r="Q59" s="9"/>
      <c r="R59" s="188"/>
      <c r="S59" s="35"/>
      <c r="V59" s="188"/>
      <c r="W59" s="35" t="s">
        <v>1870</v>
      </c>
      <c r="X59" s="9" t="s">
        <v>773</v>
      </c>
      <c r="Y59" s="14">
        <v>0</v>
      </c>
      <c r="Z59" s="188"/>
      <c r="AE59" s="35" t="s">
        <v>528</v>
      </c>
      <c r="AF59" s="9" t="s">
        <v>529</v>
      </c>
      <c r="AG59" s="14">
        <f>SUM(AG54+AG55+AG56-AG57)</f>
        <v>163522271.3992616</v>
      </c>
      <c r="BJ59" s="14"/>
      <c r="BK59" s="35"/>
      <c r="BL59" s="35"/>
      <c r="BN59" s="33" t="s">
        <v>1074</v>
      </c>
      <c r="CB59" s="9" t="s">
        <v>271</v>
      </c>
      <c r="CC59" s="14">
        <f>IF((AG17=AG28),0,(IF((AG45&gt;AG17),(ROUND((AG28-AG17),0)),(ROUND((AG28-AG45),0)))))</f>
        <v>-3969805</v>
      </c>
      <c r="CO59" s="35" t="s">
        <v>528</v>
      </c>
      <c r="CP59" s="9" t="s">
        <v>1266</v>
      </c>
      <c r="CQ59" s="185">
        <f>SUM((CQ55+CQ57))</f>
        <v>0.081457</v>
      </c>
      <c r="CT59" s="35" t="s">
        <v>1350</v>
      </c>
      <c r="CU59" s="9">
        <f>INSTRUCTIONS!L16</f>
        <v>365</v>
      </c>
      <c r="CX59" s="35"/>
    </row>
    <row r="60" spans="1:104" ht="15">
      <c r="A60" s="9"/>
      <c r="B60" s="35" t="s">
        <v>77</v>
      </c>
      <c r="C60" s="14">
        <f>C42+C51</f>
        <v>4148066.48</v>
      </c>
      <c r="E60" s="43"/>
      <c r="F60" s="35" t="s">
        <v>77</v>
      </c>
      <c r="G60" s="14">
        <f>G42+G51</f>
        <v>9678824.195</v>
      </c>
      <c r="I60" s="9" t="s">
        <v>217</v>
      </c>
      <c r="J60" s="14">
        <f>SUM(K60:L60)</f>
        <v>407686</v>
      </c>
      <c r="K60" s="14">
        <f>ROUND((K58*K59),0)</f>
        <v>122306</v>
      </c>
      <c r="L60" s="14">
        <f>ROUND((L58*L59),0)</f>
        <v>285380</v>
      </c>
      <c r="M60" s="182"/>
      <c r="N60" s="14"/>
      <c r="O60" s="35">
        <v>29</v>
      </c>
      <c r="P60" s="9" t="s">
        <v>203</v>
      </c>
      <c r="Q60" s="185">
        <f>ROUND((Q43/Q55),6)</f>
        <v>0.511955</v>
      </c>
      <c r="R60" s="14"/>
      <c r="S60" s="35">
        <v>33</v>
      </c>
      <c r="T60" s="116" t="s">
        <v>475</v>
      </c>
      <c r="V60" s="14"/>
      <c r="W60" s="35"/>
      <c r="Y60" s="33" t="s">
        <v>1074</v>
      </c>
      <c r="Z60" s="14"/>
      <c r="AE60" s="35"/>
      <c r="AG60" s="79" t="s">
        <v>1572</v>
      </c>
      <c r="BE60" s="106" t="s">
        <v>1326</v>
      </c>
      <c r="BF60" s="143">
        <f>IF(INSTRUCTIONS!$L$29="ESTIMATE",TXPG12RV!G39,IF(INSTRUCTIONS!$L$29="ACTUAL",TXPG12RV!I39,"SEE NOTE"))</f>
        <v>-267050.87999999995</v>
      </c>
      <c r="BJ60" s="14"/>
      <c r="BK60" s="35" t="s">
        <v>836</v>
      </c>
      <c r="BL60" s="35">
        <v>165</v>
      </c>
      <c r="BM60" s="9" t="s">
        <v>1659</v>
      </c>
      <c r="BN60" s="14">
        <f>AEGBS!F31</f>
        <v>15043.858</v>
      </c>
      <c r="CB60" s="9" t="s">
        <v>1230</v>
      </c>
      <c r="CC60" s="13">
        <v>0</v>
      </c>
      <c r="CO60" s="35"/>
      <c r="CQ60" s="79" t="s">
        <v>1572</v>
      </c>
      <c r="CT60" s="35" t="s">
        <v>983</v>
      </c>
      <c r="CU60" s="32" t="str">
        <f>INSTRUCTIONS!L4</f>
        <v>2015</v>
      </c>
      <c r="CX60" s="35"/>
      <c r="CY60" s="35" t="s">
        <v>1837</v>
      </c>
      <c r="CZ60" s="14">
        <f>SUM((CZ56+CZ58))</f>
        <v>156489.22999999998</v>
      </c>
    </row>
    <row r="61" spans="1:99" ht="15">
      <c r="A61" s="9"/>
      <c r="B61" s="9"/>
      <c r="C61" s="79" t="s">
        <v>1572</v>
      </c>
      <c r="E61" s="205"/>
      <c r="F61" s="9"/>
      <c r="G61" s="79" t="s">
        <v>1572</v>
      </c>
      <c r="I61" s="9" t="s">
        <v>871</v>
      </c>
      <c r="J61" s="14">
        <f>SUM(K61:L61)</f>
        <v>289523</v>
      </c>
      <c r="K61" s="14">
        <f>SUM(K36)</f>
        <v>86857</v>
      </c>
      <c r="L61" s="14">
        <f>SUM(L36)</f>
        <v>202666</v>
      </c>
      <c r="M61" s="182"/>
      <c r="N61" s="14"/>
      <c r="O61" s="35"/>
      <c r="P61" s="9"/>
      <c r="Q61" s="9"/>
      <c r="R61" s="14"/>
      <c r="S61" s="35"/>
      <c r="V61" s="14"/>
      <c r="W61" s="35" t="s">
        <v>528</v>
      </c>
      <c r="X61" s="9" t="s">
        <v>1403</v>
      </c>
      <c r="Y61" s="14">
        <f>SUM(Y58:Y59)</f>
        <v>177368.5</v>
      </c>
      <c r="Z61" s="14"/>
      <c r="AE61" s="35"/>
      <c r="AG61" s="14"/>
      <c r="BE61" s="106" t="s">
        <v>458</v>
      </c>
      <c r="BF61" s="143">
        <f>IF(INSTRUCTIONS!$L$29="ESTIMATE",TXPG12RV!G77,IF(INSTRUCTIONS!$L$29="ACTUAL",TXPG12RV!I77,"SEE NOTE"))</f>
        <v>289523.19</v>
      </c>
      <c r="BJ61" s="14"/>
      <c r="BK61" s="35"/>
      <c r="BL61" s="35"/>
      <c r="BN61" s="33" t="s">
        <v>1074</v>
      </c>
      <c r="CC61" s="33" t="s">
        <v>1074</v>
      </c>
      <c r="CT61" s="35" t="s">
        <v>213</v>
      </c>
      <c r="CU61" s="32">
        <f>INSTRUCTIONS!L3</f>
        <v>5</v>
      </c>
    </row>
    <row r="62" spans="1:99" ht="15">
      <c r="A62" s="52" t="s">
        <v>161</v>
      </c>
      <c r="B62" s="9"/>
      <c r="C62" s="9"/>
      <c r="E62" s="52" t="s">
        <v>161</v>
      </c>
      <c r="F62" s="9"/>
      <c r="G62" s="9"/>
      <c r="I62" s="9"/>
      <c r="J62" s="79" t="s">
        <v>1074</v>
      </c>
      <c r="K62" s="79" t="s">
        <v>1074</v>
      </c>
      <c r="L62" s="79" t="s">
        <v>1074</v>
      </c>
      <c r="M62" s="187"/>
      <c r="N62" s="14"/>
      <c r="O62" s="35">
        <v>30</v>
      </c>
      <c r="P62" s="9" t="s">
        <v>204</v>
      </c>
      <c r="Q62" s="185">
        <f>SUM(((Q64-Q58)-Q60))</f>
        <v>-0.0015280000000000848</v>
      </c>
      <c r="R62" s="79"/>
      <c r="S62" s="35">
        <v>34</v>
      </c>
      <c r="T62" s="9" t="s">
        <v>206</v>
      </c>
      <c r="U62" s="185">
        <f>ROUND((U35/U56),4)</f>
        <v>1.5548</v>
      </c>
      <c r="V62" s="79"/>
      <c r="W62" s="35" t="s">
        <v>241</v>
      </c>
      <c r="X62" s="9" t="s">
        <v>704</v>
      </c>
      <c r="Y62" s="185">
        <f>SUM(Q58)</f>
        <v>0.489573</v>
      </c>
      <c r="Z62" s="79"/>
      <c r="AE62" s="35"/>
      <c r="AF62" s="9" t="s">
        <v>53</v>
      </c>
      <c r="AG62" s="14"/>
      <c r="BJ62" s="14"/>
      <c r="BK62" s="35" t="s">
        <v>1430</v>
      </c>
      <c r="BL62" s="35">
        <v>186</v>
      </c>
      <c r="BM62" s="9" t="s">
        <v>229</v>
      </c>
      <c r="BN62" s="14">
        <v>0</v>
      </c>
      <c r="CB62" s="9" t="s">
        <v>1064</v>
      </c>
      <c r="CC62" s="14">
        <f>ROUND((CC59+CC60),0)</f>
        <v>-3969805</v>
      </c>
      <c r="CT62" s="35" t="s">
        <v>493</v>
      </c>
      <c r="CU62" s="206" t="str">
        <f>INSTRUCTIONS!L7</f>
        <v>May, 2015</v>
      </c>
    </row>
    <row r="63" spans="1:104" ht="15">
      <c r="A63" s="9"/>
      <c r="B63" s="9"/>
      <c r="C63" s="9"/>
      <c r="E63" s="9"/>
      <c r="F63" s="9"/>
      <c r="G63" s="9"/>
      <c r="I63" s="9" t="s">
        <v>1871</v>
      </c>
      <c r="J63" s="14">
        <f>SUM((J60+J61))</f>
        <v>697209</v>
      </c>
      <c r="K63" s="14">
        <f>SUM((K60+K61))</f>
        <v>209163</v>
      </c>
      <c r="L63" s="14">
        <f>SUM((L60+L61))</f>
        <v>488046</v>
      </c>
      <c r="M63" s="182"/>
      <c r="N63" s="14"/>
      <c r="O63" s="35"/>
      <c r="P63" s="9"/>
      <c r="Q63" s="33" t="s">
        <v>1074</v>
      </c>
      <c r="R63" s="14"/>
      <c r="S63" s="35"/>
      <c r="V63" s="14"/>
      <c r="W63" s="35" t="s">
        <v>772</v>
      </c>
      <c r="X63" s="9" t="s">
        <v>977</v>
      </c>
      <c r="Y63" s="185">
        <f>ROUND((U35/U56),4)</f>
        <v>1.5548</v>
      </c>
      <c r="Z63" s="14"/>
      <c r="AF63" s="9" t="s">
        <v>1669</v>
      </c>
      <c r="AG63" s="14"/>
      <c r="BD63" s="9" t="s">
        <v>459</v>
      </c>
      <c r="BE63" s="9" t="s">
        <v>670</v>
      </c>
      <c r="BK63" s="35"/>
      <c r="BL63" s="35"/>
      <c r="BN63" s="33" t="s">
        <v>1074</v>
      </c>
      <c r="CC63" s="33" t="s">
        <v>1572</v>
      </c>
      <c r="CX63" s="52" t="s">
        <v>646</v>
      </c>
      <c r="CZ63" s="14">
        <f>SUM(((((((CU24+CU35)+CU41)+CZ22)+CZ32)+CZ40)+CZ60))</f>
        <v>10513671.749999998</v>
      </c>
    </row>
    <row r="64" spans="1:104" ht="15">
      <c r="A64" s="9" t="s">
        <v>1657</v>
      </c>
      <c r="B64" s="207">
        <v>42174</v>
      </c>
      <c r="C64" s="9"/>
      <c r="E64" s="9" t="s">
        <v>1657</v>
      </c>
      <c r="F64" s="207">
        <v>42174</v>
      </c>
      <c r="G64" s="9"/>
      <c r="I64" s="9"/>
      <c r="J64" s="79" t="s">
        <v>1572</v>
      </c>
      <c r="K64" s="79" t="s">
        <v>1572</v>
      </c>
      <c r="L64" s="79" t="s">
        <v>1572</v>
      </c>
      <c r="M64" s="187"/>
      <c r="N64" s="14"/>
      <c r="O64" s="35">
        <v>31</v>
      </c>
      <c r="P64" s="9" t="s">
        <v>1431</v>
      </c>
      <c r="Q64" s="185">
        <v>1</v>
      </c>
      <c r="R64" s="79"/>
      <c r="S64" s="35">
        <v>35</v>
      </c>
      <c r="T64" s="9" t="s">
        <v>207</v>
      </c>
      <c r="U64" s="185">
        <f>ROUND((U54/U56),4)</f>
        <v>-0.5548</v>
      </c>
      <c r="V64" s="79"/>
      <c r="W64" s="35"/>
      <c r="Z64" s="79"/>
      <c r="AG64" s="14"/>
      <c r="BE64" s="9" t="s">
        <v>347</v>
      </c>
      <c r="BK64" s="35"/>
      <c r="BL64" s="35"/>
      <c r="CX64" s="52" t="s">
        <v>1454</v>
      </c>
      <c r="CZ64" s="14">
        <f>+CZ63</f>
        <v>10513671.749999998</v>
      </c>
    </row>
    <row r="65" spans="1:104" ht="15">
      <c r="A65" s="52" t="s">
        <v>1796</v>
      </c>
      <c r="B65" s="9"/>
      <c r="C65" s="9"/>
      <c r="E65" s="52" t="s">
        <v>1796</v>
      </c>
      <c r="F65" s="9"/>
      <c r="G65" s="9"/>
      <c r="I65" s="52" t="s">
        <v>190</v>
      </c>
      <c r="J65" s="9"/>
      <c r="K65" s="9"/>
      <c r="L65" s="9"/>
      <c r="M65" s="9"/>
      <c r="N65" s="9"/>
      <c r="O65" s="9" t="s">
        <v>771</v>
      </c>
      <c r="P65" s="9"/>
      <c r="Q65" s="33" t="s">
        <v>1572</v>
      </c>
      <c r="R65" s="9"/>
      <c r="S65" s="35"/>
      <c r="U65" s="79" t="s">
        <v>1074</v>
      </c>
      <c r="V65" s="9"/>
      <c r="W65" s="35" t="s">
        <v>1398</v>
      </c>
      <c r="X65" s="9" t="s">
        <v>107</v>
      </c>
      <c r="Y65" s="14">
        <f>ROUND(((Y61*Y62)*Y63),0)</f>
        <v>135011</v>
      </c>
      <c r="Z65" s="9"/>
      <c r="AG65" s="14" t="s">
        <v>1557</v>
      </c>
      <c r="BK65" s="35"/>
      <c r="BL65" s="35"/>
      <c r="CX65" s="52" t="s">
        <v>1413</v>
      </c>
      <c r="CZ65" s="14">
        <f>SUM((CZ63-CZ64))</f>
        <v>0</v>
      </c>
    </row>
    <row r="66" spans="1:64" ht="15">
      <c r="A66" s="52" t="s">
        <v>234</v>
      </c>
      <c r="B66" s="9"/>
      <c r="C66" s="9"/>
      <c r="E66" s="52" t="s">
        <v>234</v>
      </c>
      <c r="F66" s="9"/>
      <c r="G66" s="9"/>
      <c r="I66" s="9"/>
      <c r="J66" s="9"/>
      <c r="K66" s="9"/>
      <c r="L66" s="9"/>
      <c r="M66" s="9"/>
      <c r="N66" s="9"/>
      <c r="O66" s="9" t="s">
        <v>1453</v>
      </c>
      <c r="P66" s="9"/>
      <c r="Q66" s="9"/>
      <c r="R66" s="9"/>
      <c r="S66" s="35"/>
      <c r="U66" s="185">
        <f>SUM((U62+U64))</f>
        <v>1</v>
      </c>
      <c r="V66" s="9"/>
      <c r="X66" s="35" t="s">
        <v>376</v>
      </c>
      <c r="Y66" s="79" t="s">
        <v>1572</v>
      </c>
      <c r="Z66" s="9"/>
      <c r="BK66" s="35"/>
      <c r="BL66" s="35"/>
    </row>
    <row r="67" spans="1:64" ht="15">
      <c r="A67" s="52" t="s">
        <v>1021</v>
      </c>
      <c r="B67" s="9"/>
      <c r="C67" s="9"/>
      <c r="E67" s="52" t="s">
        <v>1021</v>
      </c>
      <c r="F67" s="9"/>
      <c r="G67" s="9"/>
      <c r="O67" s="9" t="s">
        <v>253</v>
      </c>
      <c r="P67" s="9"/>
      <c r="Q67" s="9"/>
      <c r="S67" s="35"/>
      <c r="T67" s="9" t="s">
        <v>1027</v>
      </c>
      <c r="U67" s="208" t="s">
        <v>1572</v>
      </c>
      <c r="AF67" s="9" t="s">
        <v>860</v>
      </c>
      <c r="AG67" s="14">
        <v>7174124.165</v>
      </c>
      <c r="BK67" s="35"/>
      <c r="BL67" s="35"/>
    </row>
    <row r="68" spans="1:64" ht="15">
      <c r="A68" s="52" t="s">
        <v>1622</v>
      </c>
      <c r="B68" s="9"/>
      <c r="C68" s="9"/>
      <c r="E68" s="52" t="s">
        <v>738</v>
      </c>
      <c r="F68" s="9"/>
      <c r="G68" s="9"/>
      <c r="O68" s="9" t="s">
        <v>1319</v>
      </c>
      <c r="P68" s="9"/>
      <c r="Q68" s="9"/>
      <c r="S68" s="35"/>
      <c r="T68" s="9" t="s">
        <v>1455</v>
      </c>
      <c r="AF68" s="9" t="s">
        <v>1378</v>
      </c>
      <c r="AG68" s="14">
        <v>7199982.165</v>
      </c>
      <c r="BK68" s="35"/>
      <c r="BL68" s="35"/>
    </row>
    <row r="69" spans="1:64" ht="15">
      <c r="A69" s="52" t="s">
        <v>547</v>
      </c>
      <c r="B69" s="9"/>
      <c r="C69" s="9"/>
      <c r="E69" s="52" t="s">
        <v>547</v>
      </c>
      <c r="F69" s="9"/>
      <c r="G69" s="9"/>
      <c r="S69" s="35"/>
      <c r="T69" s="9" t="s">
        <v>1271</v>
      </c>
      <c r="AE69" s="43"/>
      <c r="AF69" s="9" t="s">
        <v>367</v>
      </c>
      <c r="AG69" s="14">
        <f>Total_unit_1_Actual-Total_Unit_1_Capped</f>
        <v>-25858</v>
      </c>
      <c r="BK69" s="35"/>
      <c r="BL69" s="35"/>
    </row>
    <row r="70" spans="1:64" ht="15">
      <c r="A70" s="52" t="s">
        <v>1385</v>
      </c>
      <c r="B70" s="9"/>
      <c r="C70" s="9"/>
      <c r="E70" s="52"/>
      <c r="F70" s="9"/>
      <c r="G70" s="9"/>
      <c r="S70" s="35"/>
      <c r="AE70" s="43"/>
      <c r="BE70" s="11"/>
      <c r="BF70" s="11"/>
      <c r="BK70" s="35"/>
      <c r="BL70" s="35"/>
    </row>
    <row r="71" spans="1:64" ht="15">
      <c r="A71" s="52" t="s">
        <v>1308</v>
      </c>
      <c r="B71" s="9"/>
      <c r="C71" s="9"/>
      <c r="E71" s="52" t="s">
        <v>1308</v>
      </c>
      <c r="F71" s="9"/>
      <c r="G71" s="9"/>
      <c r="S71" s="35"/>
      <c r="AE71" s="43"/>
      <c r="BK71" s="35"/>
      <c r="BL71" s="35"/>
    </row>
    <row r="72" spans="1:64" ht="15">
      <c r="A72" s="209"/>
      <c r="B72" s="209"/>
      <c r="C72" s="9"/>
      <c r="E72" s="52"/>
      <c r="F72" s="9"/>
      <c r="G72" s="9"/>
      <c r="S72" s="35"/>
      <c r="AE72" s="43"/>
      <c r="BK72" s="35"/>
      <c r="BL72" s="35"/>
    </row>
    <row r="73" spans="1:64" ht="15">
      <c r="A73" s="209"/>
      <c r="B73" s="209"/>
      <c r="E73" s="52"/>
      <c r="F73" s="9"/>
      <c r="BK73" s="35"/>
      <c r="BL73" s="35"/>
    </row>
    <row r="74" spans="1:64" ht="15">
      <c r="A74" s="209"/>
      <c r="B74" s="209"/>
      <c r="E74" s="52"/>
      <c r="BK74" s="35"/>
      <c r="BL74" s="35"/>
    </row>
    <row r="75" spans="1:64" ht="15">
      <c r="A75" s="209"/>
      <c r="B75" s="209"/>
      <c r="E75" s="52"/>
      <c r="BK75" s="35"/>
      <c r="BL75" s="35"/>
    </row>
    <row r="76" spans="1:64" ht="15">
      <c r="A76" s="209"/>
      <c r="B76" s="209"/>
      <c r="E76" s="52"/>
      <c r="BK76" s="35"/>
      <c r="BL76" s="35"/>
    </row>
    <row r="77" spans="1:226" ht="15">
      <c r="A77" s="209"/>
      <c r="B77" s="209"/>
      <c r="Z77" s="9"/>
      <c r="BG77" s="35"/>
      <c r="BH77" s="35"/>
      <c r="HO77"/>
      <c r="HP77"/>
      <c r="HQ77"/>
      <c r="HR77"/>
    </row>
    <row r="78" spans="26:226" ht="15">
      <c r="Z78" s="9"/>
      <c r="BG78" s="35"/>
      <c r="BH78" s="35"/>
      <c r="DT78" s="189"/>
      <c r="HO78"/>
      <c r="HP78"/>
      <c r="HQ78"/>
      <c r="HR78"/>
    </row>
    <row r="79" spans="15:226" ht="15">
      <c r="O79" s="9"/>
      <c r="P79" s="9"/>
      <c r="Q79" s="9"/>
      <c r="Z79" s="9"/>
      <c r="BG79" s="35"/>
      <c r="BH79" s="35"/>
      <c r="DT79" s="189"/>
      <c r="HO79"/>
      <c r="HP79"/>
      <c r="HQ79"/>
      <c r="HR79"/>
    </row>
    <row r="80" spans="15:226" ht="15">
      <c r="O80" s="9"/>
      <c r="P80" s="9"/>
      <c r="Q80" s="9"/>
      <c r="Z80" s="9"/>
      <c r="BG80" s="35"/>
      <c r="BH80" s="35"/>
      <c r="HO80"/>
      <c r="HP80"/>
      <c r="HQ80"/>
      <c r="HR80"/>
    </row>
    <row r="81" spans="15:226" ht="15">
      <c r="O81" s="9"/>
      <c r="P81" s="9"/>
      <c r="Q81" s="9"/>
      <c r="Z81" s="9"/>
      <c r="BG81" s="35"/>
      <c r="BH81" s="35"/>
      <c r="DT81" s="189"/>
      <c r="HO81"/>
      <c r="HP81"/>
      <c r="HQ81"/>
      <c r="HR81"/>
    </row>
    <row r="82" spans="15:226" ht="15">
      <c r="O82" s="9"/>
      <c r="P82" s="9"/>
      <c r="Q82" s="9"/>
      <c r="Z82" s="9"/>
      <c r="BG82" s="35"/>
      <c r="BH82" s="35"/>
      <c r="HO82"/>
      <c r="HP82"/>
      <c r="HQ82"/>
      <c r="HR82"/>
    </row>
    <row r="83" spans="15:226" ht="15">
      <c r="O83" s="9"/>
      <c r="P83" s="9"/>
      <c r="Q83" s="9"/>
      <c r="Z83" s="9"/>
      <c r="BG83" s="35"/>
      <c r="BH83" s="35"/>
      <c r="HO83"/>
      <c r="HP83"/>
      <c r="HQ83"/>
      <c r="HR83"/>
    </row>
    <row r="84" spans="15:226" ht="15">
      <c r="O84" s="9"/>
      <c r="P84" s="9"/>
      <c r="Q84" s="9"/>
      <c r="Z84" s="9"/>
      <c r="BG84" s="35"/>
      <c r="BH84" s="35"/>
      <c r="DT84" s="189"/>
      <c r="HO84"/>
      <c r="HP84"/>
      <c r="HQ84"/>
      <c r="HR84"/>
    </row>
    <row r="85" spans="15:226" ht="15">
      <c r="O85" s="9"/>
      <c r="P85" s="9"/>
      <c r="Q85" s="9"/>
      <c r="Z85" s="9"/>
      <c r="BG85" s="35"/>
      <c r="BH85" s="35"/>
      <c r="DT85" s="189"/>
      <c r="HO85"/>
      <c r="HP85"/>
      <c r="HQ85"/>
      <c r="HR85"/>
    </row>
    <row r="86" spans="15:226" ht="15">
      <c r="O86" s="9"/>
      <c r="P86" s="9"/>
      <c r="Q86" s="9"/>
      <c r="Z86" s="9"/>
      <c r="DT86" s="189"/>
      <c r="HO86"/>
      <c r="HP86"/>
      <c r="HQ86"/>
      <c r="HR86"/>
    </row>
    <row r="87" spans="15:226" ht="15">
      <c r="O87" s="9"/>
      <c r="P87" s="9"/>
      <c r="Q87" s="9"/>
      <c r="Z87" s="9"/>
      <c r="DT87" s="189"/>
      <c r="HO87"/>
      <c r="HP87"/>
      <c r="HQ87"/>
      <c r="HR87"/>
    </row>
    <row r="88" spans="15:226" ht="15">
      <c r="O88" s="9"/>
      <c r="P88" s="9"/>
      <c r="Q88" s="9"/>
      <c r="Z88" s="9"/>
      <c r="DT88" s="189"/>
      <c r="HO88"/>
      <c r="HP88"/>
      <c r="HQ88"/>
      <c r="HR88"/>
    </row>
    <row r="89" spans="15:226" ht="15">
      <c r="O89" s="9"/>
      <c r="P89" s="9"/>
      <c r="Q89" s="9"/>
      <c r="Z89" s="9"/>
      <c r="DT89" s="189"/>
      <c r="HO89"/>
      <c r="HP89"/>
      <c r="HQ89"/>
      <c r="HR89"/>
    </row>
    <row r="90" spans="15:226" ht="15">
      <c r="O90" s="9"/>
      <c r="P90" s="9"/>
      <c r="Q90" s="9"/>
      <c r="Z90" s="9"/>
      <c r="HO90"/>
      <c r="HP90"/>
      <c r="HQ90"/>
      <c r="HR90"/>
    </row>
    <row r="91" spans="15:226" ht="15">
      <c r="O91" s="9"/>
      <c r="P91" s="9"/>
      <c r="Q91" s="9"/>
      <c r="Z91" s="9"/>
      <c r="HO91"/>
      <c r="HP91"/>
      <c r="HQ91"/>
      <c r="HR91"/>
    </row>
    <row r="92" spans="15:226" ht="15">
      <c r="O92" s="9"/>
      <c r="P92" s="9"/>
      <c r="Q92" s="9"/>
      <c r="Z92" s="9"/>
      <c r="HO92"/>
      <c r="HP92"/>
      <c r="HQ92"/>
      <c r="HR92"/>
    </row>
    <row r="93" spans="15:226" ht="15">
      <c r="O93" s="9"/>
      <c r="P93" s="9"/>
      <c r="Q93" s="9"/>
      <c r="Z93" s="9"/>
      <c r="HO93"/>
      <c r="HP93"/>
      <c r="HQ93"/>
      <c r="HR93"/>
    </row>
    <row r="94" spans="15:226" ht="15">
      <c r="O94" s="9"/>
      <c r="P94" s="9"/>
      <c r="Q94" s="9"/>
      <c r="Z94" s="9"/>
      <c r="HO94"/>
      <c r="HP94"/>
      <c r="HQ94"/>
      <c r="HR94"/>
    </row>
    <row r="95" spans="15:226" ht="15">
      <c r="O95" s="9"/>
      <c r="P95" s="9"/>
      <c r="Q95" s="9"/>
      <c r="Z95" s="9"/>
      <c r="HO95"/>
      <c r="HP95"/>
      <c r="HQ95"/>
      <c r="HR95"/>
    </row>
    <row r="96" spans="15:226" ht="15">
      <c r="O96" s="9"/>
      <c r="P96" s="9"/>
      <c r="Q96" s="9"/>
      <c r="Z96" s="9"/>
      <c r="HO96"/>
      <c r="HP96"/>
      <c r="HQ96"/>
      <c r="HR96"/>
    </row>
    <row r="97" spans="15:226" ht="15">
      <c r="O97" s="9"/>
      <c r="P97" s="9"/>
      <c r="Q97" s="9"/>
      <c r="Z97" s="9"/>
      <c r="HO97"/>
      <c r="HP97"/>
      <c r="HQ97"/>
      <c r="HR97"/>
    </row>
    <row r="98" spans="15:226" ht="15">
      <c r="O98" s="9"/>
      <c r="P98" s="9"/>
      <c r="Q98" s="9"/>
      <c r="Z98" s="9"/>
      <c r="HO98"/>
      <c r="HP98"/>
      <c r="HQ98"/>
      <c r="HR98"/>
    </row>
    <row r="99" spans="15:226" ht="15">
      <c r="O99" s="9"/>
      <c r="P99" s="9"/>
      <c r="Q99" s="9"/>
      <c r="Z99" s="9"/>
      <c r="HO99"/>
      <c r="HP99"/>
      <c r="HQ99"/>
      <c r="HR99"/>
    </row>
    <row r="100" spans="15:226" ht="15">
      <c r="O100" s="9"/>
      <c r="P100" s="9"/>
      <c r="Q100" s="9"/>
      <c r="Z100" s="9"/>
      <c r="HO100"/>
      <c r="HP100"/>
      <c r="HQ100"/>
      <c r="HR100"/>
    </row>
    <row r="101" spans="15:226" ht="15">
      <c r="O101" s="9"/>
      <c r="P101" s="9"/>
      <c r="Q101" s="9"/>
      <c r="Z101" s="9"/>
      <c r="HO101"/>
      <c r="HP101"/>
      <c r="HQ101"/>
      <c r="HR101"/>
    </row>
    <row r="102" spans="15:226" ht="15">
      <c r="O102" s="9"/>
      <c r="P102" s="9"/>
      <c r="Q102" s="9"/>
      <c r="Z102" s="9"/>
      <c r="HO102"/>
      <c r="HP102"/>
      <c r="HQ102"/>
      <c r="HR102"/>
    </row>
    <row r="103" spans="15:226" ht="15">
      <c r="O103" s="9"/>
      <c r="P103" s="9"/>
      <c r="Q103" s="9"/>
      <c r="Z103" s="9"/>
      <c r="HO103"/>
      <c r="HP103"/>
      <c r="HQ103"/>
      <c r="HR103"/>
    </row>
    <row r="104" spans="15:226" ht="15">
      <c r="O104" s="9"/>
      <c r="P104" s="9"/>
      <c r="Q104" s="9"/>
      <c r="Z104" s="9"/>
      <c r="HO104"/>
      <c r="HP104"/>
      <c r="HQ104"/>
      <c r="HR104"/>
    </row>
    <row r="105" spans="15:226" ht="15">
      <c r="O105" s="9"/>
      <c r="P105" s="9"/>
      <c r="Q105" s="9"/>
      <c r="Z105" s="9"/>
      <c r="HO105"/>
      <c r="HP105"/>
      <c r="HQ105"/>
      <c r="HR105"/>
    </row>
    <row r="106" spans="15:226" ht="15">
      <c r="O106" s="9"/>
      <c r="P106" s="9"/>
      <c r="Q106" s="9"/>
      <c r="Z106" s="9"/>
      <c r="HO106"/>
      <c r="HP106"/>
      <c r="HQ106"/>
      <c r="HR106"/>
    </row>
    <row r="107" spans="15:226" ht="15">
      <c r="O107" s="9"/>
      <c r="P107" s="9"/>
      <c r="Q107" s="9"/>
      <c r="Z107" s="9"/>
      <c r="HO107"/>
      <c r="HP107"/>
      <c r="HQ107"/>
      <c r="HR107"/>
    </row>
    <row r="108" spans="15:226" ht="15">
      <c r="O108" s="9"/>
      <c r="P108" s="9"/>
      <c r="Q108" s="9"/>
      <c r="Z108" s="9"/>
      <c r="HO108"/>
      <c r="HP108"/>
      <c r="HQ108"/>
      <c r="HR108"/>
    </row>
    <row r="109" spans="15:226" ht="15">
      <c r="O109" s="9"/>
      <c r="P109" s="9"/>
      <c r="Q109" s="9"/>
      <c r="Z109" s="9"/>
      <c r="HO109"/>
      <c r="HP109"/>
      <c r="HQ109"/>
      <c r="HR109"/>
    </row>
    <row r="110" spans="15:226" ht="15">
      <c r="O110" s="9"/>
      <c r="P110" s="9"/>
      <c r="Q110" s="9"/>
      <c r="Z110" s="9"/>
      <c r="HO110"/>
      <c r="HP110"/>
      <c r="HQ110"/>
      <c r="HR110"/>
    </row>
    <row r="111" spans="15:226" ht="15">
      <c r="O111" s="9"/>
      <c r="P111" s="9"/>
      <c r="Q111" s="9"/>
      <c r="Z111" s="9"/>
      <c r="HO111"/>
      <c r="HP111"/>
      <c r="HQ111"/>
      <c r="HR111"/>
    </row>
    <row r="112" spans="15:226" ht="15">
      <c r="O112" s="9"/>
      <c r="P112" s="9"/>
      <c r="Q112" s="9"/>
      <c r="Z112" s="9"/>
      <c r="HO112"/>
      <c r="HP112"/>
      <c r="HQ112"/>
      <c r="HR112"/>
    </row>
    <row r="113" spans="15:226" ht="15">
      <c r="O113" s="9"/>
      <c r="P113" s="9"/>
      <c r="Q113" s="9"/>
      <c r="Z113" s="9"/>
      <c r="HO113"/>
      <c r="HP113"/>
      <c r="HQ113"/>
      <c r="HR113"/>
    </row>
    <row r="114" spans="15:226" ht="15">
      <c r="O114" s="9"/>
      <c r="P114" s="9"/>
      <c r="Q114" s="9"/>
      <c r="Z114" s="9"/>
      <c r="HO114"/>
      <c r="HP114"/>
      <c r="HQ114"/>
      <c r="HR114"/>
    </row>
    <row r="115" spans="15:226" ht="15">
      <c r="O115" s="9"/>
      <c r="P115" s="9"/>
      <c r="Q115" s="9"/>
      <c r="Z115" s="9"/>
      <c r="HO115"/>
      <c r="HP115"/>
      <c r="HQ115"/>
      <c r="HR115"/>
    </row>
    <row r="116" spans="15:226" ht="15">
      <c r="O116" s="9"/>
      <c r="P116" s="9"/>
      <c r="Q116" s="9"/>
      <c r="Z116" s="9"/>
      <c r="HO116"/>
      <c r="HP116"/>
      <c r="HQ116"/>
      <c r="HR116"/>
    </row>
    <row r="117" spans="15:226" ht="15">
      <c r="O117" s="9"/>
      <c r="P117" s="9"/>
      <c r="Q117" s="9"/>
      <c r="Z117" s="9"/>
      <c r="HO117"/>
      <c r="HP117"/>
      <c r="HQ117"/>
      <c r="HR117"/>
    </row>
    <row r="118" spans="15:226" ht="15">
      <c r="O118" s="9"/>
      <c r="P118" s="9"/>
      <c r="Q118" s="9"/>
      <c r="Z118" s="9"/>
      <c r="HO118"/>
      <c r="HP118"/>
      <c r="HQ118"/>
      <c r="HR118"/>
    </row>
    <row r="119" spans="15:226" ht="15">
      <c r="O119" s="9"/>
      <c r="P119" s="9"/>
      <c r="Q119" s="9"/>
      <c r="Z119" s="9"/>
      <c r="HO119"/>
      <c r="HP119"/>
      <c r="HQ119"/>
      <c r="HR119"/>
    </row>
    <row r="120" spans="15:226" ht="15">
      <c r="O120" s="9"/>
      <c r="P120" s="9"/>
      <c r="Q120" s="9"/>
      <c r="Z120" s="9"/>
      <c r="HO120"/>
      <c r="HP120"/>
      <c r="HQ120"/>
      <c r="HR120"/>
    </row>
    <row r="121" spans="15:226" ht="15">
      <c r="O121" s="9"/>
      <c r="P121" s="9"/>
      <c r="Q121" s="9"/>
      <c r="Z121" s="9"/>
      <c r="HO121"/>
      <c r="HP121"/>
      <c r="HQ121"/>
      <c r="HR121"/>
    </row>
    <row r="122" spans="15:226" ht="15">
      <c r="O122" s="9"/>
      <c r="P122" s="9"/>
      <c r="Q122" s="9"/>
      <c r="Z122" s="9"/>
      <c r="AA122" s="43"/>
      <c r="HO122"/>
      <c r="HP122"/>
      <c r="HQ122"/>
      <c r="HR122"/>
    </row>
    <row r="123" spans="15:226" ht="15">
      <c r="O123" s="9"/>
      <c r="P123" s="9"/>
      <c r="Q123" s="9"/>
      <c r="Z123" s="9"/>
      <c r="HO123"/>
      <c r="HP123"/>
      <c r="HQ123"/>
      <c r="HR123"/>
    </row>
    <row r="124" spans="15:226" ht="15">
      <c r="O124" s="9"/>
      <c r="P124" s="9"/>
      <c r="Q124" s="9"/>
      <c r="Z124" s="9"/>
      <c r="HO124"/>
      <c r="HP124"/>
      <c r="HQ124"/>
      <c r="HR124"/>
    </row>
    <row r="125" spans="15:226" ht="15">
      <c r="O125" s="9"/>
      <c r="P125" s="9"/>
      <c r="Q125" s="9"/>
      <c r="Z125" s="9"/>
      <c r="HO125"/>
      <c r="HP125"/>
      <c r="HQ125"/>
      <c r="HR125"/>
    </row>
    <row r="126" spans="15:226" ht="15">
      <c r="O126" s="9"/>
      <c r="P126" s="9"/>
      <c r="Q126" s="9"/>
      <c r="Z126" s="9"/>
      <c r="HO126"/>
      <c r="HP126"/>
      <c r="HQ126"/>
      <c r="HR126"/>
    </row>
    <row r="127" spans="15:226" ht="15">
      <c r="O127" s="9"/>
      <c r="P127" s="9"/>
      <c r="Q127" s="9"/>
      <c r="Z127" s="9"/>
      <c r="HO127"/>
      <c r="HP127"/>
      <c r="HQ127"/>
      <c r="HR127"/>
    </row>
    <row r="128" spans="15:226" ht="15">
      <c r="O128" s="9"/>
      <c r="P128" s="9"/>
      <c r="Q128" s="9"/>
      <c r="Z128" s="9"/>
      <c r="HO128"/>
      <c r="HP128"/>
      <c r="HQ128"/>
      <c r="HR128"/>
    </row>
    <row r="129" spans="15:226" ht="15">
      <c r="O129" s="9"/>
      <c r="P129" s="9"/>
      <c r="Q129" s="9"/>
      <c r="Z129" s="9"/>
      <c r="HO129"/>
      <c r="HP129"/>
      <c r="HQ129"/>
      <c r="HR129"/>
    </row>
    <row r="130" spans="15:226" ht="15">
      <c r="O130" s="9"/>
      <c r="P130" s="9"/>
      <c r="Q130" s="9"/>
      <c r="Z130" s="9"/>
      <c r="HO130"/>
      <c r="HP130"/>
      <c r="HQ130"/>
      <c r="HR130"/>
    </row>
    <row r="131" spans="15:226" ht="15">
      <c r="O131" s="9"/>
      <c r="P131" s="9"/>
      <c r="Q131" s="9"/>
      <c r="Z131" s="9"/>
      <c r="DP131" s="21"/>
      <c r="DT131" s="21"/>
      <c r="DV131" s="189"/>
      <c r="HO131"/>
      <c r="HP131"/>
      <c r="HQ131"/>
      <c r="HR131"/>
    </row>
    <row r="132" spans="15:226" ht="15">
      <c r="O132" s="9"/>
      <c r="P132" s="9"/>
      <c r="Q132" s="9"/>
      <c r="Z132" s="9"/>
      <c r="HO132"/>
      <c r="HP132"/>
      <c r="HQ132"/>
      <c r="HR132"/>
    </row>
    <row r="133" spans="15:226" ht="15">
      <c r="O133" s="9"/>
      <c r="P133" s="9"/>
      <c r="Q133" s="9"/>
      <c r="Z133" s="9"/>
      <c r="DV133" s="189"/>
      <c r="HO133"/>
      <c r="HP133"/>
      <c r="HQ133"/>
      <c r="HR133"/>
    </row>
    <row r="134" spans="15:226" ht="15">
      <c r="O134" s="9"/>
      <c r="P134" s="9"/>
      <c r="Q134" s="9"/>
      <c r="Z134" s="9"/>
      <c r="DP134" s="21"/>
      <c r="DT134" s="21"/>
      <c r="DX134" s="189"/>
      <c r="HO134"/>
      <c r="HP134"/>
      <c r="HQ134"/>
      <c r="HR134"/>
    </row>
    <row r="135" spans="15:226" ht="15">
      <c r="O135" s="9"/>
      <c r="P135" s="9"/>
      <c r="Q135" s="9"/>
      <c r="Z135" s="9"/>
      <c r="HO135"/>
      <c r="HP135"/>
      <c r="HQ135"/>
      <c r="HR135"/>
    </row>
    <row r="136" spans="15:226" ht="15">
      <c r="O136" s="9"/>
      <c r="P136" s="9"/>
      <c r="Q136" s="9"/>
      <c r="Z136" s="9"/>
      <c r="DX136" s="189"/>
      <c r="HO136"/>
      <c r="HP136"/>
      <c r="HQ136"/>
      <c r="HR136"/>
    </row>
    <row r="137" spans="15:226" ht="15">
      <c r="O137" s="9"/>
      <c r="P137" s="9"/>
      <c r="Q137" s="9"/>
      <c r="Z137" s="9"/>
      <c r="DX137" s="189"/>
      <c r="HO137"/>
      <c r="HP137"/>
      <c r="HQ137"/>
      <c r="HR137"/>
    </row>
    <row r="138" spans="15:226" ht="15">
      <c r="O138" s="9"/>
      <c r="P138" s="9"/>
      <c r="Q138" s="9"/>
      <c r="Z138" s="9"/>
      <c r="DX138" s="189"/>
      <c r="HO138"/>
      <c r="HP138"/>
      <c r="HQ138"/>
      <c r="HR138"/>
    </row>
    <row r="139" spans="15:226" ht="15">
      <c r="O139" s="9"/>
      <c r="P139" s="9"/>
      <c r="Q139" s="9"/>
      <c r="Z139" s="9"/>
      <c r="HO139"/>
      <c r="HP139"/>
      <c r="HQ139"/>
      <c r="HR139"/>
    </row>
    <row r="140" spans="15:226" ht="15">
      <c r="O140" s="9"/>
      <c r="P140" s="9"/>
      <c r="Q140" s="9"/>
      <c r="Z140" s="9"/>
      <c r="HO140"/>
      <c r="HP140"/>
      <c r="HQ140"/>
      <c r="HR140"/>
    </row>
    <row r="141" spans="15:226" ht="15">
      <c r="O141" s="9"/>
      <c r="P141" s="9"/>
      <c r="Q141" s="9"/>
      <c r="Z141" s="9"/>
      <c r="HO141"/>
      <c r="HP141"/>
      <c r="HQ141"/>
      <c r="HR141"/>
    </row>
    <row r="142" spans="15:226" ht="15">
      <c r="O142" s="9"/>
      <c r="P142" s="9"/>
      <c r="Q142" s="9"/>
      <c r="Z142" s="9"/>
      <c r="HO142"/>
      <c r="HP142"/>
      <c r="HQ142"/>
      <c r="HR142"/>
    </row>
    <row r="143" spans="15:226" ht="15">
      <c r="O143" s="9"/>
      <c r="P143" s="9"/>
      <c r="Q143" s="9"/>
      <c r="Z143" s="9"/>
      <c r="HO143"/>
      <c r="HP143"/>
      <c r="HQ143"/>
      <c r="HR143"/>
    </row>
    <row r="144" spans="15:226" ht="15">
      <c r="O144" s="9"/>
      <c r="P144" s="9"/>
      <c r="Q144" s="9"/>
      <c r="Z144" s="9"/>
      <c r="HO144"/>
      <c r="HP144"/>
      <c r="HQ144"/>
      <c r="HR144"/>
    </row>
    <row r="145" spans="15:226" ht="15">
      <c r="O145" s="9"/>
      <c r="P145" s="9"/>
      <c r="Q145" s="9"/>
      <c r="Z145" s="9"/>
      <c r="HO145"/>
      <c r="HP145"/>
      <c r="HQ145"/>
      <c r="HR145"/>
    </row>
    <row r="146" spans="15:226" ht="15">
      <c r="O146" s="9"/>
      <c r="P146" s="9"/>
      <c r="Q146" s="9"/>
      <c r="Z146" s="9"/>
      <c r="HO146"/>
      <c r="HP146"/>
      <c r="HQ146"/>
      <c r="HR146"/>
    </row>
    <row r="147" spans="15:226" ht="15">
      <c r="O147" s="9"/>
      <c r="P147" s="9"/>
      <c r="Q147" s="9"/>
      <c r="Z147" s="9"/>
      <c r="HO147"/>
      <c r="HP147"/>
      <c r="HQ147"/>
      <c r="HR147"/>
    </row>
    <row r="148" spans="15:226" ht="15">
      <c r="O148" s="9"/>
      <c r="P148" s="9"/>
      <c r="Q148" s="9"/>
      <c r="Z148" s="9"/>
      <c r="HO148"/>
      <c r="HP148"/>
      <c r="HQ148"/>
      <c r="HR148"/>
    </row>
    <row r="149" spans="15:226" ht="15">
      <c r="O149" s="9"/>
      <c r="P149" s="9"/>
      <c r="Q149" s="9"/>
      <c r="Z149" s="9"/>
      <c r="HO149"/>
      <c r="HP149"/>
      <c r="HQ149"/>
      <c r="HR149"/>
    </row>
    <row r="150" spans="15:226" ht="15">
      <c r="O150" s="9"/>
      <c r="P150" s="9"/>
      <c r="Q150" s="9"/>
      <c r="Z150" s="9"/>
      <c r="HO150"/>
      <c r="HP150"/>
      <c r="HQ150"/>
      <c r="HR150"/>
    </row>
    <row r="151" spans="15:226" ht="15">
      <c r="O151" s="9"/>
      <c r="P151" s="9"/>
      <c r="Q151" s="9"/>
      <c r="Z151" s="9"/>
      <c r="HO151"/>
      <c r="HP151"/>
      <c r="HQ151"/>
      <c r="HR151"/>
    </row>
    <row r="152" spans="15:226" ht="15">
      <c r="O152" s="9"/>
      <c r="P152" s="9"/>
      <c r="Q152" s="9"/>
      <c r="Z152" s="9"/>
      <c r="HO152"/>
      <c r="HP152"/>
      <c r="HQ152"/>
      <c r="HR152"/>
    </row>
    <row r="153" spans="15:226" ht="15">
      <c r="O153" s="9"/>
      <c r="P153" s="9"/>
      <c r="Q153" s="9"/>
      <c r="Z153" s="9"/>
      <c r="AD153" s="14" t="s">
        <v>1557</v>
      </c>
      <c r="HO153"/>
      <c r="HP153"/>
      <c r="HQ153"/>
      <c r="HR153"/>
    </row>
    <row r="154" spans="15:226" ht="15">
      <c r="O154" s="9"/>
      <c r="P154" s="9"/>
      <c r="Q154" s="9"/>
      <c r="Z154" s="9"/>
      <c r="AD154" s="14" t="s">
        <v>1557</v>
      </c>
      <c r="HO154"/>
      <c r="HP154"/>
      <c r="HQ154"/>
      <c r="HR154"/>
    </row>
    <row r="155" spans="15:226" ht="15">
      <c r="O155" s="9"/>
      <c r="P155" s="9"/>
      <c r="Q155" s="9"/>
      <c r="Z155" s="9"/>
      <c r="AD155" s="14" t="s">
        <v>1557</v>
      </c>
      <c r="HO155"/>
      <c r="HP155"/>
      <c r="HQ155"/>
      <c r="HR155"/>
    </row>
    <row r="156" spans="15:226" ht="15">
      <c r="O156" s="9"/>
      <c r="P156" s="9"/>
      <c r="Q156" s="9"/>
      <c r="Z156" s="9"/>
      <c r="AD156" s="9" t="s">
        <v>1557</v>
      </c>
      <c r="HO156"/>
      <c r="HP156"/>
      <c r="HQ156"/>
      <c r="HR156"/>
    </row>
    <row r="157" spans="15:226" ht="15">
      <c r="O157" s="9"/>
      <c r="P157" s="9"/>
      <c r="Q157" s="9"/>
      <c r="Z157" s="9"/>
      <c r="HO157"/>
      <c r="HP157"/>
      <c r="HQ157"/>
      <c r="HR157"/>
    </row>
    <row r="158" spans="15:226" ht="15">
      <c r="O158" s="9"/>
      <c r="P158" s="9"/>
      <c r="Q158" s="9"/>
      <c r="Z158" s="9"/>
      <c r="HO158"/>
      <c r="HP158"/>
      <c r="HQ158"/>
      <c r="HR158"/>
    </row>
    <row r="159" spans="15:226" ht="15">
      <c r="O159" s="9"/>
      <c r="P159" s="9"/>
      <c r="Q159" s="9"/>
      <c r="Z159" s="9"/>
      <c r="HO159"/>
      <c r="HP159"/>
      <c r="HQ159"/>
      <c r="HR159"/>
    </row>
    <row r="160" spans="15:226" ht="15">
      <c r="O160" s="9"/>
      <c r="P160" s="9"/>
      <c r="Q160" s="9"/>
      <c r="Z160" s="9"/>
      <c r="HO160"/>
      <c r="HP160"/>
      <c r="HQ160"/>
      <c r="HR160"/>
    </row>
    <row r="161" spans="15:226" ht="15">
      <c r="O161" s="9"/>
      <c r="P161" s="9"/>
      <c r="Q161" s="9"/>
      <c r="Z161" s="9"/>
      <c r="HO161"/>
      <c r="HP161"/>
      <c r="HQ161"/>
      <c r="HR161"/>
    </row>
    <row r="162" spans="15:226" ht="15">
      <c r="O162" s="9"/>
      <c r="P162" s="9"/>
      <c r="Q162" s="9"/>
      <c r="Z162" s="9"/>
      <c r="HO162"/>
      <c r="HP162"/>
      <c r="HQ162"/>
      <c r="HR162"/>
    </row>
    <row r="163" spans="15:226" ht="15">
      <c r="O163" s="9"/>
      <c r="P163" s="9"/>
      <c r="Q163" s="9"/>
      <c r="Z163" s="9"/>
      <c r="HO163"/>
      <c r="HP163"/>
      <c r="HQ163"/>
      <c r="HR163"/>
    </row>
    <row r="164" spans="15:226" ht="15">
      <c r="O164" s="9"/>
      <c r="P164" s="9"/>
      <c r="Q164" s="9"/>
      <c r="Z164" s="9"/>
      <c r="DV164" s="189"/>
      <c r="DX164" s="189"/>
      <c r="HO164"/>
      <c r="HP164"/>
      <c r="HQ164"/>
      <c r="HR164"/>
    </row>
    <row r="165" spans="15:226" ht="15">
      <c r="O165" s="9"/>
      <c r="P165" s="9"/>
      <c r="Q165" s="9"/>
      <c r="Z165" s="9"/>
      <c r="HO165"/>
      <c r="HP165"/>
      <c r="HQ165"/>
      <c r="HR165"/>
    </row>
    <row r="166" spans="15:226" ht="15">
      <c r="O166" s="9"/>
      <c r="P166" s="9"/>
      <c r="Q166" s="9"/>
      <c r="Z166" s="9"/>
      <c r="HO166"/>
      <c r="HP166"/>
      <c r="HQ166"/>
      <c r="HR166"/>
    </row>
    <row r="167" spans="15:226" ht="15">
      <c r="O167" s="9"/>
      <c r="P167" s="9"/>
      <c r="Q167" s="9"/>
      <c r="Z167" s="9"/>
      <c r="HO167"/>
      <c r="HP167"/>
      <c r="HQ167"/>
      <c r="HR167"/>
    </row>
    <row r="168" spans="15:226" ht="15">
      <c r="O168" s="9"/>
      <c r="P168" s="9"/>
      <c r="Q168" s="9"/>
      <c r="Z168" s="9"/>
      <c r="HO168"/>
      <c r="HP168"/>
      <c r="HQ168"/>
      <c r="HR168"/>
    </row>
    <row r="169" spans="15:226" ht="15">
      <c r="O169" s="9"/>
      <c r="P169" s="9"/>
      <c r="Q169" s="9"/>
      <c r="Z169" s="9"/>
      <c r="HO169"/>
      <c r="HP169"/>
      <c r="HQ169"/>
      <c r="HR169"/>
    </row>
    <row r="170" spans="15:226" ht="15">
      <c r="O170" s="9"/>
      <c r="P170" s="9"/>
      <c r="Q170" s="9"/>
      <c r="Z170" s="9"/>
      <c r="AA170" s="43"/>
      <c r="HO170"/>
      <c r="HP170"/>
      <c r="HQ170"/>
      <c r="HR170"/>
    </row>
    <row r="171" spans="15:226" ht="15">
      <c r="O171" s="9"/>
      <c r="P171" s="9"/>
      <c r="Q171" s="9"/>
      <c r="Z171" s="9"/>
      <c r="HO171"/>
      <c r="HP171"/>
      <c r="HQ171"/>
      <c r="HR171"/>
    </row>
    <row r="172" spans="15:226" ht="15">
      <c r="O172" s="9"/>
      <c r="P172" s="9"/>
      <c r="Q172" s="9"/>
      <c r="Z172" s="9"/>
      <c r="HO172"/>
      <c r="HP172"/>
      <c r="HQ172"/>
      <c r="HR172"/>
    </row>
    <row r="173" spans="15:226" ht="15">
      <c r="O173" s="9"/>
      <c r="P173" s="9"/>
      <c r="Q173" s="9"/>
      <c r="Z173" s="9"/>
      <c r="HO173"/>
      <c r="HP173"/>
      <c r="HQ173"/>
      <c r="HR173"/>
    </row>
    <row r="174" spans="15:226" ht="15">
      <c r="O174" s="9"/>
      <c r="P174" s="9"/>
      <c r="Q174" s="9"/>
      <c r="Z174" s="9"/>
      <c r="HO174"/>
      <c r="HP174"/>
      <c r="HQ174"/>
      <c r="HR174"/>
    </row>
    <row r="175" spans="15:226" ht="15">
      <c r="O175" s="9"/>
      <c r="P175" s="9"/>
      <c r="Q175" s="9"/>
      <c r="Z175" s="9"/>
      <c r="AA175" s="43"/>
      <c r="AD175" s="210"/>
      <c r="AE175" s="8"/>
      <c r="AF175" s="8"/>
      <c r="HO175"/>
      <c r="HP175"/>
      <c r="HQ175"/>
      <c r="HR175"/>
    </row>
    <row r="176" spans="15:226" ht="15">
      <c r="O176" s="9"/>
      <c r="P176" s="9"/>
      <c r="Q176" s="9"/>
      <c r="Z176" s="9"/>
      <c r="AD176" s="8"/>
      <c r="AE176" s="8"/>
      <c r="AF176" s="8"/>
      <c r="HO176"/>
      <c r="HP176"/>
      <c r="HQ176"/>
      <c r="HR176"/>
    </row>
    <row r="177" spans="15:226" ht="15">
      <c r="O177" s="9"/>
      <c r="P177" s="9"/>
      <c r="Q177" s="9"/>
      <c r="Z177" s="9"/>
      <c r="AD177" s="8"/>
      <c r="AE177" s="8"/>
      <c r="AF177" s="8"/>
      <c r="HO177"/>
      <c r="HP177"/>
      <c r="HQ177"/>
      <c r="HR177"/>
    </row>
    <row r="178" spans="15:226" ht="15">
      <c r="O178" s="9"/>
      <c r="P178" s="9"/>
      <c r="Q178" s="9"/>
      <c r="Z178" s="9"/>
      <c r="AD178" s="8"/>
      <c r="AE178" s="8"/>
      <c r="AF178" s="8"/>
      <c r="HO178"/>
      <c r="HP178"/>
      <c r="HQ178"/>
      <c r="HR178"/>
    </row>
    <row r="179" spans="15:226" ht="15">
      <c r="O179" s="9"/>
      <c r="P179" s="9"/>
      <c r="Q179" s="9"/>
      <c r="Z179" s="9"/>
      <c r="AD179" s="8"/>
      <c r="AE179" s="8"/>
      <c r="AF179" s="8"/>
      <c r="HO179"/>
      <c r="HP179"/>
      <c r="HQ179"/>
      <c r="HR179"/>
    </row>
    <row r="180" spans="15:226" ht="15">
      <c r="O180" s="9"/>
      <c r="P180" s="9"/>
      <c r="Q180" s="9"/>
      <c r="Z180" s="9"/>
      <c r="AD180" s="8"/>
      <c r="AE180" s="8"/>
      <c r="AF180" s="8"/>
      <c r="HO180"/>
      <c r="HP180"/>
      <c r="HQ180"/>
      <c r="HR180"/>
    </row>
    <row r="181" spans="15:226" ht="15">
      <c r="O181" s="9"/>
      <c r="P181" s="9"/>
      <c r="Q181" s="9"/>
      <c r="Z181" s="9"/>
      <c r="HO181"/>
      <c r="HP181"/>
      <c r="HQ181"/>
      <c r="HR181"/>
    </row>
    <row r="182" spans="15:226" ht="15">
      <c r="O182" s="9"/>
      <c r="P182" s="9"/>
      <c r="Q182" s="9"/>
      <c r="Z182" s="9"/>
      <c r="HO182"/>
      <c r="HP182"/>
      <c r="HQ182"/>
      <c r="HR182"/>
    </row>
    <row r="183" spans="15:226" ht="15">
      <c r="O183" s="9"/>
      <c r="P183" s="9"/>
      <c r="Q183" s="9"/>
      <c r="Z183" s="9"/>
      <c r="HO183"/>
      <c r="HP183"/>
      <c r="HQ183"/>
      <c r="HR183"/>
    </row>
    <row r="184" spans="15:226" ht="15">
      <c r="O184" s="9"/>
      <c r="P184" s="9"/>
      <c r="Q184" s="9"/>
      <c r="Z184" s="9"/>
      <c r="HO184"/>
      <c r="HP184"/>
      <c r="HQ184"/>
      <c r="HR184"/>
    </row>
    <row r="185" spans="15:226" ht="15">
      <c r="O185" s="9"/>
      <c r="P185" s="9"/>
      <c r="Q185" s="9"/>
      <c r="Z185" s="9"/>
      <c r="HO185"/>
      <c r="HP185"/>
      <c r="HQ185"/>
      <c r="HR185"/>
    </row>
    <row r="186" spans="15:226" ht="15">
      <c r="O186" s="9"/>
      <c r="P186" s="9"/>
      <c r="Q186" s="9"/>
      <c r="Z186" s="9"/>
      <c r="HO186"/>
      <c r="HP186"/>
      <c r="HQ186"/>
      <c r="HR186"/>
    </row>
    <row r="187" spans="15:226" ht="15">
      <c r="O187" s="9"/>
      <c r="P187" s="9"/>
      <c r="Q187" s="9"/>
      <c r="Z187" s="9"/>
      <c r="HO187"/>
      <c r="HP187"/>
      <c r="HQ187"/>
      <c r="HR187"/>
    </row>
    <row r="188" spans="15:226" ht="15">
      <c r="O188" s="9"/>
      <c r="P188" s="9"/>
      <c r="Q188" s="9"/>
      <c r="Z188" s="9"/>
      <c r="AA188" s="174"/>
      <c r="AJ188" s="35"/>
      <c r="AK188" s="35"/>
      <c r="AO188" s="35"/>
      <c r="AP188" s="35"/>
      <c r="HO188"/>
      <c r="HP188"/>
      <c r="HQ188"/>
      <c r="HR188"/>
    </row>
    <row r="189" spans="15:226" ht="15">
      <c r="O189" s="9"/>
      <c r="P189" s="9"/>
      <c r="Q189" s="9"/>
      <c r="Z189" s="9"/>
      <c r="AA189" s="35"/>
      <c r="AJ189" s="35"/>
      <c r="AK189" s="35"/>
      <c r="AO189" s="35"/>
      <c r="AP189" s="35"/>
      <c r="HO189"/>
      <c r="HP189"/>
      <c r="HQ189"/>
      <c r="HR189"/>
    </row>
    <row r="190" spans="15:226" ht="15">
      <c r="O190" s="9"/>
      <c r="P190" s="9"/>
      <c r="Q190" s="9"/>
      <c r="Z190" s="9"/>
      <c r="AA190" s="35"/>
      <c r="AJ190" s="35"/>
      <c r="AK190" s="35"/>
      <c r="AO190" s="35"/>
      <c r="AP190" s="35"/>
      <c r="DT190" s="189"/>
      <c r="HO190"/>
      <c r="HP190"/>
      <c r="HQ190"/>
      <c r="HR190"/>
    </row>
    <row r="191" spans="15:226" ht="15">
      <c r="O191" s="9"/>
      <c r="P191" s="9"/>
      <c r="Q191" s="9"/>
      <c r="Z191" s="9"/>
      <c r="AA191" s="35"/>
      <c r="AJ191" s="35"/>
      <c r="AK191" s="35"/>
      <c r="AO191" s="35"/>
      <c r="AP191" s="35"/>
      <c r="DT191" s="189"/>
      <c r="HO191"/>
      <c r="HP191"/>
      <c r="HQ191"/>
      <c r="HR191"/>
    </row>
    <row r="192" spans="15:226" ht="15">
      <c r="O192" s="9"/>
      <c r="P192" s="9"/>
      <c r="Q192" s="9"/>
      <c r="Z192" s="9"/>
      <c r="AA192" s="35"/>
      <c r="AJ192" s="35"/>
      <c r="AK192" s="35"/>
      <c r="AO192" s="35"/>
      <c r="AP192" s="35"/>
      <c r="AT192" s="35"/>
      <c r="AU192" s="35"/>
      <c r="HO192"/>
      <c r="HP192"/>
      <c r="HQ192"/>
      <c r="HR192"/>
    </row>
    <row r="193" spans="15:226" ht="15">
      <c r="O193" s="9"/>
      <c r="P193" s="9"/>
      <c r="Q193" s="9"/>
      <c r="Z193" s="9"/>
      <c r="AA193" s="35"/>
      <c r="AJ193" s="35"/>
      <c r="AK193" s="35"/>
      <c r="AO193" s="35"/>
      <c r="AP193" s="35"/>
      <c r="AT193" s="35"/>
      <c r="AU193" s="35"/>
      <c r="DT193" s="189"/>
      <c r="HO193"/>
      <c r="HP193"/>
      <c r="HQ193"/>
      <c r="HR193"/>
    </row>
    <row r="194" spans="15:226" ht="15">
      <c r="O194" s="9"/>
      <c r="P194" s="9"/>
      <c r="Q194" s="9"/>
      <c r="Z194" s="9"/>
      <c r="AA194" s="211"/>
      <c r="AB194" s="8"/>
      <c r="AC194" s="8"/>
      <c r="AD194" s="8"/>
      <c r="AH194" s="8"/>
      <c r="AI194" s="8"/>
      <c r="AJ194" s="45"/>
      <c r="AK194" s="45"/>
      <c r="AL194" s="8"/>
      <c r="AM194" s="8"/>
      <c r="AN194" s="8"/>
      <c r="AO194" s="45"/>
      <c r="AP194" s="45"/>
      <c r="AQ194" s="8"/>
      <c r="AR194" s="8"/>
      <c r="AT194" s="35"/>
      <c r="AU194" s="35"/>
      <c r="AW194" s="8"/>
      <c r="HO194"/>
      <c r="HP194"/>
      <c r="HQ194"/>
      <c r="HR194"/>
    </row>
    <row r="195" spans="15:226" ht="15">
      <c r="O195" s="9"/>
      <c r="P195" s="9"/>
      <c r="Q195" s="9"/>
      <c r="Z195" s="9"/>
      <c r="AA195" s="8"/>
      <c r="AB195" s="45"/>
      <c r="AC195" s="45"/>
      <c r="AD195" s="45"/>
      <c r="AH195" s="8"/>
      <c r="AI195" s="8"/>
      <c r="AJ195" s="45"/>
      <c r="AK195" s="45"/>
      <c r="AL195" s="45"/>
      <c r="AM195" s="45"/>
      <c r="AN195" s="45"/>
      <c r="AO195" s="45"/>
      <c r="AP195" s="45"/>
      <c r="AQ195" s="45"/>
      <c r="AR195" s="45"/>
      <c r="AT195" s="35"/>
      <c r="AU195" s="35"/>
      <c r="AW195" s="8"/>
      <c r="HO195"/>
      <c r="HP195"/>
      <c r="HQ195"/>
      <c r="HR195"/>
    </row>
    <row r="196" spans="15:226" ht="15">
      <c r="O196" s="9"/>
      <c r="P196" s="9"/>
      <c r="Q196" s="9"/>
      <c r="Z196" s="9"/>
      <c r="AA196" s="45"/>
      <c r="AB196" s="45"/>
      <c r="AC196" s="45"/>
      <c r="AD196" s="45"/>
      <c r="AH196" s="8"/>
      <c r="AI196" s="8"/>
      <c r="AJ196" s="45"/>
      <c r="AK196" s="45"/>
      <c r="AL196" s="45"/>
      <c r="AM196" s="45"/>
      <c r="AN196" s="45"/>
      <c r="AO196" s="45"/>
      <c r="AP196" s="45"/>
      <c r="AQ196" s="45"/>
      <c r="AR196" s="45"/>
      <c r="AT196" s="35"/>
      <c r="AU196" s="35"/>
      <c r="AW196" s="8"/>
      <c r="HO196"/>
      <c r="HP196"/>
      <c r="HQ196"/>
      <c r="HR196"/>
    </row>
    <row r="197" spans="15:226" ht="15">
      <c r="O197" s="9"/>
      <c r="P197" s="9"/>
      <c r="Q197" s="9"/>
      <c r="Z197" s="9"/>
      <c r="AA197" s="45"/>
      <c r="AB197" s="45"/>
      <c r="AC197" s="45"/>
      <c r="AD197" s="45"/>
      <c r="AH197" s="8"/>
      <c r="AI197" s="8"/>
      <c r="AJ197" s="45"/>
      <c r="AK197" s="45"/>
      <c r="AL197" s="45"/>
      <c r="AM197" s="45"/>
      <c r="AN197" s="45"/>
      <c r="AO197" s="45"/>
      <c r="AP197" s="45"/>
      <c r="AQ197" s="45"/>
      <c r="AR197" s="45"/>
      <c r="AT197" s="35"/>
      <c r="AU197" s="35"/>
      <c r="AW197" s="8"/>
      <c r="HO197"/>
      <c r="HP197"/>
      <c r="HQ197"/>
      <c r="HR197"/>
    </row>
    <row r="198" spans="15:226" ht="15">
      <c r="O198" s="9"/>
      <c r="P198" s="9"/>
      <c r="Q198" s="9"/>
      <c r="Z198" s="9"/>
      <c r="AA198" s="45"/>
      <c r="AB198" s="8"/>
      <c r="AC198" s="8"/>
      <c r="AD198" s="8"/>
      <c r="AH198" s="8"/>
      <c r="AI198" s="8"/>
      <c r="AJ198" s="45"/>
      <c r="AK198" s="45"/>
      <c r="AL198" s="8"/>
      <c r="AM198" s="8"/>
      <c r="AN198" s="8"/>
      <c r="AO198" s="45"/>
      <c r="AP198" s="45"/>
      <c r="AQ198" s="8"/>
      <c r="AR198" s="8"/>
      <c r="AS198" s="8"/>
      <c r="AT198" s="45"/>
      <c r="AU198" s="45"/>
      <c r="AV198" s="8"/>
      <c r="AW198" s="8"/>
      <c r="HO198"/>
      <c r="HP198"/>
      <c r="HQ198"/>
      <c r="HR198"/>
    </row>
    <row r="199" spans="15:226" ht="15">
      <c r="O199" s="9"/>
      <c r="P199" s="9"/>
      <c r="Q199" s="9"/>
      <c r="Z199" s="9"/>
      <c r="AA199" s="211"/>
      <c r="AB199" s="8"/>
      <c r="AC199" s="8"/>
      <c r="AD199" s="8"/>
      <c r="AJ199" s="35"/>
      <c r="AK199" s="35"/>
      <c r="AO199" s="35"/>
      <c r="AP199" s="35"/>
      <c r="AS199" s="45"/>
      <c r="AT199" s="45"/>
      <c r="AU199" s="45"/>
      <c r="AV199" s="45"/>
      <c r="HO199"/>
      <c r="HP199"/>
      <c r="HQ199"/>
      <c r="HR199"/>
    </row>
    <row r="200" spans="15:226" ht="15">
      <c r="O200" s="9"/>
      <c r="P200" s="9"/>
      <c r="Q200" s="9"/>
      <c r="Z200" s="9"/>
      <c r="AA200" s="8"/>
      <c r="AB200" s="8"/>
      <c r="AC200" s="8"/>
      <c r="AD200" s="8"/>
      <c r="AJ200" s="35"/>
      <c r="AK200" s="35"/>
      <c r="AO200" s="35"/>
      <c r="AP200" s="35"/>
      <c r="AS200" s="45"/>
      <c r="AT200" s="45"/>
      <c r="AU200" s="45"/>
      <c r="AV200" s="45"/>
      <c r="HO200"/>
      <c r="HP200"/>
      <c r="HQ200"/>
      <c r="HR200"/>
    </row>
    <row r="201" spans="15:226" ht="15">
      <c r="O201" s="9"/>
      <c r="P201" s="9"/>
      <c r="Q201" s="9"/>
      <c r="Z201" s="9"/>
      <c r="AA201" s="45"/>
      <c r="AB201" s="8"/>
      <c r="AC201" s="8"/>
      <c r="AD201" s="8"/>
      <c r="AJ201" s="35"/>
      <c r="AK201" s="35"/>
      <c r="AO201" s="35"/>
      <c r="AP201" s="35"/>
      <c r="AS201" s="45"/>
      <c r="AT201" s="45"/>
      <c r="AU201" s="45"/>
      <c r="AV201" s="45"/>
      <c r="HO201"/>
      <c r="HP201"/>
      <c r="HQ201"/>
      <c r="HR201"/>
    </row>
    <row r="202" spans="15:226" ht="15">
      <c r="O202" s="9"/>
      <c r="P202" s="9"/>
      <c r="Q202" s="9"/>
      <c r="Z202" s="9"/>
      <c r="AA202" s="45"/>
      <c r="AB202" s="8"/>
      <c r="AC202" s="8"/>
      <c r="AD202" s="8"/>
      <c r="AJ202" s="35"/>
      <c r="AK202" s="35"/>
      <c r="AO202" s="35"/>
      <c r="AP202" s="35"/>
      <c r="AS202" s="8"/>
      <c r="AT202" s="45"/>
      <c r="AU202" s="45"/>
      <c r="AV202" s="8"/>
      <c r="HO202"/>
      <c r="HP202"/>
      <c r="HQ202"/>
      <c r="HR202"/>
    </row>
    <row r="203" spans="15:226" ht="15">
      <c r="O203" s="9"/>
      <c r="P203" s="9"/>
      <c r="Q203" s="9"/>
      <c r="Z203" s="9"/>
      <c r="AA203" s="35"/>
      <c r="AJ203" s="35"/>
      <c r="AK203" s="35"/>
      <c r="AO203" s="35"/>
      <c r="AP203" s="35"/>
      <c r="AT203" s="35"/>
      <c r="AU203" s="35"/>
      <c r="HO203"/>
      <c r="HP203"/>
      <c r="HQ203"/>
      <c r="HR203"/>
    </row>
    <row r="204" spans="15:226" ht="15">
      <c r="O204" s="9"/>
      <c r="P204" s="9"/>
      <c r="Q204" s="9"/>
      <c r="Z204" s="9"/>
      <c r="AA204" s="34"/>
      <c r="AJ204" s="35"/>
      <c r="AK204" s="35"/>
      <c r="AO204" s="35"/>
      <c r="AP204" s="35"/>
      <c r="AT204" s="35"/>
      <c r="AU204" s="35"/>
      <c r="HO204"/>
      <c r="HP204"/>
      <c r="HQ204"/>
      <c r="HR204"/>
    </row>
    <row r="205" spans="15:226" ht="15">
      <c r="O205" s="9"/>
      <c r="P205" s="9"/>
      <c r="Q205" s="9"/>
      <c r="Z205" s="9"/>
      <c r="AA205" s="35"/>
      <c r="AJ205" s="35"/>
      <c r="AK205" s="35"/>
      <c r="AO205" s="35"/>
      <c r="AP205" s="35"/>
      <c r="AT205" s="35"/>
      <c r="AU205" s="35"/>
      <c r="HO205"/>
      <c r="HP205"/>
      <c r="HQ205"/>
      <c r="HR205"/>
    </row>
    <row r="206" spans="15:226" ht="15">
      <c r="O206" s="9"/>
      <c r="P206" s="9"/>
      <c r="Q206" s="9"/>
      <c r="Z206" s="9"/>
      <c r="AA206" s="35"/>
      <c r="AJ206" s="35"/>
      <c r="AK206" s="35"/>
      <c r="AO206" s="35"/>
      <c r="AP206" s="35"/>
      <c r="AT206" s="35"/>
      <c r="AU206" s="35"/>
      <c r="HO206"/>
      <c r="HP206"/>
      <c r="HQ206"/>
      <c r="HR206"/>
    </row>
    <row r="207" spans="15:226" ht="15">
      <c r="O207" s="9"/>
      <c r="P207" s="9"/>
      <c r="Q207" s="9"/>
      <c r="Z207" s="9"/>
      <c r="AA207" s="35"/>
      <c r="AJ207" s="35"/>
      <c r="AK207" s="35"/>
      <c r="AO207" s="35"/>
      <c r="AP207" s="35"/>
      <c r="AT207" s="35"/>
      <c r="AU207" s="35"/>
      <c r="HO207"/>
      <c r="HP207"/>
      <c r="HQ207"/>
      <c r="HR207"/>
    </row>
    <row r="208" spans="15:226" ht="15">
      <c r="O208" s="9"/>
      <c r="P208" s="9"/>
      <c r="Q208" s="9"/>
      <c r="Z208" s="9"/>
      <c r="AA208" s="35"/>
      <c r="AJ208" s="35"/>
      <c r="AK208" s="35"/>
      <c r="AO208" s="35"/>
      <c r="AP208" s="35"/>
      <c r="AT208" s="35"/>
      <c r="AU208" s="35"/>
      <c r="HO208"/>
      <c r="HP208"/>
      <c r="HQ208"/>
      <c r="HR208"/>
    </row>
    <row r="209" spans="15:226" ht="15">
      <c r="O209" s="9"/>
      <c r="P209" s="9"/>
      <c r="Q209" s="9"/>
      <c r="Z209" s="9"/>
      <c r="AA209" s="35"/>
      <c r="AJ209" s="35"/>
      <c r="AK209" s="35"/>
      <c r="AO209" s="35"/>
      <c r="AP209" s="35"/>
      <c r="AT209" s="35"/>
      <c r="AU209" s="35"/>
      <c r="HO209"/>
      <c r="HP209"/>
      <c r="HQ209"/>
      <c r="HR209"/>
    </row>
    <row r="210" spans="15:226" ht="15">
      <c r="O210" s="9"/>
      <c r="P210" s="9"/>
      <c r="Q210" s="9"/>
      <c r="Z210" s="9"/>
      <c r="AA210" s="35"/>
      <c r="AJ210" s="35"/>
      <c r="AK210" s="35"/>
      <c r="AO210" s="35"/>
      <c r="AP210" s="35"/>
      <c r="AT210" s="35"/>
      <c r="AU210" s="35"/>
      <c r="HO210"/>
      <c r="HP210"/>
      <c r="HQ210"/>
      <c r="HR210"/>
    </row>
    <row r="211" spans="15:226" ht="15">
      <c r="O211" s="9"/>
      <c r="P211" s="9"/>
      <c r="Q211" s="9"/>
      <c r="Z211" s="9"/>
      <c r="AA211" s="35"/>
      <c r="AJ211" s="35"/>
      <c r="AK211" s="35"/>
      <c r="AO211" s="35"/>
      <c r="AP211" s="35"/>
      <c r="AT211" s="35"/>
      <c r="AU211" s="35"/>
      <c r="HO211"/>
      <c r="HP211"/>
      <c r="HQ211"/>
      <c r="HR211"/>
    </row>
    <row r="212" spans="15:226" ht="15">
      <c r="O212" s="9"/>
      <c r="P212" s="9"/>
      <c r="Q212" s="9"/>
      <c r="Z212" s="9"/>
      <c r="AA212" s="35"/>
      <c r="AJ212" s="35"/>
      <c r="AK212" s="35"/>
      <c r="AO212" s="35"/>
      <c r="AP212" s="35"/>
      <c r="AT212" s="35"/>
      <c r="AU212" s="35"/>
      <c r="HO212"/>
      <c r="HP212"/>
      <c r="HQ212"/>
      <c r="HR212"/>
    </row>
    <row r="213" spans="15:226" ht="15">
      <c r="O213" s="9"/>
      <c r="P213" s="9"/>
      <c r="Q213" s="9"/>
      <c r="Z213" s="9"/>
      <c r="AA213" s="35"/>
      <c r="AJ213" s="35"/>
      <c r="AK213" s="35"/>
      <c r="AO213" s="35"/>
      <c r="AP213" s="35"/>
      <c r="AT213" s="35"/>
      <c r="AU213" s="35"/>
      <c r="HO213"/>
      <c r="HP213"/>
      <c r="HQ213"/>
      <c r="HR213"/>
    </row>
    <row r="214" spans="15:226" ht="15">
      <c r="O214" s="9"/>
      <c r="P214" s="9"/>
      <c r="Q214" s="9"/>
      <c r="Z214" s="9"/>
      <c r="AA214" s="35"/>
      <c r="AJ214" s="35"/>
      <c r="AK214" s="35"/>
      <c r="AO214" s="35"/>
      <c r="AT214" s="35"/>
      <c r="AU214" s="35"/>
      <c r="HO214"/>
      <c r="HP214"/>
      <c r="HQ214"/>
      <c r="HR214"/>
    </row>
    <row r="215" spans="15:226" ht="15">
      <c r="O215" s="9"/>
      <c r="P215" s="9"/>
      <c r="Q215" s="9"/>
      <c r="Z215" s="9"/>
      <c r="AA215" s="35"/>
      <c r="AJ215" s="35"/>
      <c r="AK215" s="35"/>
      <c r="AO215" s="35"/>
      <c r="AT215" s="35"/>
      <c r="AU215" s="35"/>
      <c r="HO215"/>
      <c r="HP215"/>
      <c r="HQ215"/>
      <c r="HR215"/>
    </row>
    <row r="216" spans="15:226" ht="15">
      <c r="O216" s="9"/>
      <c r="P216" s="9"/>
      <c r="Q216" s="9"/>
      <c r="Z216" s="9"/>
      <c r="AA216" s="35"/>
      <c r="AJ216" s="35"/>
      <c r="AK216" s="35"/>
      <c r="AO216" s="35"/>
      <c r="AT216" s="35"/>
      <c r="AU216" s="35"/>
      <c r="HO216"/>
      <c r="HP216"/>
      <c r="HQ216"/>
      <c r="HR216"/>
    </row>
    <row r="217" spans="15:226" ht="15">
      <c r="O217" s="9"/>
      <c r="P217" s="9"/>
      <c r="Q217" s="9"/>
      <c r="Z217" s="9"/>
      <c r="AA217" s="35"/>
      <c r="AJ217" s="35"/>
      <c r="AK217" s="35"/>
      <c r="AO217" s="35"/>
      <c r="AT217" s="35"/>
      <c r="AU217" s="35"/>
      <c r="HO217"/>
      <c r="HP217"/>
      <c r="HQ217"/>
      <c r="HR217"/>
    </row>
    <row r="218" spans="15:226" ht="15">
      <c r="O218" s="9"/>
      <c r="P218" s="9"/>
      <c r="Q218" s="9"/>
      <c r="Z218" s="9"/>
      <c r="AA218" s="35"/>
      <c r="AJ218" s="35"/>
      <c r="AK218" s="35"/>
      <c r="AO218" s="35"/>
      <c r="AT218" s="35"/>
      <c r="AU218" s="35"/>
      <c r="HO218"/>
      <c r="HP218"/>
      <c r="HQ218"/>
      <c r="HR218"/>
    </row>
    <row r="219" spans="15:226" ht="15">
      <c r="O219" s="9"/>
      <c r="P219" s="9"/>
      <c r="Q219" s="9"/>
      <c r="Z219" s="9"/>
      <c r="AA219" s="35"/>
      <c r="AJ219" s="35"/>
      <c r="AK219" s="35"/>
      <c r="AO219" s="35"/>
      <c r="AT219" s="35"/>
      <c r="AU219" s="35"/>
      <c r="HO219"/>
      <c r="HP219"/>
      <c r="HQ219"/>
      <c r="HR219"/>
    </row>
    <row r="220" spans="15:226" ht="15">
      <c r="O220" s="9"/>
      <c r="P220" s="9"/>
      <c r="Q220" s="9"/>
      <c r="Z220" s="9"/>
      <c r="AA220" s="35"/>
      <c r="AJ220" s="35"/>
      <c r="AK220" s="35"/>
      <c r="AO220" s="35"/>
      <c r="AP220" s="35"/>
      <c r="AT220" s="35"/>
      <c r="AU220" s="35"/>
      <c r="HO220"/>
      <c r="HP220"/>
      <c r="HQ220"/>
      <c r="HR220"/>
    </row>
    <row r="221" spans="15:226" ht="15">
      <c r="O221" s="9"/>
      <c r="P221" s="9"/>
      <c r="Q221" s="9"/>
      <c r="Z221" s="9"/>
      <c r="AA221" s="35"/>
      <c r="AJ221" s="35"/>
      <c r="AK221" s="35"/>
      <c r="AO221" s="35"/>
      <c r="AP221" s="35"/>
      <c r="AT221" s="35"/>
      <c r="AU221" s="35"/>
      <c r="HO221"/>
      <c r="HP221"/>
      <c r="HQ221"/>
      <c r="HR221"/>
    </row>
    <row r="222" spans="15:226" ht="15">
      <c r="O222" s="9"/>
      <c r="P222" s="9"/>
      <c r="Q222" s="9"/>
      <c r="Z222" s="9"/>
      <c r="AA222" s="35"/>
      <c r="AJ222" s="35"/>
      <c r="AK222" s="35"/>
      <c r="AO222" s="35"/>
      <c r="AP222" s="35"/>
      <c r="AT222" s="35"/>
      <c r="AU222" s="35"/>
      <c r="HO222"/>
      <c r="HP222"/>
      <c r="HQ222"/>
      <c r="HR222"/>
    </row>
    <row r="223" spans="15:226" ht="15">
      <c r="O223" s="9"/>
      <c r="P223" s="9"/>
      <c r="Q223" s="9"/>
      <c r="Z223" s="9"/>
      <c r="AA223" s="35"/>
      <c r="AJ223" s="35"/>
      <c r="AK223" s="35"/>
      <c r="AO223" s="35"/>
      <c r="AP223" s="35"/>
      <c r="AT223" s="35"/>
      <c r="AU223" s="35"/>
      <c r="HO223"/>
      <c r="HP223"/>
      <c r="HQ223"/>
      <c r="HR223"/>
    </row>
    <row r="224" spans="15:226" ht="15">
      <c r="O224" s="9"/>
      <c r="P224" s="9"/>
      <c r="Q224" s="9"/>
      <c r="Z224" s="9"/>
      <c r="AA224" s="35"/>
      <c r="AJ224" s="35"/>
      <c r="AK224" s="35"/>
      <c r="AO224" s="35"/>
      <c r="AP224" s="35"/>
      <c r="AT224" s="35"/>
      <c r="AU224" s="35"/>
      <c r="HO224"/>
      <c r="HP224"/>
      <c r="HQ224"/>
      <c r="HR224"/>
    </row>
    <row r="225" spans="15:226" ht="15">
      <c r="O225" s="9"/>
      <c r="P225" s="9"/>
      <c r="Q225" s="9"/>
      <c r="Z225" s="9"/>
      <c r="AA225" s="35"/>
      <c r="AJ225" s="35"/>
      <c r="AK225" s="35"/>
      <c r="AO225" s="35"/>
      <c r="AP225" s="35"/>
      <c r="AT225" s="35"/>
      <c r="AU225" s="35"/>
      <c r="HO225"/>
      <c r="HP225"/>
      <c r="HQ225"/>
      <c r="HR225"/>
    </row>
    <row r="226" spans="15:226" ht="15">
      <c r="O226" s="9"/>
      <c r="P226" s="9"/>
      <c r="Q226" s="9"/>
      <c r="Z226" s="9"/>
      <c r="AA226" s="35"/>
      <c r="AJ226" s="35"/>
      <c r="AK226" s="35"/>
      <c r="AO226" s="35"/>
      <c r="AP226" s="35"/>
      <c r="AT226" s="35"/>
      <c r="AU226" s="35"/>
      <c r="HO226"/>
      <c r="HP226"/>
      <c r="HQ226"/>
      <c r="HR226"/>
    </row>
    <row r="227" spans="15:226" ht="15">
      <c r="O227" s="9"/>
      <c r="P227" s="9"/>
      <c r="Q227" s="9"/>
      <c r="Z227" s="9"/>
      <c r="AA227" s="35"/>
      <c r="AJ227" s="35"/>
      <c r="AK227" s="35"/>
      <c r="AO227" s="35"/>
      <c r="AP227" s="35"/>
      <c r="AT227" s="35"/>
      <c r="AU227" s="35"/>
      <c r="HO227"/>
      <c r="HP227"/>
      <c r="HQ227"/>
      <c r="HR227"/>
    </row>
    <row r="228" spans="15:226" ht="15">
      <c r="O228" s="9"/>
      <c r="P228" s="9"/>
      <c r="Q228" s="9"/>
      <c r="Z228" s="9"/>
      <c r="AA228" s="35"/>
      <c r="AJ228" s="35"/>
      <c r="AK228" s="35"/>
      <c r="AO228" s="35"/>
      <c r="AP228" s="35"/>
      <c r="AT228" s="35"/>
      <c r="AU228" s="35"/>
      <c r="HO228"/>
      <c r="HP228"/>
      <c r="HQ228"/>
      <c r="HR228"/>
    </row>
    <row r="229" spans="15:226" ht="15">
      <c r="O229" s="9"/>
      <c r="P229" s="9"/>
      <c r="Q229" s="9"/>
      <c r="Z229" s="9"/>
      <c r="AA229" s="35"/>
      <c r="AJ229" s="35"/>
      <c r="AK229" s="35"/>
      <c r="AO229" s="35"/>
      <c r="AP229" s="35"/>
      <c r="AT229" s="35"/>
      <c r="AU229" s="35"/>
      <c r="HO229"/>
      <c r="HP229"/>
      <c r="HQ229"/>
      <c r="HR229"/>
    </row>
    <row r="230" spans="15:226" ht="15">
      <c r="O230" s="9"/>
      <c r="P230" s="9"/>
      <c r="Q230" s="9"/>
      <c r="Z230" s="9"/>
      <c r="AA230" s="35"/>
      <c r="AJ230" s="35"/>
      <c r="AK230" s="35"/>
      <c r="AO230" s="35"/>
      <c r="AP230" s="35"/>
      <c r="AT230" s="35"/>
      <c r="AU230" s="35"/>
      <c r="HO230"/>
      <c r="HP230"/>
      <c r="HQ230"/>
      <c r="HR230"/>
    </row>
    <row r="231" spans="15:226" ht="15">
      <c r="O231" s="9"/>
      <c r="P231" s="9"/>
      <c r="Q231" s="9"/>
      <c r="Z231" s="9"/>
      <c r="AA231" s="35"/>
      <c r="AD231" s="9" t="s">
        <v>1557</v>
      </c>
      <c r="AJ231" s="35"/>
      <c r="AK231" s="35"/>
      <c r="AO231" s="35"/>
      <c r="AP231" s="35"/>
      <c r="AT231" s="35"/>
      <c r="AU231" s="35"/>
      <c r="HO231"/>
      <c r="HP231"/>
      <c r="HQ231"/>
      <c r="HR231"/>
    </row>
    <row r="232" spans="15:226" ht="15">
      <c r="O232" s="9"/>
      <c r="P232" s="9"/>
      <c r="Q232" s="9"/>
      <c r="Z232" s="9"/>
      <c r="AA232" s="35"/>
      <c r="AD232" s="9" t="s">
        <v>1557</v>
      </c>
      <c r="AJ232" s="35"/>
      <c r="AK232" s="35"/>
      <c r="AO232" s="35"/>
      <c r="AP232" s="35"/>
      <c r="AT232" s="35"/>
      <c r="AU232" s="35"/>
      <c r="HO232"/>
      <c r="HP232"/>
      <c r="HQ232"/>
      <c r="HR232"/>
    </row>
    <row r="233" spans="15:226" ht="15">
      <c r="O233" s="9"/>
      <c r="P233" s="9"/>
      <c r="Q233" s="9"/>
      <c r="Z233" s="9"/>
      <c r="AA233" s="35"/>
      <c r="AJ233" s="35"/>
      <c r="AK233" s="35"/>
      <c r="AO233" s="35"/>
      <c r="AP233" s="35"/>
      <c r="AT233" s="35"/>
      <c r="AU233" s="35"/>
      <c r="HO233"/>
      <c r="HP233"/>
      <c r="HQ233"/>
      <c r="HR233"/>
    </row>
    <row r="234" spans="15:226" ht="15">
      <c r="O234" s="9"/>
      <c r="P234" s="9"/>
      <c r="Q234" s="9"/>
      <c r="Z234" s="9"/>
      <c r="AA234" s="35"/>
      <c r="AJ234" s="35"/>
      <c r="AK234" s="35"/>
      <c r="AO234" s="35"/>
      <c r="AP234" s="35"/>
      <c r="AT234" s="35"/>
      <c r="AU234" s="35"/>
      <c r="HO234"/>
      <c r="HP234"/>
      <c r="HQ234"/>
      <c r="HR234"/>
    </row>
    <row r="235" spans="15:226" ht="15">
      <c r="O235" s="9"/>
      <c r="P235" s="9"/>
      <c r="Q235" s="9"/>
      <c r="Z235" s="9"/>
      <c r="AA235" s="35"/>
      <c r="AJ235" s="35"/>
      <c r="AK235" s="35"/>
      <c r="AO235" s="35"/>
      <c r="AP235" s="35"/>
      <c r="AT235" s="35"/>
      <c r="AU235" s="35"/>
      <c r="HO235"/>
      <c r="HP235"/>
      <c r="HQ235"/>
      <c r="HR235"/>
    </row>
    <row r="236" spans="15:226" ht="15">
      <c r="O236" s="9"/>
      <c r="P236" s="9"/>
      <c r="Q236" s="9"/>
      <c r="Z236" s="9"/>
      <c r="AA236" s="35"/>
      <c r="AJ236" s="35"/>
      <c r="AK236" s="35"/>
      <c r="AO236" s="35"/>
      <c r="AP236" s="35"/>
      <c r="AT236" s="35"/>
      <c r="AU236" s="35"/>
      <c r="HO236"/>
      <c r="HP236"/>
      <c r="HQ236"/>
      <c r="HR236"/>
    </row>
    <row r="237" spans="15:226" ht="15">
      <c r="O237" s="9"/>
      <c r="P237" s="9"/>
      <c r="Q237" s="9"/>
      <c r="Z237" s="9"/>
      <c r="AA237" s="35"/>
      <c r="AJ237" s="35"/>
      <c r="AK237" s="35"/>
      <c r="AO237" s="35"/>
      <c r="AP237" s="35"/>
      <c r="AT237" s="35"/>
      <c r="AU237" s="35"/>
      <c r="HO237"/>
      <c r="HP237"/>
      <c r="HQ237"/>
      <c r="HR237"/>
    </row>
    <row r="238" spans="15:226" ht="15">
      <c r="O238" s="9"/>
      <c r="P238" s="9"/>
      <c r="Q238" s="9"/>
      <c r="Z238" s="9"/>
      <c r="AA238" s="35"/>
      <c r="AJ238" s="35"/>
      <c r="AK238" s="35"/>
      <c r="AO238" s="35"/>
      <c r="AP238" s="35"/>
      <c r="AT238" s="35"/>
      <c r="AU238" s="35"/>
      <c r="HO238"/>
      <c r="HP238"/>
      <c r="HQ238"/>
      <c r="HR238"/>
    </row>
    <row r="239" spans="15:226" ht="15">
      <c r="O239" s="9"/>
      <c r="P239" s="9"/>
      <c r="Q239" s="9"/>
      <c r="Z239" s="9"/>
      <c r="AA239" s="35"/>
      <c r="AJ239" s="35"/>
      <c r="AK239" s="35"/>
      <c r="AO239" s="35"/>
      <c r="AP239" s="35"/>
      <c r="AT239" s="35"/>
      <c r="AU239" s="35"/>
      <c r="HO239"/>
      <c r="HP239"/>
      <c r="HQ239"/>
      <c r="HR239"/>
    </row>
    <row r="240" spans="15:226" ht="15">
      <c r="O240" s="9"/>
      <c r="P240" s="9"/>
      <c r="Q240" s="9"/>
      <c r="Z240" s="9"/>
      <c r="AA240" s="35"/>
      <c r="AJ240" s="35"/>
      <c r="AK240" s="35"/>
      <c r="AO240" s="35"/>
      <c r="AP240" s="35"/>
      <c r="AT240" s="35"/>
      <c r="AU240" s="35"/>
      <c r="HO240"/>
      <c r="HP240"/>
      <c r="HQ240"/>
      <c r="HR240"/>
    </row>
    <row r="241" spans="15:226" ht="15">
      <c r="O241" s="9"/>
      <c r="P241" s="9"/>
      <c r="Q241" s="9"/>
      <c r="Z241" s="9"/>
      <c r="AA241" s="35"/>
      <c r="AJ241" s="35"/>
      <c r="AK241" s="35"/>
      <c r="AO241" s="35"/>
      <c r="AP241" s="35"/>
      <c r="AT241" s="35"/>
      <c r="AU241" s="35"/>
      <c r="HO241"/>
      <c r="HP241"/>
      <c r="HQ241"/>
      <c r="HR241"/>
    </row>
    <row r="242" spans="15:226" ht="15">
      <c r="O242" s="9"/>
      <c r="P242" s="9"/>
      <c r="Q242" s="9"/>
      <c r="Z242" s="9"/>
      <c r="AA242" s="35"/>
      <c r="AJ242" s="35"/>
      <c r="AK242" s="35"/>
      <c r="AO242" s="35"/>
      <c r="AP242" s="35"/>
      <c r="AT242" s="35"/>
      <c r="AU242" s="35"/>
      <c r="HO242"/>
      <c r="HP242"/>
      <c r="HQ242"/>
      <c r="HR242"/>
    </row>
    <row r="243" spans="15:226" ht="15">
      <c r="O243" s="9"/>
      <c r="P243" s="9"/>
      <c r="Q243" s="9"/>
      <c r="Z243" s="9"/>
      <c r="AA243" s="35"/>
      <c r="AJ243" s="35"/>
      <c r="AK243" s="35"/>
      <c r="AO243" s="35"/>
      <c r="AP243" s="35"/>
      <c r="AT243" s="35"/>
      <c r="AU243" s="35"/>
      <c r="HO243"/>
      <c r="HP243"/>
      <c r="HQ243"/>
      <c r="HR243"/>
    </row>
    <row r="244" spans="15:226" ht="15">
      <c r="O244" s="9"/>
      <c r="P244" s="9"/>
      <c r="Q244" s="9"/>
      <c r="Z244" s="9"/>
      <c r="AA244" s="35"/>
      <c r="AJ244" s="35"/>
      <c r="AK244" s="35"/>
      <c r="AO244" s="35"/>
      <c r="AP244" s="35"/>
      <c r="AT244" s="35"/>
      <c r="AU244" s="35"/>
      <c r="HO244"/>
      <c r="HP244"/>
      <c r="HQ244"/>
      <c r="HR244"/>
    </row>
    <row r="245" spans="15:226" ht="15">
      <c r="O245" s="9"/>
      <c r="P245" s="9"/>
      <c r="Q245" s="9"/>
      <c r="Z245" s="9"/>
      <c r="AA245" s="35"/>
      <c r="AJ245" s="35"/>
      <c r="AK245" s="35"/>
      <c r="AO245" s="35"/>
      <c r="AP245" s="35"/>
      <c r="AT245" s="35"/>
      <c r="AU245" s="35"/>
      <c r="HO245"/>
      <c r="HP245"/>
      <c r="HQ245"/>
      <c r="HR245"/>
    </row>
    <row r="246" spans="15:226" ht="15">
      <c r="O246" s="9"/>
      <c r="P246" s="9"/>
      <c r="Q246" s="9"/>
      <c r="Z246" s="9"/>
      <c r="AA246" s="35"/>
      <c r="AJ246" s="35"/>
      <c r="AK246" s="35"/>
      <c r="AO246" s="35"/>
      <c r="AP246" s="35"/>
      <c r="AT246" s="35"/>
      <c r="AU246" s="35"/>
      <c r="HO246"/>
      <c r="HP246"/>
      <c r="HQ246"/>
      <c r="HR246"/>
    </row>
    <row r="247" spans="15:226" ht="15">
      <c r="O247" s="9"/>
      <c r="P247" s="9"/>
      <c r="Q247" s="9"/>
      <c r="Z247" s="9"/>
      <c r="AA247" s="35"/>
      <c r="AJ247" s="35"/>
      <c r="AK247" s="35"/>
      <c r="AO247" s="35"/>
      <c r="AP247" s="35"/>
      <c r="AT247" s="35"/>
      <c r="AU247" s="35"/>
      <c r="HO247"/>
      <c r="HP247"/>
      <c r="HQ247"/>
      <c r="HR247"/>
    </row>
    <row r="248" spans="15:226" ht="15">
      <c r="O248" s="9"/>
      <c r="P248" s="9"/>
      <c r="Q248" s="9"/>
      <c r="Z248" s="9"/>
      <c r="AA248" s="35"/>
      <c r="AJ248" s="35"/>
      <c r="AK248" s="35"/>
      <c r="AO248" s="35"/>
      <c r="AP248" s="35"/>
      <c r="AT248" s="35"/>
      <c r="AU248" s="35"/>
      <c r="HO248"/>
      <c r="HP248"/>
      <c r="HQ248"/>
      <c r="HR248"/>
    </row>
    <row r="249" spans="15:226" ht="15">
      <c r="O249" s="9"/>
      <c r="P249" s="9"/>
      <c r="Q249" s="9"/>
      <c r="Z249" s="9"/>
      <c r="AA249" s="35"/>
      <c r="AJ249" s="35"/>
      <c r="AK249" s="35"/>
      <c r="AO249" s="35"/>
      <c r="AP249" s="35"/>
      <c r="AT249" s="35"/>
      <c r="AU249" s="35"/>
      <c r="HO249"/>
      <c r="HP249"/>
      <c r="HQ249"/>
      <c r="HR249"/>
    </row>
    <row r="250" spans="15:226" ht="15">
      <c r="O250" s="9"/>
      <c r="P250" s="9"/>
      <c r="Q250" s="9"/>
      <c r="Z250" s="9"/>
      <c r="AA250" s="35"/>
      <c r="AJ250" s="35"/>
      <c r="AK250" s="35"/>
      <c r="AO250" s="35"/>
      <c r="AP250" s="35"/>
      <c r="AT250" s="35"/>
      <c r="AU250" s="35"/>
      <c r="HO250"/>
      <c r="HP250"/>
      <c r="HQ250"/>
      <c r="HR250"/>
    </row>
    <row r="251" spans="15:226" ht="15">
      <c r="O251" s="9"/>
      <c r="P251" s="9"/>
      <c r="Q251" s="9"/>
      <c r="Z251" s="9"/>
      <c r="AA251" s="35"/>
      <c r="AJ251" s="35"/>
      <c r="AK251" s="35"/>
      <c r="AO251" s="35"/>
      <c r="AP251" s="35"/>
      <c r="AT251" s="35"/>
      <c r="AU251" s="35"/>
      <c r="HO251"/>
      <c r="HP251"/>
      <c r="HQ251"/>
      <c r="HR251"/>
    </row>
    <row r="252" spans="15:226" ht="15">
      <c r="O252" s="9"/>
      <c r="P252" s="9"/>
      <c r="Q252" s="9"/>
      <c r="Z252" s="9"/>
      <c r="AA252" s="35"/>
      <c r="AJ252" s="35"/>
      <c r="AK252" s="35"/>
      <c r="AO252" s="35"/>
      <c r="AP252" s="35"/>
      <c r="AT252" s="35"/>
      <c r="AU252" s="35"/>
      <c r="HO252"/>
      <c r="HP252"/>
      <c r="HQ252"/>
      <c r="HR252"/>
    </row>
    <row r="253" spans="15:226" ht="15">
      <c r="O253" s="9"/>
      <c r="P253" s="9"/>
      <c r="Q253" s="9"/>
      <c r="Z253" s="9"/>
      <c r="AA253" s="35"/>
      <c r="AJ253" s="35"/>
      <c r="AK253" s="35"/>
      <c r="AO253" s="35"/>
      <c r="AP253" s="35"/>
      <c r="AT253" s="35"/>
      <c r="AU253" s="35"/>
      <c r="HO253"/>
      <c r="HP253"/>
      <c r="HQ253"/>
      <c r="HR253"/>
    </row>
    <row r="254" spans="15:226" ht="15">
      <c r="O254" s="9"/>
      <c r="P254" s="9"/>
      <c r="Q254" s="9"/>
      <c r="Z254" s="9"/>
      <c r="AA254" s="35"/>
      <c r="AJ254" s="35"/>
      <c r="AK254" s="35"/>
      <c r="AO254" s="35"/>
      <c r="AP254" s="35"/>
      <c r="AT254" s="35"/>
      <c r="AU254" s="35"/>
      <c r="HO254"/>
      <c r="HP254"/>
      <c r="HQ254"/>
      <c r="HR254"/>
    </row>
    <row r="255" spans="15:226" ht="15">
      <c r="O255" s="9"/>
      <c r="P255" s="9"/>
      <c r="Q255" s="9"/>
      <c r="Z255" s="9"/>
      <c r="AA255" s="35"/>
      <c r="AJ255" s="35"/>
      <c r="AK255" s="35"/>
      <c r="AO255" s="35"/>
      <c r="AP255" s="35"/>
      <c r="AT255" s="35"/>
      <c r="AU255" s="35"/>
      <c r="HO255"/>
      <c r="HP255"/>
      <c r="HQ255"/>
      <c r="HR255"/>
    </row>
    <row r="256" spans="15:226" ht="15">
      <c r="O256" s="9"/>
      <c r="P256" s="9"/>
      <c r="Q256" s="9"/>
      <c r="Z256" s="9"/>
      <c r="AA256" s="35"/>
      <c r="AJ256" s="35"/>
      <c r="AK256" s="35"/>
      <c r="AO256" s="35"/>
      <c r="AP256" s="35"/>
      <c r="AT256" s="35"/>
      <c r="AU256" s="35"/>
      <c r="HO256"/>
      <c r="HP256"/>
      <c r="HQ256"/>
      <c r="HR256"/>
    </row>
    <row r="257" spans="15:226" ht="15">
      <c r="O257" s="9"/>
      <c r="P257" s="9"/>
      <c r="Q257" s="9"/>
      <c r="Z257" s="9"/>
      <c r="AA257" s="35"/>
      <c r="AJ257" s="35"/>
      <c r="AK257" s="35"/>
      <c r="AO257" s="35"/>
      <c r="AP257" s="35"/>
      <c r="AT257" s="35"/>
      <c r="AU257" s="35"/>
      <c r="HO257"/>
      <c r="HP257"/>
      <c r="HQ257"/>
      <c r="HR257"/>
    </row>
    <row r="258" spans="15:226" ht="15">
      <c r="O258" s="9"/>
      <c r="P258" s="9"/>
      <c r="Q258" s="9"/>
      <c r="Z258" s="9"/>
      <c r="AA258" s="35"/>
      <c r="AJ258" s="35"/>
      <c r="AK258" s="35"/>
      <c r="AO258" s="35"/>
      <c r="AP258" s="35"/>
      <c r="AT258" s="35"/>
      <c r="AU258" s="35"/>
      <c r="HO258"/>
      <c r="HP258"/>
      <c r="HQ258"/>
      <c r="HR258"/>
    </row>
    <row r="259" spans="15:226" ht="15">
      <c r="O259" s="9"/>
      <c r="P259" s="9"/>
      <c r="Q259" s="9"/>
      <c r="Z259" s="9"/>
      <c r="AA259" s="35"/>
      <c r="AJ259" s="35"/>
      <c r="AK259" s="35"/>
      <c r="AO259" s="35"/>
      <c r="AP259" s="35"/>
      <c r="AT259" s="35"/>
      <c r="AU259" s="35"/>
      <c r="HO259"/>
      <c r="HP259"/>
      <c r="HQ259"/>
      <c r="HR259"/>
    </row>
    <row r="260" spans="15:226" ht="15">
      <c r="O260" s="9"/>
      <c r="P260" s="9"/>
      <c r="Q260" s="9"/>
      <c r="Z260" s="9"/>
      <c r="AA260" s="35"/>
      <c r="AJ260" s="35"/>
      <c r="AK260" s="35"/>
      <c r="AO260" s="35"/>
      <c r="AP260" s="35"/>
      <c r="AT260" s="35"/>
      <c r="AU260" s="35"/>
      <c r="HO260"/>
      <c r="HP260"/>
      <c r="HQ260"/>
      <c r="HR260"/>
    </row>
    <row r="261" spans="15:226" ht="15">
      <c r="O261" s="9"/>
      <c r="P261" s="9"/>
      <c r="Q261" s="9"/>
      <c r="Z261" s="9"/>
      <c r="AA261" s="35"/>
      <c r="AJ261" s="35"/>
      <c r="AK261" s="35"/>
      <c r="AO261" s="35"/>
      <c r="AP261" s="35"/>
      <c r="AT261" s="35"/>
      <c r="AU261" s="35"/>
      <c r="HO261"/>
      <c r="HP261"/>
      <c r="HQ261"/>
      <c r="HR261"/>
    </row>
    <row r="262" spans="15:226" ht="15">
      <c r="O262" s="9"/>
      <c r="P262" s="9"/>
      <c r="Q262" s="9"/>
      <c r="Z262" s="9"/>
      <c r="AA262" s="35"/>
      <c r="AJ262" s="35"/>
      <c r="AK262" s="35"/>
      <c r="AO262" s="35"/>
      <c r="AP262" s="35"/>
      <c r="AT262" s="35"/>
      <c r="AU262" s="35"/>
      <c r="HO262"/>
      <c r="HP262"/>
      <c r="HQ262"/>
      <c r="HR262"/>
    </row>
    <row r="263" spans="15:226" ht="15">
      <c r="O263" s="9"/>
      <c r="P263" s="9"/>
      <c r="Q263" s="9"/>
      <c r="Z263" s="9"/>
      <c r="AA263" s="35"/>
      <c r="AJ263" s="35"/>
      <c r="AK263" s="35"/>
      <c r="AO263" s="35"/>
      <c r="AP263" s="35"/>
      <c r="AT263" s="35"/>
      <c r="AU263" s="35"/>
      <c r="HO263"/>
      <c r="HP263"/>
      <c r="HQ263"/>
      <c r="HR263"/>
    </row>
    <row r="264" spans="15:226" ht="15">
      <c r="O264" s="9"/>
      <c r="P264" s="9"/>
      <c r="Q264" s="9"/>
      <c r="Z264" s="9"/>
      <c r="AA264" s="35"/>
      <c r="AJ264" s="35"/>
      <c r="AK264" s="35"/>
      <c r="AO264" s="35"/>
      <c r="AP264" s="35"/>
      <c r="AT264" s="35"/>
      <c r="AU264" s="35"/>
      <c r="HO264"/>
      <c r="HP264"/>
      <c r="HQ264"/>
      <c r="HR264"/>
    </row>
    <row r="265" spans="15:226" ht="15">
      <c r="O265" s="9"/>
      <c r="P265" s="9"/>
      <c r="Q265" s="9"/>
      <c r="Z265" s="9"/>
      <c r="AA265" s="35"/>
      <c r="AJ265" s="35"/>
      <c r="AK265" s="35"/>
      <c r="AO265" s="35"/>
      <c r="AP265" s="35"/>
      <c r="AT265" s="35"/>
      <c r="AU265" s="35"/>
      <c r="HO265"/>
      <c r="HP265"/>
      <c r="HQ265"/>
      <c r="HR265"/>
    </row>
    <row r="266" spans="15:226" ht="15">
      <c r="O266" s="9"/>
      <c r="P266" s="9"/>
      <c r="Q266" s="9"/>
      <c r="Z266" s="9"/>
      <c r="AA266" s="35"/>
      <c r="AJ266" s="35"/>
      <c r="AK266" s="35"/>
      <c r="AO266" s="35"/>
      <c r="AP266" s="35"/>
      <c r="AT266" s="35"/>
      <c r="AU266" s="35"/>
      <c r="HO266"/>
      <c r="HP266"/>
      <c r="HQ266"/>
      <c r="HR266"/>
    </row>
    <row r="267" spans="15:226" ht="15">
      <c r="O267" s="9"/>
      <c r="P267" s="9"/>
      <c r="Q267" s="9"/>
      <c r="Z267" s="9"/>
      <c r="AA267" s="35"/>
      <c r="AJ267" s="35"/>
      <c r="AK267" s="35"/>
      <c r="AO267" s="35"/>
      <c r="AP267" s="35"/>
      <c r="AT267" s="35"/>
      <c r="AU267" s="35"/>
      <c r="HO267"/>
      <c r="HP267"/>
      <c r="HQ267"/>
      <c r="HR267"/>
    </row>
    <row r="268" spans="15:226" ht="15">
      <c r="O268" s="9"/>
      <c r="P268" s="9"/>
      <c r="Q268" s="9"/>
      <c r="Z268" s="9"/>
      <c r="AA268" s="35"/>
      <c r="AJ268" s="35"/>
      <c r="AK268" s="35"/>
      <c r="AO268" s="35"/>
      <c r="AP268" s="35"/>
      <c r="AT268" s="35"/>
      <c r="AU268" s="35"/>
      <c r="HO268"/>
      <c r="HP268"/>
      <c r="HQ268"/>
      <c r="HR268"/>
    </row>
    <row r="269" spans="15:226" ht="15">
      <c r="O269" s="9"/>
      <c r="P269" s="9"/>
      <c r="Q269" s="9"/>
      <c r="Z269" s="9"/>
      <c r="AA269" s="34"/>
      <c r="AJ269" s="35"/>
      <c r="AK269" s="35"/>
      <c r="AO269" s="35"/>
      <c r="AP269" s="35"/>
      <c r="AT269" s="35"/>
      <c r="AU269" s="35"/>
      <c r="HO269"/>
      <c r="HP269"/>
      <c r="HQ269"/>
      <c r="HR269"/>
    </row>
    <row r="270" spans="15:226" ht="15">
      <c r="O270" s="9"/>
      <c r="P270" s="9"/>
      <c r="Q270" s="9"/>
      <c r="Z270" s="9"/>
      <c r="AA270" s="35"/>
      <c r="AJ270" s="35"/>
      <c r="AK270" s="35"/>
      <c r="AO270" s="35"/>
      <c r="AP270" s="35"/>
      <c r="AT270" s="35"/>
      <c r="AU270" s="35"/>
      <c r="HO270"/>
      <c r="HP270"/>
      <c r="HQ270"/>
      <c r="HR270"/>
    </row>
    <row r="271" spans="15:226" ht="15">
      <c r="O271" s="9"/>
      <c r="P271" s="9"/>
      <c r="Q271" s="9"/>
      <c r="Z271" s="9"/>
      <c r="AA271" s="35"/>
      <c r="AJ271" s="35"/>
      <c r="AK271" s="35"/>
      <c r="AO271" s="35"/>
      <c r="AP271" s="35"/>
      <c r="AT271" s="35"/>
      <c r="AU271" s="35"/>
      <c r="HO271"/>
      <c r="HP271"/>
      <c r="HQ271"/>
      <c r="HR271"/>
    </row>
    <row r="272" spans="15:226" ht="15">
      <c r="O272" s="9"/>
      <c r="P272" s="9"/>
      <c r="Q272" s="9"/>
      <c r="Z272" s="9"/>
      <c r="AA272" s="35"/>
      <c r="AJ272" s="35"/>
      <c r="AK272" s="35"/>
      <c r="AO272" s="35"/>
      <c r="AP272" s="35"/>
      <c r="AT272" s="35"/>
      <c r="AU272" s="35"/>
      <c r="HO272"/>
      <c r="HP272"/>
      <c r="HQ272"/>
      <c r="HR272"/>
    </row>
    <row r="273" spans="15:226" ht="15">
      <c r="O273" s="9"/>
      <c r="P273" s="9"/>
      <c r="Q273" s="9"/>
      <c r="Z273" s="9"/>
      <c r="AA273" s="35"/>
      <c r="AJ273" s="35"/>
      <c r="AK273" s="35"/>
      <c r="AO273" s="35"/>
      <c r="AP273" s="35"/>
      <c r="AT273" s="35"/>
      <c r="AU273" s="35"/>
      <c r="HO273"/>
      <c r="HP273"/>
      <c r="HQ273"/>
      <c r="HR273"/>
    </row>
    <row r="274" spans="15:226" ht="15">
      <c r="O274" s="9"/>
      <c r="P274" s="9"/>
      <c r="Q274" s="9"/>
      <c r="Z274" s="9"/>
      <c r="AA274" s="35"/>
      <c r="AJ274" s="35"/>
      <c r="AK274" s="35"/>
      <c r="AO274" s="35"/>
      <c r="AP274" s="35"/>
      <c r="AT274" s="35"/>
      <c r="AU274" s="35"/>
      <c r="HO274"/>
      <c r="HP274"/>
      <c r="HQ274"/>
      <c r="HR274"/>
    </row>
    <row r="275" spans="15:226" ht="15">
      <c r="O275" s="9"/>
      <c r="P275" s="9"/>
      <c r="Q275" s="9"/>
      <c r="Z275" s="9"/>
      <c r="AA275" s="35"/>
      <c r="AJ275" s="35"/>
      <c r="AK275" s="35"/>
      <c r="AO275" s="35"/>
      <c r="AP275" s="35"/>
      <c r="AT275" s="35"/>
      <c r="AU275" s="35"/>
      <c r="HO275"/>
      <c r="HP275"/>
      <c r="HQ275"/>
      <c r="HR275"/>
    </row>
    <row r="276" spans="15:226" ht="15">
      <c r="O276" s="9"/>
      <c r="P276" s="9"/>
      <c r="Q276" s="9"/>
      <c r="Z276" s="9"/>
      <c r="AA276" s="35"/>
      <c r="AJ276" s="35"/>
      <c r="AK276" s="35"/>
      <c r="AO276" s="35"/>
      <c r="AP276" s="35"/>
      <c r="AT276" s="35"/>
      <c r="AU276" s="35"/>
      <c r="HO276"/>
      <c r="HP276"/>
      <c r="HQ276"/>
      <c r="HR276"/>
    </row>
    <row r="277" spans="15:226" ht="15">
      <c r="O277" s="9"/>
      <c r="P277" s="9"/>
      <c r="Q277" s="9"/>
      <c r="Z277" s="9"/>
      <c r="AA277" s="35"/>
      <c r="AJ277" s="35"/>
      <c r="AK277" s="35"/>
      <c r="AO277" s="35"/>
      <c r="AP277" s="35"/>
      <c r="AT277" s="35"/>
      <c r="AU277" s="35"/>
      <c r="HO277"/>
      <c r="HP277"/>
      <c r="HQ277"/>
      <c r="HR277"/>
    </row>
    <row r="278" spans="15:226" ht="15">
      <c r="O278" s="9"/>
      <c r="P278" s="9"/>
      <c r="Q278" s="9"/>
      <c r="Z278" s="9"/>
      <c r="AA278" s="35"/>
      <c r="AJ278" s="35"/>
      <c r="AK278" s="35"/>
      <c r="AO278" s="35"/>
      <c r="AP278" s="35"/>
      <c r="AT278" s="35"/>
      <c r="AU278" s="35"/>
      <c r="HO278"/>
      <c r="HP278"/>
      <c r="HQ278"/>
      <c r="HR278"/>
    </row>
    <row r="279" spans="15:226" ht="15">
      <c r="O279" s="9"/>
      <c r="P279" s="9"/>
      <c r="Q279" s="9"/>
      <c r="Z279" s="9"/>
      <c r="AA279" s="35"/>
      <c r="AJ279" s="35"/>
      <c r="AK279" s="35"/>
      <c r="AO279" s="35"/>
      <c r="AP279" s="35"/>
      <c r="AT279" s="35"/>
      <c r="AU279" s="35"/>
      <c r="HO279"/>
      <c r="HP279"/>
      <c r="HQ279"/>
      <c r="HR279"/>
    </row>
    <row r="280" spans="15:226" ht="15">
      <c r="O280" s="9"/>
      <c r="P280" s="9"/>
      <c r="Q280" s="9"/>
      <c r="Z280" s="9"/>
      <c r="AA280" s="35"/>
      <c r="AJ280" s="35"/>
      <c r="AK280" s="35"/>
      <c r="AO280" s="35"/>
      <c r="AP280" s="35"/>
      <c r="AT280" s="35"/>
      <c r="AU280" s="35"/>
      <c r="HO280"/>
      <c r="HP280"/>
      <c r="HQ280"/>
      <c r="HR280"/>
    </row>
    <row r="281" spans="15:226" ht="15">
      <c r="O281" s="9"/>
      <c r="P281" s="9"/>
      <c r="Q281" s="9"/>
      <c r="Z281" s="9"/>
      <c r="AA281" s="35"/>
      <c r="AJ281" s="35"/>
      <c r="AK281" s="35"/>
      <c r="AO281" s="35"/>
      <c r="AP281" s="35"/>
      <c r="AT281" s="35"/>
      <c r="AU281" s="35"/>
      <c r="HO281"/>
      <c r="HP281"/>
      <c r="HQ281"/>
      <c r="HR281"/>
    </row>
    <row r="282" spans="15:226" ht="15">
      <c r="O282" s="9"/>
      <c r="P282" s="9"/>
      <c r="Q282" s="9"/>
      <c r="Z282" s="9"/>
      <c r="AA282" s="35"/>
      <c r="AJ282" s="35"/>
      <c r="AK282" s="35"/>
      <c r="AO282" s="35"/>
      <c r="AP282" s="35"/>
      <c r="AT282" s="35"/>
      <c r="AU282" s="35"/>
      <c r="HO282"/>
      <c r="HP282"/>
      <c r="HQ282"/>
      <c r="HR282"/>
    </row>
    <row r="283" spans="15:226" ht="15">
      <c r="O283" s="9"/>
      <c r="P283" s="9"/>
      <c r="Q283" s="9"/>
      <c r="Z283" s="9"/>
      <c r="AA283" s="34"/>
      <c r="AJ283" s="35"/>
      <c r="AK283" s="35"/>
      <c r="AO283" s="35"/>
      <c r="AP283" s="35"/>
      <c r="AT283" s="35"/>
      <c r="AU283" s="35"/>
      <c r="HO283"/>
      <c r="HP283"/>
      <c r="HQ283"/>
      <c r="HR283"/>
    </row>
    <row r="284" spans="15:226" ht="15">
      <c r="O284" s="9"/>
      <c r="P284" s="9"/>
      <c r="Q284" s="9"/>
      <c r="Z284" s="9"/>
      <c r="AA284" s="34"/>
      <c r="AJ284" s="35"/>
      <c r="AK284" s="35"/>
      <c r="AO284" s="35"/>
      <c r="AP284" s="35"/>
      <c r="AT284" s="35"/>
      <c r="AU284" s="35"/>
      <c r="HO284"/>
      <c r="HP284"/>
      <c r="HQ284"/>
      <c r="HR284"/>
    </row>
    <row r="285" spans="15:226" ht="15">
      <c r="O285" s="9"/>
      <c r="P285" s="9"/>
      <c r="Q285" s="9"/>
      <c r="Z285" s="9"/>
      <c r="AA285" s="34"/>
      <c r="AJ285" s="35"/>
      <c r="AK285" s="35"/>
      <c r="AO285" s="35"/>
      <c r="AP285" s="35"/>
      <c r="AT285" s="35"/>
      <c r="AU285" s="35"/>
      <c r="HO285"/>
      <c r="HP285"/>
      <c r="HQ285"/>
      <c r="HR285"/>
    </row>
    <row r="286" spans="15:226" ht="15">
      <c r="O286" s="9"/>
      <c r="P286" s="9"/>
      <c r="Q286" s="9"/>
      <c r="Z286" s="9"/>
      <c r="AA286" s="34"/>
      <c r="AJ286" s="35"/>
      <c r="AK286" s="35"/>
      <c r="AO286" s="35"/>
      <c r="AP286" s="35"/>
      <c r="AT286" s="35"/>
      <c r="AU286" s="35"/>
      <c r="HO286"/>
      <c r="HP286"/>
      <c r="HQ286"/>
      <c r="HR286"/>
    </row>
    <row r="287" spans="15:226" ht="15">
      <c r="O287" s="9"/>
      <c r="P287" s="9"/>
      <c r="Q287" s="9"/>
      <c r="Z287" s="9"/>
      <c r="AA287" s="34"/>
      <c r="AJ287" s="35"/>
      <c r="AK287" s="35"/>
      <c r="AO287" s="35"/>
      <c r="AP287" s="35"/>
      <c r="AT287" s="35"/>
      <c r="AU287" s="35"/>
      <c r="HO287"/>
      <c r="HP287"/>
      <c r="HQ287"/>
      <c r="HR287"/>
    </row>
    <row r="288" spans="15:226" ht="15">
      <c r="O288" s="9"/>
      <c r="P288" s="9"/>
      <c r="Q288" s="9"/>
      <c r="Z288" s="9"/>
      <c r="AA288" s="34"/>
      <c r="AJ288" s="35"/>
      <c r="AK288" s="35"/>
      <c r="AO288" s="35"/>
      <c r="AP288" s="35"/>
      <c r="AT288" s="35"/>
      <c r="AU288" s="35"/>
      <c r="HO288"/>
      <c r="HP288"/>
      <c r="HQ288"/>
      <c r="HR288"/>
    </row>
    <row r="289" spans="15:226" ht="15">
      <c r="O289" s="9"/>
      <c r="P289" s="9"/>
      <c r="Q289" s="9"/>
      <c r="Z289" s="9"/>
      <c r="AA289" s="34"/>
      <c r="AJ289" s="35"/>
      <c r="AK289" s="35"/>
      <c r="AO289" s="35"/>
      <c r="AP289" s="35"/>
      <c r="AT289" s="35"/>
      <c r="AU289" s="35"/>
      <c r="HO289"/>
      <c r="HP289"/>
      <c r="HQ289"/>
      <c r="HR289"/>
    </row>
    <row r="290" spans="15:226" ht="15">
      <c r="O290" s="9"/>
      <c r="P290" s="9"/>
      <c r="Q290" s="9"/>
      <c r="Z290" s="9"/>
      <c r="AA290" s="34"/>
      <c r="AJ290" s="35"/>
      <c r="AK290" s="35"/>
      <c r="AO290" s="35"/>
      <c r="AP290" s="35"/>
      <c r="AT290" s="35"/>
      <c r="AU290" s="35"/>
      <c r="HO290"/>
      <c r="HP290"/>
      <c r="HQ290"/>
      <c r="HR290"/>
    </row>
    <row r="291" spans="15:226" ht="15">
      <c r="O291" s="9"/>
      <c r="P291" s="9"/>
      <c r="Q291" s="9"/>
      <c r="Z291" s="9"/>
      <c r="AA291" s="34"/>
      <c r="AJ291" s="35"/>
      <c r="AK291" s="35"/>
      <c r="AO291" s="35"/>
      <c r="AP291" s="35"/>
      <c r="AT291" s="35"/>
      <c r="AU291" s="35"/>
      <c r="HO291"/>
      <c r="HP291"/>
      <c r="HQ291"/>
      <c r="HR291"/>
    </row>
    <row r="292" spans="15:226" ht="15">
      <c r="O292" s="9"/>
      <c r="P292" s="9"/>
      <c r="Q292" s="9"/>
      <c r="Z292" s="9"/>
      <c r="AA292" s="34"/>
      <c r="AJ292" s="35"/>
      <c r="AK292" s="35"/>
      <c r="AO292" s="35"/>
      <c r="AP292" s="35"/>
      <c r="AT292" s="35"/>
      <c r="AU292" s="35"/>
      <c r="HO292"/>
      <c r="HP292"/>
      <c r="HQ292"/>
      <c r="HR292"/>
    </row>
    <row r="293" spans="15:226" ht="15">
      <c r="O293" s="9"/>
      <c r="P293" s="9"/>
      <c r="Q293" s="9"/>
      <c r="Z293" s="9"/>
      <c r="AA293" s="34"/>
      <c r="AJ293" s="35"/>
      <c r="AK293" s="35"/>
      <c r="AO293" s="35"/>
      <c r="AP293" s="35"/>
      <c r="AT293" s="35"/>
      <c r="AU293" s="35"/>
      <c r="HO293"/>
      <c r="HP293"/>
      <c r="HQ293"/>
      <c r="HR293"/>
    </row>
    <row r="294" spans="15:226" ht="15">
      <c r="O294" s="9"/>
      <c r="P294" s="9"/>
      <c r="Q294" s="9"/>
      <c r="Z294" s="9"/>
      <c r="AA294" s="34"/>
      <c r="AJ294" s="35"/>
      <c r="AK294" s="35"/>
      <c r="AO294" s="35"/>
      <c r="AP294" s="35"/>
      <c r="AT294" s="35"/>
      <c r="AU294" s="35"/>
      <c r="HO294"/>
      <c r="HP294"/>
      <c r="HQ294"/>
      <c r="HR294"/>
    </row>
    <row r="295" spans="15:226" ht="15">
      <c r="O295" s="9"/>
      <c r="P295" s="9"/>
      <c r="Q295" s="9"/>
      <c r="Z295" s="9"/>
      <c r="AA295" s="34"/>
      <c r="AJ295" s="35"/>
      <c r="AK295" s="35"/>
      <c r="AO295" s="35"/>
      <c r="AP295" s="35"/>
      <c r="AT295" s="35"/>
      <c r="AU295" s="35"/>
      <c r="HO295"/>
      <c r="HP295"/>
      <c r="HQ295"/>
      <c r="HR295"/>
    </row>
    <row r="296" spans="15:226" ht="15">
      <c r="O296" s="9"/>
      <c r="P296" s="9"/>
      <c r="Q296" s="9"/>
      <c r="Z296" s="9"/>
      <c r="AA296" s="34"/>
      <c r="AJ296" s="35"/>
      <c r="AK296" s="35"/>
      <c r="AO296" s="35"/>
      <c r="AP296" s="35"/>
      <c r="AT296" s="35"/>
      <c r="AU296" s="35"/>
      <c r="HO296"/>
      <c r="HP296"/>
      <c r="HQ296"/>
      <c r="HR296"/>
    </row>
    <row r="297" spans="15:226" ht="15">
      <c r="O297" s="9"/>
      <c r="P297" s="9"/>
      <c r="Q297" s="9"/>
      <c r="Z297" s="9"/>
      <c r="AA297" s="34"/>
      <c r="AJ297" s="35"/>
      <c r="AK297" s="35"/>
      <c r="AO297" s="35"/>
      <c r="AP297" s="35"/>
      <c r="AT297" s="35"/>
      <c r="AU297" s="35"/>
      <c r="HO297"/>
      <c r="HP297"/>
      <c r="HQ297"/>
      <c r="HR297"/>
    </row>
    <row r="298" spans="15:226" ht="15">
      <c r="O298" s="9"/>
      <c r="P298" s="9"/>
      <c r="Q298" s="9"/>
      <c r="Z298" s="9"/>
      <c r="AA298" s="34"/>
      <c r="AJ298" s="35"/>
      <c r="AK298" s="35"/>
      <c r="AO298" s="35"/>
      <c r="AP298" s="35"/>
      <c r="AT298" s="35"/>
      <c r="AU298" s="35"/>
      <c r="HO298"/>
      <c r="HP298"/>
      <c r="HQ298"/>
      <c r="HR298"/>
    </row>
    <row r="299" spans="15:226" ht="15">
      <c r="O299" s="9"/>
      <c r="P299" s="9"/>
      <c r="Q299" s="9"/>
      <c r="Z299" s="9"/>
      <c r="AA299" s="34"/>
      <c r="AJ299" s="35"/>
      <c r="AK299" s="35"/>
      <c r="AO299" s="35"/>
      <c r="AP299" s="35"/>
      <c r="AT299" s="35"/>
      <c r="AU299" s="35"/>
      <c r="HO299"/>
      <c r="HP299"/>
      <c r="HQ299"/>
      <c r="HR299"/>
    </row>
    <row r="300" spans="15:226" ht="15">
      <c r="O300" s="9"/>
      <c r="P300" s="9"/>
      <c r="Q300" s="9"/>
      <c r="Z300" s="9"/>
      <c r="AA300" s="34"/>
      <c r="AJ300" s="35"/>
      <c r="AK300" s="35"/>
      <c r="AO300" s="35"/>
      <c r="AP300" s="35"/>
      <c r="AT300" s="35"/>
      <c r="AU300" s="35"/>
      <c r="HO300"/>
      <c r="HP300"/>
      <c r="HQ300"/>
      <c r="HR300"/>
    </row>
    <row r="301" spans="15:226" ht="15">
      <c r="O301" s="9"/>
      <c r="P301" s="9"/>
      <c r="Q301" s="9"/>
      <c r="Z301" s="9"/>
      <c r="AA301" s="34"/>
      <c r="AJ301" s="35"/>
      <c r="AK301" s="35"/>
      <c r="AO301" s="35"/>
      <c r="AP301" s="35"/>
      <c r="AT301" s="35"/>
      <c r="AU301" s="35"/>
      <c r="HO301"/>
      <c r="HP301"/>
      <c r="HQ301"/>
      <c r="HR301"/>
    </row>
    <row r="302" spans="15:226" ht="15">
      <c r="O302" s="9"/>
      <c r="P302" s="9"/>
      <c r="Q302" s="9"/>
      <c r="Z302" s="9"/>
      <c r="AA302" s="34"/>
      <c r="AJ302" s="35"/>
      <c r="AK302" s="35"/>
      <c r="AO302" s="35"/>
      <c r="AP302" s="35"/>
      <c r="AT302" s="35"/>
      <c r="AU302" s="35"/>
      <c r="HO302"/>
      <c r="HP302"/>
      <c r="HQ302"/>
      <c r="HR302"/>
    </row>
    <row r="303" spans="15:226" ht="15">
      <c r="O303" s="9"/>
      <c r="P303" s="9"/>
      <c r="Q303" s="9"/>
      <c r="Z303" s="9"/>
      <c r="AA303" s="34"/>
      <c r="AJ303" s="35"/>
      <c r="AK303" s="35"/>
      <c r="AO303" s="35"/>
      <c r="AP303" s="35"/>
      <c r="AT303" s="35"/>
      <c r="AU303" s="35"/>
      <c r="HO303"/>
      <c r="HP303"/>
      <c r="HQ303"/>
      <c r="HR303"/>
    </row>
    <row r="304" spans="15:226" ht="15">
      <c r="O304" s="9"/>
      <c r="P304" s="9"/>
      <c r="Q304" s="9"/>
      <c r="Z304" s="9"/>
      <c r="AA304" s="34"/>
      <c r="AJ304" s="35"/>
      <c r="AK304" s="35"/>
      <c r="AO304" s="35"/>
      <c r="AP304" s="35"/>
      <c r="AT304" s="35"/>
      <c r="AU304" s="35"/>
      <c r="HO304"/>
      <c r="HP304"/>
      <c r="HQ304"/>
      <c r="HR304"/>
    </row>
    <row r="305" spans="15:226" ht="15">
      <c r="O305" s="9"/>
      <c r="P305" s="9"/>
      <c r="Q305" s="9"/>
      <c r="Z305" s="9"/>
      <c r="AA305" s="34"/>
      <c r="AJ305" s="35"/>
      <c r="AK305" s="35"/>
      <c r="AO305" s="35"/>
      <c r="AP305" s="35"/>
      <c r="AT305" s="35"/>
      <c r="AU305" s="35"/>
      <c r="HO305"/>
      <c r="HP305"/>
      <c r="HQ305"/>
      <c r="HR305"/>
    </row>
    <row r="306" spans="15:226" ht="15">
      <c r="O306" s="9"/>
      <c r="P306" s="9"/>
      <c r="Q306" s="9"/>
      <c r="Z306" s="9"/>
      <c r="AA306" s="34"/>
      <c r="AJ306" s="35"/>
      <c r="AK306" s="35"/>
      <c r="AO306" s="35"/>
      <c r="AP306" s="35"/>
      <c r="AT306" s="35"/>
      <c r="AU306" s="35"/>
      <c r="HO306"/>
      <c r="HP306"/>
      <c r="HQ306"/>
      <c r="HR306"/>
    </row>
    <row r="307" spans="15:226" ht="15">
      <c r="O307" s="9"/>
      <c r="P307" s="9"/>
      <c r="Q307" s="9"/>
      <c r="Z307" s="9"/>
      <c r="AA307" s="34"/>
      <c r="AJ307" s="35"/>
      <c r="AK307" s="35"/>
      <c r="AO307" s="35"/>
      <c r="AP307" s="35"/>
      <c r="AT307" s="35"/>
      <c r="AU307" s="35"/>
      <c r="HO307"/>
      <c r="HP307"/>
      <c r="HQ307"/>
      <c r="HR307"/>
    </row>
    <row r="308" spans="15:226" ht="15">
      <c r="O308" s="9"/>
      <c r="P308" s="9"/>
      <c r="Q308" s="9"/>
      <c r="Z308" s="9"/>
      <c r="AA308" s="34"/>
      <c r="AJ308" s="35"/>
      <c r="AK308" s="35"/>
      <c r="AO308" s="35"/>
      <c r="AP308" s="35"/>
      <c r="AT308" s="35"/>
      <c r="AU308" s="35"/>
      <c r="HO308"/>
      <c r="HP308"/>
      <c r="HQ308"/>
      <c r="HR308"/>
    </row>
    <row r="309" spans="15:226" ht="15">
      <c r="O309" s="9"/>
      <c r="P309" s="9"/>
      <c r="Q309" s="9"/>
      <c r="Z309" s="9"/>
      <c r="AA309" s="34"/>
      <c r="AJ309" s="35"/>
      <c r="AK309" s="35"/>
      <c r="AO309" s="35"/>
      <c r="AP309" s="35"/>
      <c r="AT309" s="35"/>
      <c r="AU309" s="35"/>
      <c r="HO309"/>
      <c r="HP309"/>
      <c r="HQ309"/>
      <c r="HR309"/>
    </row>
    <row r="310" spans="15:226" ht="15">
      <c r="O310" s="9"/>
      <c r="P310" s="9"/>
      <c r="Q310" s="9"/>
      <c r="Z310" s="9"/>
      <c r="AA310" s="34"/>
      <c r="AJ310" s="35"/>
      <c r="AK310" s="35"/>
      <c r="AO310" s="35"/>
      <c r="AP310" s="35"/>
      <c r="AT310" s="35"/>
      <c r="AU310" s="35"/>
      <c r="HO310"/>
      <c r="HP310"/>
      <c r="HQ310"/>
      <c r="HR310"/>
    </row>
    <row r="311" spans="15:226" ht="15">
      <c r="O311" s="9"/>
      <c r="P311" s="9"/>
      <c r="Q311" s="9"/>
      <c r="Z311" s="9"/>
      <c r="AA311" s="103"/>
      <c r="AJ311" s="35"/>
      <c r="AK311" s="35"/>
      <c r="AO311" s="35"/>
      <c r="AP311" s="35"/>
      <c r="AT311" s="35"/>
      <c r="AU311" s="35"/>
      <c r="HO311"/>
      <c r="HP311"/>
      <c r="HQ311"/>
      <c r="HR311"/>
    </row>
    <row r="312" spans="15:226" ht="15">
      <c r="O312" s="9"/>
      <c r="P312" s="9"/>
      <c r="Q312" s="9"/>
      <c r="Z312" s="9"/>
      <c r="AA312" s="34"/>
      <c r="AJ312" s="35"/>
      <c r="AK312" s="35"/>
      <c r="AO312" s="35"/>
      <c r="AP312" s="35"/>
      <c r="AT312" s="35"/>
      <c r="AU312" s="35"/>
      <c r="HO312"/>
      <c r="HP312"/>
      <c r="HQ312"/>
      <c r="HR312"/>
    </row>
    <row r="313" spans="15:226" ht="15">
      <c r="O313" s="9"/>
      <c r="P313" s="9"/>
      <c r="Q313" s="9"/>
      <c r="Z313" s="9"/>
      <c r="AA313" s="34"/>
      <c r="AJ313" s="35"/>
      <c r="AK313" s="35"/>
      <c r="AO313" s="35"/>
      <c r="AP313" s="35"/>
      <c r="AT313" s="35"/>
      <c r="AU313" s="35"/>
      <c r="HO313"/>
      <c r="HP313"/>
      <c r="HQ313"/>
      <c r="HR313"/>
    </row>
    <row r="314" spans="15:226" ht="15">
      <c r="O314" s="9"/>
      <c r="P314" s="9"/>
      <c r="Q314" s="9"/>
      <c r="Z314" s="9"/>
      <c r="AA314" s="34"/>
      <c r="AJ314" s="35"/>
      <c r="AK314" s="35"/>
      <c r="AO314" s="35"/>
      <c r="AP314" s="35"/>
      <c r="AT314" s="35"/>
      <c r="AU314" s="35"/>
      <c r="HO314"/>
      <c r="HP314"/>
      <c r="HQ314"/>
      <c r="HR314"/>
    </row>
    <row r="315" spans="15:226" ht="15">
      <c r="O315" s="9"/>
      <c r="P315" s="9"/>
      <c r="Q315" s="9"/>
      <c r="Z315" s="9"/>
      <c r="AA315" s="34"/>
      <c r="AJ315" s="35"/>
      <c r="AK315" s="35"/>
      <c r="AO315" s="35"/>
      <c r="AP315" s="35"/>
      <c r="AT315" s="35"/>
      <c r="AU315" s="35"/>
      <c r="HO315"/>
      <c r="HP315"/>
      <c r="HQ315"/>
      <c r="HR315"/>
    </row>
    <row r="316" spans="15:226" ht="15">
      <c r="O316" s="9"/>
      <c r="P316" s="9"/>
      <c r="Q316" s="9"/>
      <c r="Z316" s="9"/>
      <c r="AA316" s="34"/>
      <c r="AJ316" s="35"/>
      <c r="AK316" s="35"/>
      <c r="AO316" s="35"/>
      <c r="AP316" s="35"/>
      <c r="AT316" s="35"/>
      <c r="AU316" s="35"/>
      <c r="HO316"/>
      <c r="HP316"/>
      <c r="HQ316"/>
      <c r="HR316"/>
    </row>
    <row r="317" spans="15:226" ht="15">
      <c r="O317" s="9"/>
      <c r="P317" s="9"/>
      <c r="Q317" s="9"/>
      <c r="Z317" s="9"/>
      <c r="AA317" s="34"/>
      <c r="AJ317" s="35"/>
      <c r="AK317" s="35"/>
      <c r="AO317" s="35"/>
      <c r="AP317" s="35"/>
      <c r="AT317" s="35"/>
      <c r="AU317" s="35"/>
      <c r="HO317"/>
      <c r="HP317"/>
      <c r="HQ317"/>
      <c r="HR317"/>
    </row>
    <row r="318" spans="15:226" ht="15">
      <c r="O318" s="9"/>
      <c r="P318" s="9"/>
      <c r="Q318" s="9"/>
      <c r="Z318" s="9"/>
      <c r="AA318" s="34"/>
      <c r="AJ318" s="35"/>
      <c r="AK318" s="35"/>
      <c r="AO318" s="35"/>
      <c r="AP318" s="35"/>
      <c r="AT318" s="35"/>
      <c r="AU318" s="35"/>
      <c r="HO318"/>
      <c r="HP318"/>
      <c r="HQ318"/>
      <c r="HR318"/>
    </row>
    <row r="319" spans="15:226" ht="15">
      <c r="O319" s="9"/>
      <c r="P319" s="9"/>
      <c r="Q319" s="9"/>
      <c r="Z319" s="9"/>
      <c r="AA319" s="34"/>
      <c r="AJ319" s="35"/>
      <c r="AK319" s="35"/>
      <c r="AO319" s="35"/>
      <c r="AP319" s="35"/>
      <c r="AT319" s="35"/>
      <c r="AU319" s="35"/>
      <c r="HO319"/>
      <c r="HP319"/>
      <c r="HQ319"/>
      <c r="HR319"/>
    </row>
    <row r="320" spans="15:226" ht="15">
      <c r="O320" s="9"/>
      <c r="P320" s="9"/>
      <c r="Q320" s="9"/>
      <c r="Z320" s="9"/>
      <c r="AA320" s="34"/>
      <c r="AJ320" s="35"/>
      <c r="AK320" s="35"/>
      <c r="AO320" s="35"/>
      <c r="AP320" s="35"/>
      <c r="AT320" s="35"/>
      <c r="AU320" s="35"/>
      <c r="HO320"/>
      <c r="HP320"/>
      <c r="HQ320"/>
      <c r="HR320"/>
    </row>
    <row r="321" spans="15:226" ht="15">
      <c r="O321" s="9"/>
      <c r="P321" s="9"/>
      <c r="Q321" s="9"/>
      <c r="Z321" s="9"/>
      <c r="AA321" s="34"/>
      <c r="AJ321" s="35"/>
      <c r="AK321" s="35"/>
      <c r="AO321" s="35"/>
      <c r="AP321" s="35"/>
      <c r="AT321" s="35"/>
      <c r="AU321" s="35"/>
      <c r="HO321"/>
      <c r="HP321"/>
      <c r="HQ321"/>
      <c r="HR321"/>
    </row>
    <row r="322" spans="15:226" ht="15">
      <c r="O322" s="9"/>
      <c r="P322" s="9"/>
      <c r="Q322" s="9"/>
      <c r="Z322" s="9"/>
      <c r="AA322" s="34"/>
      <c r="AJ322" s="35"/>
      <c r="AK322" s="35"/>
      <c r="AO322" s="35"/>
      <c r="AP322" s="35"/>
      <c r="AT322" s="35"/>
      <c r="AU322" s="35"/>
      <c r="HO322"/>
      <c r="HP322"/>
      <c r="HQ322"/>
      <c r="HR322"/>
    </row>
    <row r="323" spans="15:226" ht="15">
      <c r="O323" s="9"/>
      <c r="P323" s="9"/>
      <c r="Q323" s="9"/>
      <c r="Z323" s="9"/>
      <c r="AA323" s="34"/>
      <c r="AJ323" s="35"/>
      <c r="AK323" s="35"/>
      <c r="AO323" s="35"/>
      <c r="AP323" s="35"/>
      <c r="AT323" s="35"/>
      <c r="AU323" s="35"/>
      <c r="HO323"/>
      <c r="HP323"/>
      <c r="HQ323"/>
      <c r="HR323"/>
    </row>
    <row r="324" spans="15:226" ht="15">
      <c r="O324" s="9"/>
      <c r="P324" s="9"/>
      <c r="Q324" s="9"/>
      <c r="Z324" s="9"/>
      <c r="AA324" s="34"/>
      <c r="AJ324" s="35"/>
      <c r="AK324" s="35"/>
      <c r="AO324" s="35"/>
      <c r="AP324" s="35"/>
      <c r="AT324" s="35"/>
      <c r="AU324" s="35"/>
      <c r="HO324"/>
      <c r="HP324"/>
      <c r="HQ324"/>
      <c r="HR324"/>
    </row>
    <row r="325" spans="15:226" ht="15">
      <c r="O325" s="9"/>
      <c r="P325" s="9"/>
      <c r="Q325" s="9"/>
      <c r="Z325" s="9"/>
      <c r="AA325" s="34"/>
      <c r="AJ325" s="35"/>
      <c r="AK325" s="35"/>
      <c r="AO325" s="35"/>
      <c r="AP325" s="35"/>
      <c r="AT325" s="35"/>
      <c r="AU325" s="35"/>
      <c r="HO325"/>
      <c r="HP325"/>
      <c r="HQ325"/>
      <c r="HR325"/>
    </row>
    <row r="326" spans="15:226" ht="15">
      <c r="O326" s="9"/>
      <c r="P326" s="9"/>
      <c r="Q326" s="9"/>
      <c r="Z326" s="9"/>
      <c r="AA326" s="34"/>
      <c r="AJ326" s="35"/>
      <c r="AK326" s="35"/>
      <c r="AO326" s="35"/>
      <c r="AP326" s="35"/>
      <c r="AT326" s="35"/>
      <c r="AU326" s="35"/>
      <c r="HO326"/>
      <c r="HP326"/>
      <c r="HQ326"/>
      <c r="HR326"/>
    </row>
    <row r="327" spans="15:226" ht="15">
      <c r="O327" s="9"/>
      <c r="P327" s="9"/>
      <c r="Q327" s="9"/>
      <c r="Z327" s="9"/>
      <c r="AJ327" s="35"/>
      <c r="AK327" s="35"/>
      <c r="AO327" s="35"/>
      <c r="AP327" s="35"/>
      <c r="AT327" s="35"/>
      <c r="AU327" s="35"/>
      <c r="HO327"/>
      <c r="HP327"/>
      <c r="HQ327"/>
      <c r="HR327"/>
    </row>
    <row r="328" spans="15:226" ht="15">
      <c r="O328" s="9"/>
      <c r="P328" s="9"/>
      <c r="Q328" s="9"/>
      <c r="Z328" s="9"/>
      <c r="AA328" s="35"/>
      <c r="AJ328" s="35"/>
      <c r="AK328" s="35"/>
      <c r="AO328" s="35"/>
      <c r="AP328" s="35"/>
      <c r="AT328" s="35"/>
      <c r="AU328" s="35"/>
      <c r="HO328"/>
      <c r="HP328"/>
      <c r="HQ328"/>
      <c r="HR328"/>
    </row>
    <row r="329" spans="15:226" ht="15">
      <c r="O329" s="9"/>
      <c r="P329" s="9"/>
      <c r="Q329" s="9"/>
      <c r="Z329" s="9"/>
      <c r="AA329" s="35"/>
      <c r="AJ329" s="35"/>
      <c r="AK329" s="35"/>
      <c r="AO329" s="35"/>
      <c r="AP329" s="35"/>
      <c r="AT329" s="35"/>
      <c r="AU329" s="35"/>
      <c r="HO329"/>
      <c r="HP329"/>
      <c r="HQ329"/>
      <c r="HR329"/>
    </row>
    <row r="330" spans="15:226" ht="15">
      <c r="O330" s="9"/>
      <c r="P330" s="9"/>
      <c r="Q330" s="9"/>
      <c r="Z330" s="9"/>
      <c r="AA330" s="35"/>
      <c r="AJ330" s="35"/>
      <c r="AK330" s="35"/>
      <c r="AO330" s="35"/>
      <c r="AP330" s="35"/>
      <c r="AT330" s="35"/>
      <c r="AU330" s="35"/>
      <c r="HO330"/>
      <c r="HP330"/>
      <c r="HQ330"/>
      <c r="HR330"/>
    </row>
    <row r="331" spans="15:226" ht="15">
      <c r="O331" s="9"/>
      <c r="P331" s="9"/>
      <c r="Q331" s="9"/>
      <c r="Z331" s="9"/>
      <c r="AA331" s="35"/>
      <c r="AJ331" s="35"/>
      <c r="AK331" s="35"/>
      <c r="AO331" s="35"/>
      <c r="AP331" s="35"/>
      <c r="AT331" s="35"/>
      <c r="AU331" s="35"/>
      <c r="HO331"/>
      <c r="HP331"/>
      <c r="HQ331"/>
      <c r="HR331"/>
    </row>
    <row r="332" spans="15:226" ht="15">
      <c r="O332" s="9"/>
      <c r="P332" s="9"/>
      <c r="Q332" s="9"/>
      <c r="Z332" s="9"/>
      <c r="AA332" s="35"/>
      <c r="AJ332" s="35"/>
      <c r="AK332" s="35"/>
      <c r="AO332" s="35"/>
      <c r="AP332" s="35"/>
      <c r="AT332" s="35"/>
      <c r="AU332" s="35"/>
      <c r="HO332"/>
      <c r="HP332"/>
      <c r="HQ332"/>
      <c r="HR332"/>
    </row>
    <row r="333" spans="15:226" ht="15">
      <c r="O333" s="9"/>
      <c r="P333" s="9"/>
      <c r="Q333" s="9"/>
      <c r="Z333" s="9"/>
      <c r="AA333" s="35"/>
      <c r="AJ333" s="35"/>
      <c r="AK333" s="35"/>
      <c r="AO333" s="35"/>
      <c r="AP333" s="35"/>
      <c r="AT333" s="35"/>
      <c r="AU333" s="35"/>
      <c r="HO333"/>
      <c r="HP333"/>
      <c r="HQ333"/>
      <c r="HR333"/>
    </row>
    <row r="334" spans="15:226" ht="15">
      <c r="O334" s="9"/>
      <c r="P334" s="9"/>
      <c r="Q334" s="9"/>
      <c r="Z334" s="9"/>
      <c r="AA334" s="34"/>
      <c r="AJ334" s="35"/>
      <c r="AK334" s="35"/>
      <c r="AO334" s="35"/>
      <c r="AP334" s="35"/>
      <c r="AT334" s="35"/>
      <c r="AU334" s="35"/>
      <c r="HO334"/>
      <c r="HP334"/>
      <c r="HQ334"/>
      <c r="HR334"/>
    </row>
    <row r="335" spans="15:226" ht="15">
      <c r="O335" s="9"/>
      <c r="P335" s="9"/>
      <c r="Q335" s="9"/>
      <c r="Z335" s="9"/>
      <c r="AT335" s="35"/>
      <c r="AU335" s="35"/>
      <c r="HO335"/>
      <c r="HP335"/>
      <c r="HQ335"/>
      <c r="HR335"/>
    </row>
    <row r="336" spans="15:226" ht="15">
      <c r="O336" s="9"/>
      <c r="P336" s="9"/>
      <c r="Q336" s="9"/>
      <c r="Z336" s="9"/>
      <c r="AA336" s="34"/>
      <c r="AJ336" s="35"/>
      <c r="AK336" s="35"/>
      <c r="AO336" s="35"/>
      <c r="AP336" s="35"/>
      <c r="AT336" s="35"/>
      <c r="AU336" s="35"/>
      <c r="HO336"/>
      <c r="HP336"/>
      <c r="HQ336"/>
      <c r="HR336"/>
    </row>
    <row r="337" spans="15:226" ht="15">
      <c r="O337" s="9"/>
      <c r="P337" s="9"/>
      <c r="Q337" s="9"/>
      <c r="Z337" s="9"/>
      <c r="AA337" s="34"/>
      <c r="AJ337" s="35"/>
      <c r="AK337" s="35"/>
      <c r="AO337" s="35"/>
      <c r="AP337" s="35"/>
      <c r="AT337" s="35"/>
      <c r="AU337" s="35"/>
      <c r="HO337"/>
      <c r="HP337"/>
      <c r="HQ337"/>
      <c r="HR337"/>
    </row>
    <row r="338" spans="15:226" ht="15">
      <c r="O338" s="9"/>
      <c r="P338" s="9"/>
      <c r="Q338" s="9"/>
      <c r="Z338" s="9"/>
      <c r="AA338" s="34"/>
      <c r="AJ338" s="35"/>
      <c r="AK338" s="35"/>
      <c r="AO338" s="35"/>
      <c r="AP338" s="35"/>
      <c r="AT338" s="35"/>
      <c r="AU338" s="35"/>
      <c r="HO338"/>
      <c r="HP338"/>
      <c r="HQ338"/>
      <c r="HR338"/>
    </row>
    <row r="339" spans="15:226" ht="15">
      <c r="O339" s="9"/>
      <c r="P339" s="9"/>
      <c r="Q339" s="9"/>
      <c r="Z339" s="9"/>
      <c r="AA339" s="34"/>
      <c r="AJ339" s="35"/>
      <c r="AK339" s="35"/>
      <c r="AO339" s="35"/>
      <c r="AP339" s="35"/>
      <c r="HO339"/>
      <c r="HP339"/>
      <c r="HQ339"/>
      <c r="HR339"/>
    </row>
    <row r="340" spans="15:226" ht="15">
      <c r="O340" s="9"/>
      <c r="P340" s="9"/>
      <c r="Q340" s="9"/>
      <c r="Z340" s="9"/>
      <c r="AA340" s="34"/>
      <c r="AJ340" s="35"/>
      <c r="AK340" s="35"/>
      <c r="AO340" s="35"/>
      <c r="AP340" s="35"/>
      <c r="AT340" s="35"/>
      <c r="AU340" s="35"/>
      <c r="HO340"/>
      <c r="HP340"/>
      <c r="HQ340"/>
      <c r="HR340"/>
    </row>
    <row r="341" spans="15:226" ht="15">
      <c r="O341" s="9"/>
      <c r="P341" s="9"/>
      <c r="Q341" s="9"/>
      <c r="Z341" s="9"/>
      <c r="AA341" s="103"/>
      <c r="AJ341" s="35"/>
      <c r="AK341" s="35"/>
      <c r="AO341" s="35"/>
      <c r="AP341" s="35"/>
      <c r="AT341" s="35"/>
      <c r="AU341" s="35"/>
      <c r="HO341"/>
      <c r="HP341"/>
      <c r="HQ341"/>
      <c r="HR341"/>
    </row>
    <row r="342" spans="15:226" ht="15">
      <c r="O342" s="9"/>
      <c r="P342" s="9"/>
      <c r="Q342" s="9"/>
      <c r="Z342" s="9"/>
      <c r="AA342" s="34"/>
      <c r="AJ342" s="35"/>
      <c r="AK342" s="35"/>
      <c r="AO342" s="35"/>
      <c r="AP342" s="35"/>
      <c r="AT342" s="35"/>
      <c r="AU342" s="35"/>
      <c r="HO342"/>
      <c r="HP342"/>
      <c r="HQ342"/>
      <c r="HR342"/>
    </row>
    <row r="343" spans="15:226" ht="15">
      <c r="O343" s="9"/>
      <c r="P343" s="9"/>
      <c r="Q343" s="9"/>
      <c r="Z343" s="9"/>
      <c r="AA343" s="34"/>
      <c r="AJ343" s="35"/>
      <c r="AK343" s="35"/>
      <c r="AO343" s="35"/>
      <c r="AP343" s="35"/>
      <c r="AT343" s="35"/>
      <c r="AU343" s="35"/>
      <c r="HO343"/>
      <c r="HP343"/>
      <c r="HQ343"/>
      <c r="HR343"/>
    </row>
    <row r="344" spans="15:226" ht="15">
      <c r="O344" s="9"/>
      <c r="P344" s="9"/>
      <c r="Q344" s="9"/>
      <c r="Z344" s="9"/>
      <c r="AA344" s="34"/>
      <c r="AJ344" s="35"/>
      <c r="AK344" s="35"/>
      <c r="AO344" s="35"/>
      <c r="AP344" s="35"/>
      <c r="AT344" s="35"/>
      <c r="AU344" s="35"/>
      <c r="HO344"/>
      <c r="HP344"/>
      <c r="HQ344"/>
      <c r="HR344"/>
    </row>
    <row r="345" spans="15:226" ht="15">
      <c r="O345" s="9"/>
      <c r="P345" s="9"/>
      <c r="Q345" s="9"/>
      <c r="Z345" s="9"/>
      <c r="AA345" s="34"/>
      <c r="AJ345" s="35"/>
      <c r="AK345" s="35"/>
      <c r="AO345" s="35"/>
      <c r="AP345" s="35"/>
      <c r="AT345" s="35"/>
      <c r="AU345" s="35"/>
      <c r="HO345"/>
      <c r="HP345"/>
      <c r="HQ345"/>
      <c r="HR345"/>
    </row>
    <row r="346" spans="15:226" ht="15">
      <c r="O346" s="9"/>
      <c r="P346" s="9"/>
      <c r="Q346" s="9"/>
      <c r="Z346" s="9"/>
      <c r="AA346" s="34"/>
      <c r="AJ346" s="35"/>
      <c r="AK346" s="35"/>
      <c r="AO346" s="35"/>
      <c r="AP346" s="35"/>
      <c r="AT346" s="35"/>
      <c r="AU346" s="35"/>
      <c r="HO346"/>
      <c r="HP346"/>
      <c r="HQ346"/>
      <c r="HR346"/>
    </row>
    <row r="347" spans="15:226" ht="15">
      <c r="O347" s="9"/>
      <c r="P347" s="9"/>
      <c r="Q347" s="9"/>
      <c r="Z347" s="9"/>
      <c r="AA347" s="34"/>
      <c r="AJ347" s="35"/>
      <c r="AK347" s="35"/>
      <c r="AO347" s="35"/>
      <c r="AP347" s="35"/>
      <c r="AT347" s="35"/>
      <c r="AU347" s="35"/>
      <c r="HO347"/>
      <c r="HP347"/>
      <c r="HQ347"/>
      <c r="HR347"/>
    </row>
    <row r="348" spans="15:226" ht="15">
      <c r="O348" s="9"/>
      <c r="P348" s="9"/>
      <c r="Q348" s="9"/>
      <c r="Z348" s="9"/>
      <c r="AA348" s="34"/>
      <c r="AJ348" s="35"/>
      <c r="AK348" s="35"/>
      <c r="AO348" s="35"/>
      <c r="AP348" s="35"/>
      <c r="AT348" s="35"/>
      <c r="AU348" s="35"/>
      <c r="HO348"/>
      <c r="HP348"/>
      <c r="HQ348"/>
      <c r="HR348"/>
    </row>
    <row r="349" spans="15:226" ht="15">
      <c r="O349" s="9"/>
      <c r="P349" s="9"/>
      <c r="Q349" s="9"/>
      <c r="Z349" s="9"/>
      <c r="AA349" s="34"/>
      <c r="AJ349" s="35"/>
      <c r="AK349" s="35"/>
      <c r="AO349" s="35"/>
      <c r="AP349" s="35"/>
      <c r="AT349" s="35"/>
      <c r="AU349" s="35"/>
      <c r="HO349"/>
      <c r="HP349"/>
      <c r="HQ349"/>
      <c r="HR349"/>
    </row>
    <row r="350" spans="15:226" ht="15">
      <c r="O350" s="9"/>
      <c r="P350" s="9"/>
      <c r="Q350" s="9"/>
      <c r="Z350" s="9"/>
      <c r="AA350" s="34"/>
      <c r="AJ350" s="35"/>
      <c r="AK350" s="35"/>
      <c r="AO350" s="35"/>
      <c r="AP350" s="35"/>
      <c r="AT350" s="35"/>
      <c r="AU350" s="35"/>
      <c r="HO350"/>
      <c r="HP350"/>
      <c r="HQ350"/>
      <c r="HR350"/>
    </row>
    <row r="351" spans="15:226" ht="15">
      <c r="O351" s="9"/>
      <c r="P351" s="9"/>
      <c r="Q351" s="9"/>
      <c r="Z351" s="9"/>
      <c r="AA351" s="34"/>
      <c r="AJ351" s="35"/>
      <c r="AK351" s="35"/>
      <c r="AO351" s="35"/>
      <c r="AP351" s="35"/>
      <c r="AT351" s="35"/>
      <c r="AU351" s="35"/>
      <c r="HO351"/>
      <c r="HP351"/>
      <c r="HQ351"/>
      <c r="HR351"/>
    </row>
    <row r="352" spans="15:226" ht="15">
      <c r="O352" s="9"/>
      <c r="P352" s="9"/>
      <c r="Q352" s="9"/>
      <c r="Z352" s="9"/>
      <c r="AA352" s="34"/>
      <c r="AJ352" s="35"/>
      <c r="AK352" s="35"/>
      <c r="AO352" s="35"/>
      <c r="AP352" s="35"/>
      <c r="AT352" s="35"/>
      <c r="AU352" s="35"/>
      <c r="HO352"/>
      <c r="HP352"/>
      <c r="HQ352"/>
      <c r="HR352"/>
    </row>
    <row r="353" spans="15:226" ht="15">
      <c r="O353" s="9"/>
      <c r="P353" s="9"/>
      <c r="Q353" s="9"/>
      <c r="Z353" s="9"/>
      <c r="AA353" s="34"/>
      <c r="AJ353" s="35"/>
      <c r="AK353" s="35"/>
      <c r="AO353" s="35"/>
      <c r="AP353" s="35"/>
      <c r="AT353" s="35"/>
      <c r="AU353" s="35"/>
      <c r="HO353"/>
      <c r="HP353"/>
      <c r="HQ353"/>
      <c r="HR353"/>
    </row>
    <row r="354" spans="15:226" ht="15">
      <c r="O354" s="9"/>
      <c r="P354" s="9"/>
      <c r="Q354" s="9"/>
      <c r="Z354" s="9"/>
      <c r="AA354" s="34"/>
      <c r="AJ354" s="35"/>
      <c r="AK354" s="35"/>
      <c r="AO354" s="35"/>
      <c r="AP354" s="35"/>
      <c r="AT354" s="35"/>
      <c r="AU354" s="35"/>
      <c r="HO354"/>
      <c r="HP354"/>
      <c r="HQ354"/>
      <c r="HR354"/>
    </row>
    <row r="355" spans="15:226" ht="15">
      <c r="O355" s="9"/>
      <c r="P355" s="9"/>
      <c r="Q355" s="9"/>
      <c r="Z355" s="9"/>
      <c r="AA355" s="34"/>
      <c r="AJ355" s="35"/>
      <c r="AK355" s="35"/>
      <c r="AO355" s="35"/>
      <c r="AP355" s="35"/>
      <c r="AT355" s="35"/>
      <c r="AU355" s="35"/>
      <c r="HO355"/>
      <c r="HP355"/>
      <c r="HQ355"/>
      <c r="HR355"/>
    </row>
    <row r="356" spans="15:226" ht="15">
      <c r="O356" s="9"/>
      <c r="P356" s="9"/>
      <c r="Q356" s="9"/>
      <c r="Z356" s="9"/>
      <c r="AA356" s="34"/>
      <c r="AJ356" s="35"/>
      <c r="AK356" s="35"/>
      <c r="AO356" s="35"/>
      <c r="AP356" s="35"/>
      <c r="AT356" s="35"/>
      <c r="AU356" s="35"/>
      <c r="HO356"/>
      <c r="HP356"/>
      <c r="HQ356"/>
      <c r="HR356"/>
    </row>
    <row r="357" spans="15:226" ht="15">
      <c r="O357" s="9"/>
      <c r="P357" s="9"/>
      <c r="Q357" s="9"/>
      <c r="Z357" s="9"/>
      <c r="AA357" s="34"/>
      <c r="AJ357" s="35"/>
      <c r="AK357" s="35"/>
      <c r="AO357" s="35"/>
      <c r="AP357" s="35"/>
      <c r="AT357" s="35"/>
      <c r="AU357" s="35"/>
      <c r="HO357"/>
      <c r="HP357"/>
      <c r="HQ357"/>
      <c r="HR357"/>
    </row>
    <row r="358" spans="15:226" ht="15">
      <c r="O358" s="9"/>
      <c r="P358" s="9"/>
      <c r="Q358" s="9"/>
      <c r="Z358" s="9"/>
      <c r="AA358" s="34"/>
      <c r="AJ358" s="35"/>
      <c r="AK358" s="35"/>
      <c r="AO358" s="35"/>
      <c r="AP358" s="35"/>
      <c r="AT358" s="35"/>
      <c r="AU358" s="35"/>
      <c r="HO358"/>
      <c r="HP358"/>
      <c r="HQ358"/>
      <c r="HR358"/>
    </row>
    <row r="359" spans="15:226" ht="15">
      <c r="O359" s="9"/>
      <c r="P359" s="9"/>
      <c r="Q359" s="9"/>
      <c r="Z359" s="9"/>
      <c r="AA359" s="34"/>
      <c r="AJ359" s="35"/>
      <c r="AK359" s="35"/>
      <c r="AO359" s="35"/>
      <c r="AP359" s="35"/>
      <c r="AT359" s="35"/>
      <c r="AU359" s="35"/>
      <c r="HO359"/>
      <c r="HP359"/>
      <c r="HQ359"/>
      <c r="HR359"/>
    </row>
    <row r="360" spans="15:226" ht="15">
      <c r="O360" s="9"/>
      <c r="P360" s="9"/>
      <c r="Q360" s="9"/>
      <c r="Z360" s="9"/>
      <c r="AA360" s="34"/>
      <c r="AJ360" s="35"/>
      <c r="AK360" s="35"/>
      <c r="AO360" s="35"/>
      <c r="AP360" s="35"/>
      <c r="AT360" s="35"/>
      <c r="AU360" s="35"/>
      <c r="HO360"/>
      <c r="HP360"/>
      <c r="HQ360"/>
      <c r="HR360"/>
    </row>
    <row r="361" spans="15:226" ht="15">
      <c r="O361" s="9"/>
      <c r="P361" s="9"/>
      <c r="Q361" s="9"/>
      <c r="Z361" s="9"/>
      <c r="AA361" s="103"/>
      <c r="AJ361" s="35"/>
      <c r="AK361" s="35"/>
      <c r="AO361" s="35"/>
      <c r="AP361" s="35"/>
      <c r="AT361" s="35"/>
      <c r="AU361" s="35"/>
      <c r="HO361"/>
      <c r="HP361"/>
      <c r="HQ361"/>
      <c r="HR361"/>
    </row>
    <row r="362" spans="15:226" ht="15">
      <c r="O362" s="9"/>
      <c r="P362" s="9"/>
      <c r="Q362" s="9"/>
      <c r="Z362" s="9"/>
      <c r="AA362" s="34"/>
      <c r="AJ362" s="35"/>
      <c r="AK362" s="35"/>
      <c r="AO362" s="35"/>
      <c r="AP362" s="35"/>
      <c r="AT362" s="35"/>
      <c r="AU362" s="35"/>
      <c r="HO362"/>
      <c r="HP362"/>
      <c r="HQ362"/>
      <c r="HR362"/>
    </row>
    <row r="363" spans="15:226" ht="15">
      <c r="O363" s="9"/>
      <c r="P363" s="9"/>
      <c r="Q363" s="9"/>
      <c r="Z363" s="9"/>
      <c r="AA363" s="34"/>
      <c r="AJ363" s="35"/>
      <c r="AK363" s="35"/>
      <c r="AO363" s="35"/>
      <c r="AP363" s="35"/>
      <c r="AT363" s="35"/>
      <c r="AU363" s="35"/>
      <c r="HO363"/>
      <c r="HP363"/>
      <c r="HQ363"/>
      <c r="HR363"/>
    </row>
    <row r="364" spans="15:226" ht="15">
      <c r="O364" s="9"/>
      <c r="P364" s="9"/>
      <c r="Q364" s="9"/>
      <c r="Z364" s="9"/>
      <c r="AA364" s="34"/>
      <c r="AJ364" s="35"/>
      <c r="AK364" s="35"/>
      <c r="AO364" s="35"/>
      <c r="AP364" s="35"/>
      <c r="AT364" s="35"/>
      <c r="AU364" s="35"/>
      <c r="HO364"/>
      <c r="HP364"/>
      <c r="HQ364"/>
      <c r="HR364"/>
    </row>
    <row r="365" spans="15:226" ht="15">
      <c r="O365" s="9"/>
      <c r="P365" s="9"/>
      <c r="Q365" s="9"/>
      <c r="Z365" s="9"/>
      <c r="AA365" s="34"/>
      <c r="AJ365" s="35"/>
      <c r="AK365" s="35"/>
      <c r="AO365" s="35"/>
      <c r="AP365" s="35"/>
      <c r="AT365" s="35"/>
      <c r="AU365" s="35"/>
      <c r="HO365"/>
      <c r="HP365"/>
      <c r="HQ365"/>
      <c r="HR365"/>
    </row>
    <row r="366" spans="15:226" ht="15">
      <c r="O366" s="9"/>
      <c r="P366" s="9"/>
      <c r="Q366" s="9"/>
      <c r="Z366" s="9"/>
      <c r="AA366" s="34"/>
      <c r="AJ366" s="35"/>
      <c r="AK366" s="35"/>
      <c r="AO366" s="35"/>
      <c r="AP366" s="35"/>
      <c r="AT366" s="35"/>
      <c r="AU366" s="35"/>
      <c r="HO366"/>
      <c r="HP366"/>
      <c r="HQ366"/>
      <c r="HR366"/>
    </row>
    <row r="367" spans="15:226" ht="15">
      <c r="O367" s="9"/>
      <c r="P367" s="9"/>
      <c r="Q367" s="9"/>
      <c r="Z367" s="9"/>
      <c r="AA367" s="34"/>
      <c r="AJ367" s="35"/>
      <c r="AK367" s="35"/>
      <c r="AO367" s="35"/>
      <c r="AP367" s="35"/>
      <c r="AT367" s="35"/>
      <c r="AU367" s="35"/>
      <c r="HO367"/>
      <c r="HP367"/>
      <c r="HQ367"/>
      <c r="HR367"/>
    </row>
    <row r="368" spans="15:226" ht="15">
      <c r="O368" s="9"/>
      <c r="P368" s="9"/>
      <c r="Q368" s="9"/>
      <c r="Z368" s="9"/>
      <c r="AA368" s="34"/>
      <c r="AJ368" s="35"/>
      <c r="AK368" s="35"/>
      <c r="AO368" s="35"/>
      <c r="AP368" s="35"/>
      <c r="AT368" s="35"/>
      <c r="AU368" s="35"/>
      <c r="HO368"/>
      <c r="HP368"/>
      <c r="HQ368"/>
      <c r="HR368"/>
    </row>
    <row r="369" spans="15:226" ht="15">
      <c r="O369" s="9"/>
      <c r="P369" s="9"/>
      <c r="Q369" s="9"/>
      <c r="Z369" s="9"/>
      <c r="AA369" s="34"/>
      <c r="AJ369" s="35"/>
      <c r="AK369" s="35"/>
      <c r="AO369" s="35"/>
      <c r="AP369" s="35"/>
      <c r="AT369" s="35"/>
      <c r="AU369" s="35"/>
      <c r="HO369"/>
      <c r="HP369"/>
      <c r="HQ369"/>
      <c r="HR369"/>
    </row>
    <row r="370" spans="15:226" ht="15">
      <c r="O370" s="9"/>
      <c r="P370" s="9"/>
      <c r="Q370" s="9"/>
      <c r="Z370" s="9"/>
      <c r="AA370" s="35"/>
      <c r="AJ370" s="35"/>
      <c r="AK370" s="35"/>
      <c r="AO370" s="35"/>
      <c r="AP370" s="35"/>
      <c r="AT370" s="35"/>
      <c r="AU370" s="35"/>
      <c r="HO370"/>
      <c r="HP370"/>
      <c r="HQ370"/>
      <c r="HR370"/>
    </row>
    <row r="371" spans="15:226" ht="15">
      <c r="O371" s="9"/>
      <c r="P371" s="9"/>
      <c r="Q371" s="9"/>
      <c r="Z371" s="9"/>
      <c r="AA371" s="35"/>
      <c r="AJ371" s="35"/>
      <c r="AK371" s="35"/>
      <c r="AO371" s="35"/>
      <c r="AP371" s="35"/>
      <c r="AT371" s="35"/>
      <c r="AU371" s="35"/>
      <c r="HO371"/>
      <c r="HP371"/>
      <c r="HQ371"/>
      <c r="HR371"/>
    </row>
    <row r="372" spans="15:226" ht="15">
      <c r="O372" s="9"/>
      <c r="P372" s="9"/>
      <c r="Q372" s="9"/>
      <c r="Z372" s="9"/>
      <c r="AA372" s="35"/>
      <c r="AJ372" s="35"/>
      <c r="AK372" s="35"/>
      <c r="AO372" s="35"/>
      <c r="AP372" s="35"/>
      <c r="AT372" s="35"/>
      <c r="AU372" s="35"/>
      <c r="HO372"/>
      <c r="HP372"/>
      <c r="HQ372"/>
      <c r="HR372"/>
    </row>
    <row r="373" spans="15:226" ht="15">
      <c r="O373" s="9"/>
      <c r="P373" s="9"/>
      <c r="Q373" s="9"/>
      <c r="Z373" s="9"/>
      <c r="AA373" s="34"/>
      <c r="AJ373" s="35"/>
      <c r="AK373" s="35"/>
      <c r="AO373" s="35"/>
      <c r="AP373" s="35"/>
      <c r="AT373" s="35"/>
      <c r="AU373" s="35"/>
      <c r="HO373"/>
      <c r="HP373"/>
      <c r="HQ373"/>
      <c r="HR373"/>
    </row>
    <row r="374" spans="15:226" ht="15">
      <c r="O374" s="9"/>
      <c r="P374" s="9"/>
      <c r="Q374" s="9"/>
      <c r="Z374" s="9"/>
      <c r="AA374" s="35"/>
      <c r="AJ374" s="35"/>
      <c r="AK374" s="35"/>
      <c r="AO374" s="35"/>
      <c r="AP374" s="35"/>
      <c r="AT374" s="35"/>
      <c r="AU374" s="35"/>
      <c r="HO374"/>
      <c r="HP374"/>
      <c r="HQ374"/>
      <c r="HR374"/>
    </row>
    <row r="375" spans="15:226" ht="15">
      <c r="O375" s="9"/>
      <c r="P375" s="9"/>
      <c r="Q375" s="9"/>
      <c r="Z375" s="9"/>
      <c r="AA375" s="35"/>
      <c r="AJ375" s="35"/>
      <c r="AK375" s="35"/>
      <c r="AO375" s="35"/>
      <c r="AP375" s="35"/>
      <c r="AT375" s="35"/>
      <c r="AU375" s="35"/>
      <c r="HO375"/>
      <c r="HP375"/>
      <c r="HQ375"/>
      <c r="HR375"/>
    </row>
    <row r="376" spans="15:226" ht="15">
      <c r="O376" s="9"/>
      <c r="P376" s="9"/>
      <c r="Q376" s="9"/>
      <c r="Z376" s="9"/>
      <c r="AA376" s="35"/>
      <c r="AJ376" s="35"/>
      <c r="AK376" s="35"/>
      <c r="AO376" s="35"/>
      <c r="AP376" s="35"/>
      <c r="AT376" s="35"/>
      <c r="AU376" s="35"/>
      <c r="HO376"/>
      <c r="HP376"/>
      <c r="HQ376"/>
      <c r="HR376"/>
    </row>
    <row r="377" spans="15:226" ht="15">
      <c r="O377" s="9"/>
      <c r="P377" s="9"/>
      <c r="Q377" s="9"/>
      <c r="Z377" s="9"/>
      <c r="AA377" s="35"/>
      <c r="AJ377" s="35"/>
      <c r="AK377" s="35"/>
      <c r="AO377" s="35"/>
      <c r="AP377" s="35"/>
      <c r="AT377" s="35"/>
      <c r="AU377" s="35"/>
      <c r="HO377"/>
      <c r="HP377"/>
      <c r="HQ377"/>
      <c r="HR377"/>
    </row>
    <row r="378" spans="15:226" ht="15">
      <c r="O378" s="9"/>
      <c r="P378" s="9"/>
      <c r="Q378" s="9"/>
      <c r="Z378" s="9"/>
      <c r="AA378" s="35"/>
      <c r="AJ378" s="35"/>
      <c r="AK378" s="35"/>
      <c r="AO378" s="35"/>
      <c r="AP378" s="35"/>
      <c r="AT378" s="35"/>
      <c r="AU378" s="35"/>
      <c r="HO378"/>
      <c r="HP378"/>
      <c r="HQ378"/>
      <c r="HR378"/>
    </row>
    <row r="379" spans="15:226" ht="15">
      <c r="O379" s="9"/>
      <c r="P379" s="9"/>
      <c r="Q379" s="9"/>
      <c r="Z379" s="9"/>
      <c r="AA379" s="35"/>
      <c r="AJ379" s="35"/>
      <c r="AK379" s="35"/>
      <c r="AO379" s="35"/>
      <c r="AP379" s="35"/>
      <c r="AT379" s="35"/>
      <c r="AU379" s="35"/>
      <c r="HO379"/>
      <c r="HP379"/>
      <c r="HQ379"/>
      <c r="HR379"/>
    </row>
    <row r="380" spans="15:226" ht="15">
      <c r="O380" s="9"/>
      <c r="P380" s="9"/>
      <c r="Q380" s="9"/>
      <c r="Z380" s="9"/>
      <c r="AT380" s="35"/>
      <c r="AU380" s="35"/>
      <c r="HO380"/>
      <c r="HP380"/>
      <c r="HQ380"/>
      <c r="HR380"/>
    </row>
    <row r="381" spans="15:226" ht="15">
      <c r="O381" s="9"/>
      <c r="P381" s="9"/>
      <c r="Q381" s="9"/>
      <c r="Z381" s="9"/>
      <c r="AT381" s="35"/>
      <c r="AU381" s="35"/>
      <c r="HO381"/>
      <c r="HP381"/>
      <c r="HQ381"/>
      <c r="HR381"/>
    </row>
    <row r="382" spans="15:226" ht="15">
      <c r="O382" s="9"/>
      <c r="P382" s="9"/>
      <c r="Q382" s="9"/>
      <c r="Z382" s="9"/>
      <c r="AT382" s="35"/>
      <c r="AU382" s="35"/>
      <c r="HO382"/>
      <c r="HP382"/>
      <c r="HQ382"/>
      <c r="HR382"/>
    </row>
    <row r="383" spans="15:226" ht="15">
      <c r="O383" s="9"/>
      <c r="P383" s="9"/>
      <c r="Q383" s="9"/>
      <c r="Z383" s="9"/>
      <c r="AT383" s="35"/>
      <c r="AU383" s="35"/>
      <c r="HO383"/>
      <c r="HP383"/>
      <c r="HQ383"/>
      <c r="HR383"/>
    </row>
    <row r="384" spans="15:226" ht="15">
      <c r="O384" s="9"/>
      <c r="P384" s="9"/>
      <c r="Q384" s="9"/>
      <c r="Z384" s="9"/>
      <c r="HO384"/>
      <c r="HP384"/>
      <c r="HQ384"/>
      <c r="HR384"/>
    </row>
    <row r="385" spans="15:226" ht="15">
      <c r="O385" s="9"/>
      <c r="P385" s="9"/>
      <c r="Q385" s="9"/>
      <c r="Z385" s="9"/>
      <c r="HO385"/>
      <c r="HP385"/>
      <c r="HQ385"/>
      <c r="HR385"/>
    </row>
    <row r="386" spans="15:226" ht="15">
      <c r="O386" s="9"/>
      <c r="P386" s="9"/>
      <c r="Q386" s="9"/>
      <c r="Z386" s="9"/>
      <c r="HO386"/>
      <c r="HP386"/>
      <c r="HQ386"/>
      <c r="HR386"/>
    </row>
    <row r="387" spans="15:226" ht="15">
      <c r="O387" s="9"/>
      <c r="P387" s="9"/>
      <c r="Q387" s="9"/>
      <c r="Z387" s="9"/>
      <c r="HO387"/>
      <c r="HP387"/>
      <c r="HQ387"/>
      <c r="HR387"/>
    </row>
    <row r="388" spans="15:226" ht="15">
      <c r="O388" s="9"/>
      <c r="P388" s="9"/>
      <c r="Q388" s="9"/>
      <c r="Z388" s="9"/>
      <c r="HO388"/>
      <c r="HP388"/>
      <c r="HQ388"/>
      <c r="HR388"/>
    </row>
    <row r="389" spans="15:226" ht="15">
      <c r="O389" s="9"/>
      <c r="P389" s="9"/>
      <c r="Q389" s="9"/>
      <c r="Z389" s="9"/>
      <c r="HO389"/>
      <c r="HP389"/>
      <c r="HQ389"/>
      <c r="HR389"/>
    </row>
    <row r="390" spans="15:226" ht="15">
      <c r="O390" s="9"/>
      <c r="P390" s="9"/>
      <c r="Q390" s="9"/>
      <c r="Z390" s="9"/>
      <c r="HO390"/>
      <c r="HP390"/>
      <c r="HQ390"/>
      <c r="HR390"/>
    </row>
    <row r="391" spans="15:226" ht="15">
      <c r="O391" s="9"/>
      <c r="P391" s="9"/>
      <c r="Q391" s="9"/>
      <c r="Z391" s="9"/>
      <c r="HO391"/>
      <c r="HP391"/>
      <c r="HQ391"/>
      <c r="HR391"/>
    </row>
    <row r="392" spans="15:226" ht="15">
      <c r="O392" s="9"/>
      <c r="P392" s="9"/>
      <c r="Q392" s="9"/>
      <c r="Z392" s="9"/>
      <c r="HO392"/>
      <c r="HP392"/>
      <c r="HQ392"/>
      <c r="HR392"/>
    </row>
    <row r="393" spans="15:226" ht="15">
      <c r="O393" s="9"/>
      <c r="P393" s="9"/>
      <c r="Q393" s="9"/>
      <c r="Z393" s="9"/>
      <c r="HO393"/>
      <c r="HP393"/>
      <c r="HQ393"/>
      <c r="HR393"/>
    </row>
    <row r="394" spans="15:226" ht="15">
      <c r="O394" s="9"/>
      <c r="P394" s="9"/>
      <c r="Q394" s="9"/>
      <c r="Z394" s="9"/>
      <c r="HO394"/>
      <c r="HP394"/>
      <c r="HQ394"/>
      <c r="HR394"/>
    </row>
    <row r="395" spans="15:226" ht="15">
      <c r="O395" s="9"/>
      <c r="P395" s="9"/>
      <c r="Q395" s="9"/>
      <c r="Z395" s="9"/>
      <c r="HO395"/>
      <c r="HP395"/>
      <c r="HQ395"/>
      <c r="HR395"/>
    </row>
    <row r="396" spans="15:226" ht="15">
      <c r="O396" s="9"/>
      <c r="P396" s="9"/>
      <c r="Q396" s="9"/>
      <c r="Z396" s="9"/>
      <c r="HO396"/>
      <c r="HP396"/>
      <c r="HQ396"/>
      <c r="HR396"/>
    </row>
    <row r="397" spans="15:226" ht="15">
      <c r="O397" s="9"/>
      <c r="P397" s="9"/>
      <c r="Q397" s="9"/>
      <c r="Z397" s="9"/>
      <c r="HO397"/>
      <c r="HP397"/>
      <c r="HQ397"/>
      <c r="HR397"/>
    </row>
    <row r="398" spans="15:226" ht="15">
      <c r="O398" s="9"/>
      <c r="P398" s="9"/>
      <c r="Q398" s="9"/>
      <c r="Z398" s="9"/>
      <c r="HO398"/>
      <c r="HP398"/>
      <c r="HQ398"/>
      <c r="HR398"/>
    </row>
    <row r="399" spans="15:226" ht="15">
      <c r="O399" s="9"/>
      <c r="P399" s="9"/>
      <c r="Q399" s="9"/>
      <c r="Z399" s="9"/>
      <c r="HO399"/>
      <c r="HP399"/>
      <c r="HQ399"/>
      <c r="HR399"/>
    </row>
    <row r="400" spans="15:226" ht="15">
      <c r="O400" s="9"/>
      <c r="P400" s="9"/>
      <c r="Q400" s="9"/>
      <c r="Z400" s="9"/>
      <c r="HO400"/>
      <c r="HP400"/>
      <c r="HQ400"/>
      <c r="HR400"/>
    </row>
    <row r="401" spans="15:226" ht="15">
      <c r="O401" s="9"/>
      <c r="P401" s="9"/>
      <c r="Q401" s="9"/>
      <c r="Z401" s="9"/>
      <c r="HO401"/>
      <c r="HP401"/>
      <c r="HQ401"/>
      <c r="HR401"/>
    </row>
    <row r="402" spans="15:226" ht="15">
      <c r="O402" s="9"/>
      <c r="P402" s="9"/>
      <c r="Q402" s="9"/>
      <c r="Z402" s="9"/>
      <c r="AC402" s="9" t="s">
        <v>1557</v>
      </c>
      <c r="HO402"/>
      <c r="HP402"/>
      <c r="HQ402"/>
      <c r="HR402"/>
    </row>
    <row r="403" spans="15:226" ht="15">
      <c r="O403" s="9"/>
      <c r="P403" s="9"/>
      <c r="Q403" s="9"/>
      <c r="Z403" s="9"/>
      <c r="HO403"/>
      <c r="HP403"/>
      <c r="HQ403"/>
      <c r="HR403"/>
    </row>
    <row r="404" spans="15:226" ht="15">
      <c r="O404" s="9"/>
      <c r="P404" s="9"/>
      <c r="Q404" s="9"/>
      <c r="Z404" s="9"/>
      <c r="HO404"/>
      <c r="HP404"/>
      <c r="HQ404"/>
      <c r="HR404"/>
    </row>
    <row r="405" spans="15:226" ht="15">
      <c r="O405" s="9"/>
      <c r="P405" s="9"/>
      <c r="Q405" s="9"/>
      <c r="Z405" s="9"/>
      <c r="HO405"/>
      <c r="HP405"/>
      <c r="HQ405"/>
      <c r="HR405"/>
    </row>
    <row r="406" spans="15:226" ht="15">
      <c r="O406" s="9"/>
      <c r="P406" s="9"/>
      <c r="Q406" s="9"/>
      <c r="Z406" s="9"/>
      <c r="HO406"/>
      <c r="HP406"/>
      <c r="HQ406"/>
      <c r="HR406"/>
    </row>
    <row r="407" spans="15:226" ht="15">
      <c r="O407" s="9"/>
      <c r="P407" s="9"/>
      <c r="Q407" s="9"/>
      <c r="Z407" s="9"/>
      <c r="HO407"/>
      <c r="HP407"/>
      <c r="HQ407"/>
      <c r="HR407"/>
    </row>
    <row r="408" spans="15:226" ht="15">
      <c r="O408" s="9"/>
      <c r="P408" s="9"/>
      <c r="Q408" s="9"/>
      <c r="Z408" s="9"/>
      <c r="HO408"/>
      <c r="HP408"/>
      <c r="HQ408"/>
      <c r="HR408"/>
    </row>
    <row r="409" spans="15:226" ht="15">
      <c r="O409" s="9"/>
      <c r="P409" s="9"/>
      <c r="Q409" s="9"/>
      <c r="Z409" s="9"/>
      <c r="HO409"/>
      <c r="HP409"/>
      <c r="HQ409"/>
      <c r="HR409"/>
    </row>
    <row r="410" spans="15:226" ht="15">
      <c r="O410" s="9"/>
      <c r="P410" s="9"/>
      <c r="Q410" s="9"/>
      <c r="Z410" s="9"/>
      <c r="HO410"/>
      <c r="HP410"/>
      <c r="HQ410"/>
      <c r="HR410"/>
    </row>
    <row r="411" spans="15:226" ht="15">
      <c r="O411" s="9"/>
      <c r="P411" s="9"/>
      <c r="Q411" s="9"/>
      <c r="Z411" s="9"/>
      <c r="HO411"/>
      <c r="HP411"/>
      <c r="HQ411"/>
      <c r="HR411"/>
    </row>
    <row r="412" spans="15:226" ht="15">
      <c r="O412" s="9"/>
      <c r="P412" s="9"/>
      <c r="Q412" s="9"/>
      <c r="Z412" s="9"/>
      <c r="HO412"/>
      <c r="HP412"/>
      <c r="HQ412"/>
      <c r="HR412"/>
    </row>
    <row r="413" spans="15:226" ht="15">
      <c r="O413" s="9"/>
      <c r="P413" s="9"/>
      <c r="Q413" s="9"/>
      <c r="Z413" s="9"/>
      <c r="HO413"/>
      <c r="HP413"/>
      <c r="HQ413"/>
      <c r="HR413"/>
    </row>
    <row r="414" spans="15:226" ht="15">
      <c r="O414" s="9"/>
      <c r="P414" s="9"/>
      <c r="Q414" s="9"/>
      <c r="Z414" s="9"/>
      <c r="HO414"/>
      <c r="HP414"/>
      <c r="HQ414"/>
      <c r="HR414"/>
    </row>
    <row r="415" spans="15:226" ht="15">
      <c r="O415" s="9"/>
      <c r="P415" s="9"/>
      <c r="Q415" s="9"/>
      <c r="Z415" s="9"/>
      <c r="HO415"/>
      <c r="HP415"/>
      <c r="HQ415"/>
      <c r="HR415"/>
    </row>
    <row r="416" spans="15:226" ht="15">
      <c r="O416" s="9"/>
      <c r="P416" s="9"/>
      <c r="Q416" s="9"/>
      <c r="Z416" s="9"/>
      <c r="HO416"/>
      <c r="HP416"/>
      <c r="HQ416"/>
      <c r="HR416"/>
    </row>
    <row r="417" spans="15:226" ht="15">
      <c r="O417" s="9"/>
      <c r="P417" s="9"/>
      <c r="Q417" s="9"/>
      <c r="Z417" s="9"/>
      <c r="HO417"/>
      <c r="HP417"/>
      <c r="HQ417"/>
      <c r="HR417"/>
    </row>
    <row r="418" spans="15:226" ht="15">
      <c r="O418" s="9"/>
      <c r="P418" s="9"/>
      <c r="Q418" s="9"/>
      <c r="Z418" s="9"/>
      <c r="HO418"/>
      <c r="HP418"/>
      <c r="HQ418"/>
      <c r="HR418"/>
    </row>
    <row r="419" spans="15:226" ht="15">
      <c r="O419" s="9"/>
      <c r="P419" s="9"/>
      <c r="Q419" s="9"/>
      <c r="Z419" s="9"/>
      <c r="HO419"/>
      <c r="HP419"/>
      <c r="HQ419"/>
      <c r="HR419"/>
    </row>
    <row r="420" spans="15:226" ht="15">
      <c r="O420" s="9"/>
      <c r="P420" s="9"/>
      <c r="Q420" s="9"/>
      <c r="Z420" s="9"/>
      <c r="HO420"/>
      <c r="HP420"/>
      <c r="HQ420"/>
      <c r="HR420"/>
    </row>
    <row r="421" spans="15:226" ht="15">
      <c r="O421" s="9"/>
      <c r="P421" s="9"/>
      <c r="Q421" s="9"/>
      <c r="Z421" s="9"/>
      <c r="HO421"/>
      <c r="HP421"/>
      <c r="HQ421"/>
      <c r="HR421"/>
    </row>
    <row r="422" spans="15:226" ht="15">
      <c r="O422" s="9"/>
      <c r="P422" s="9"/>
      <c r="Q422" s="9"/>
      <c r="Z422" s="9"/>
      <c r="HO422"/>
      <c r="HP422"/>
      <c r="HQ422"/>
      <c r="HR422"/>
    </row>
    <row r="423" spans="15:226" ht="15">
      <c r="O423" s="9"/>
      <c r="P423" s="9"/>
      <c r="Q423" s="9"/>
      <c r="Z423" s="9"/>
      <c r="HO423"/>
      <c r="HP423"/>
      <c r="HQ423"/>
      <c r="HR423"/>
    </row>
    <row r="424" spans="15:226" ht="15">
      <c r="O424" s="9"/>
      <c r="P424" s="9"/>
      <c r="Q424" s="9"/>
      <c r="Z424" s="9"/>
      <c r="HO424"/>
      <c r="HP424"/>
      <c r="HQ424"/>
      <c r="HR424"/>
    </row>
    <row r="425" spans="15:226" ht="15">
      <c r="O425" s="9"/>
      <c r="P425" s="9"/>
      <c r="Q425" s="9"/>
      <c r="Z425" s="9"/>
      <c r="HO425"/>
      <c r="HP425"/>
      <c r="HQ425"/>
      <c r="HR425"/>
    </row>
    <row r="426" spans="15:226" ht="15">
      <c r="O426" s="9"/>
      <c r="P426" s="9"/>
      <c r="Q426" s="9"/>
      <c r="Z426" s="9"/>
      <c r="HO426"/>
      <c r="HP426"/>
      <c r="HQ426"/>
      <c r="HR426"/>
    </row>
    <row r="427" spans="15:226" ht="15">
      <c r="O427" s="9"/>
      <c r="P427" s="9"/>
      <c r="Q427" s="9"/>
      <c r="Z427" s="9"/>
      <c r="HO427"/>
      <c r="HP427"/>
      <c r="HQ427"/>
      <c r="HR427"/>
    </row>
    <row r="428" spans="15:226" ht="15">
      <c r="O428" s="9"/>
      <c r="P428" s="9"/>
      <c r="Q428" s="9"/>
      <c r="Z428" s="9"/>
      <c r="HO428"/>
      <c r="HP428"/>
      <c r="HQ428"/>
      <c r="HR428"/>
    </row>
    <row r="429" spans="15:226" ht="15">
      <c r="O429" s="9"/>
      <c r="P429" s="9"/>
      <c r="Q429" s="9"/>
      <c r="Z429" s="9"/>
      <c r="HO429"/>
      <c r="HP429"/>
      <c r="HQ429"/>
      <c r="HR429"/>
    </row>
    <row r="430" spans="15:226" ht="15">
      <c r="O430" s="9"/>
      <c r="P430" s="9"/>
      <c r="Q430" s="9"/>
      <c r="Z430" s="9"/>
      <c r="HO430"/>
      <c r="HP430"/>
      <c r="HQ430"/>
      <c r="HR430"/>
    </row>
    <row r="431" spans="15:226" ht="15">
      <c r="O431" s="9"/>
      <c r="P431" s="9"/>
      <c r="Q431" s="9"/>
      <c r="Z431" s="9"/>
      <c r="HO431"/>
      <c r="HP431"/>
      <c r="HQ431"/>
      <c r="HR431"/>
    </row>
    <row r="432" spans="15:226" ht="15">
      <c r="O432" s="9"/>
      <c r="P432" s="9"/>
      <c r="Q432" s="9"/>
      <c r="Z432" s="9"/>
      <c r="HO432"/>
      <c r="HP432"/>
      <c r="HQ432"/>
      <c r="HR432"/>
    </row>
    <row r="433" spans="15:226" ht="15">
      <c r="O433" s="9"/>
      <c r="P433" s="9"/>
      <c r="Q433" s="9"/>
      <c r="Z433" s="9"/>
      <c r="HO433"/>
      <c r="HP433"/>
      <c r="HQ433"/>
      <c r="HR433"/>
    </row>
    <row r="434" spans="15:226" ht="15">
      <c r="O434" s="9"/>
      <c r="P434" s="9"/>
      <c r="Q434" s="9"/>
      <c r="Z434" s="9"/>
      <c r="HO434"/>
      <c r="HP434"/>
      <c r="HQ434"/>
      <c r="HR434"/>
    </row>
    <row r="435" spans="15:226" ht="15">
      <c r="O435" s="9"/>
      <c r="P435" s="9"/>
      <c r="Q435" s="9"/>
      <c r="Z435" s="9"/>
      <c r="HO435"/>
      <c r="HP435"/>
      <c r="HQ435"/>
      <c r="HR435"/>
    </row>
    <row r="436" spans="15:226" ht="15">
      <c r="O436" s="9"/>
      <c r="P436" s="9"/>
      <c r="Q436" s="9"/>
      <c r="Z436" s="9"/>
      <c r="HO436"/>
      <c r="HP436"/>
      <c r="HQ436"/>
      <c r="HR436"/>
    </row>
    <row r="437" spans="15:226" ht="15">
      <c r="O437" s="9"/>
      <c r="P437" s="9"/>
      <c r="Q437" s="9"/>
      <c r="Z437" s="9"/>
      <c r="HO437"/>
      <c r="HP437"/>
      <c r="HQ437"/>
      <c r="HR437"/>
    </row>
    <row r="438" spans="15:17" ht="15">
      <c r="O438" s="9"/>
      <c r="P438" s="9"/>
      <c r="Q438" s="9"/>
    </row>
    <row r="439" spans="15:17" ht="15">
      <c r="O439" s="9"/>
      <c r="P439" s="9"/>
      <c r="Q439" s="9"/>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1" sqref="A1:DE16384"/>
    </sheetView>
  </sheetViews>
  <sheetFormatPr defaultColWidth="9.7109375" defaultRowHeight="12.75"/>
  <cols>
    <col min="1" max="1" width="13.7109375" style="9" customWidth="1"/>
    <col min="2" max="2" width="67.28125" style="9" customWidth="1"/>
    <col min="3" max="3" width="19.7109375" style="9" customWidth="1"/>
    <col min="4" max="4" width="9.7109375" style="9" customWidth="1"/>
    <col min="5" max="5" width="13.7109375" style="9" customWidth="1"/>
    <col min="6" max="6" width="66.00390625" style="9" customWidth="1"/>
    <col min="7" max="7" width="20.7109375" style="9" customWidth="1"/>
    <col min="8" max="8" width="9.7109375" style="9" customWidth="1"/>
    <col min="9" max="9" width="47.140625" style="9" customWidth="1"/>
    <col min="10" max="10" width="20.140625" style="9" customWidth="1"/>
    <col min="11" max="11" width="17.7109375" style="9" customWidth="1"/>
    <col min="12" max="12" width="16.421875" style="9" customWidth="1"/>
    <col min="13" max="13" width="13.140625" style="9" customWidth="1"/>
    <col min="14" max="14" width="11.7109375" style="9" customWidth="1"/>
    <col min="15" max="15" width="9.7109375" style="35" customWidth="1"/>
    <col min="16" max="16" width="63.8515625" style="9" customWidth="1"/>
    <col min="17" max="17" width="20.7109375" style="9" customWidth="1"/>
    <col min="18" max="18" width="11.7109375" style="9" customWidth="1"/>
    <col min="19" max="19" width="9.7109375" style="35" customWidth="1"/>
    <col min="20" max="20" width="55.7109375" style="9" customWidth="1"/>
    <col min="21" max="21" width="20.7109375" style="9" customWidth="1"/>
    <col min="22" max="22" width="11.7109375" style="9" customWidth="1"/>
    <col min="23" max="23" width="9.7109375" style="35" customWidth="1"/>
    <col min="24" max="24" width="60.7109375" style="9" customWidth="1"/>
    <col min="25" max="25" width="20.7109375" style="9" customWidth="1"/>
    <col min="26" max="26" width="9.7109375" style="9" customWidth="1"/>
    <col min="27" max="27" width="9.7109375" style="35" customWidth="1"/>
    <col min="28" max="28" width="55.7109375" style="9" customWidth="1"/>
    <col min="29" max="29" width="20.7109375" style="9" customWidth="1"/>
    <col min="30" max="30" width="12.00390625" style="9" customWidth="1"/>
    <col min="31" max="31" width="9.7109375" style="9" customWidth="1"/>
    <col min="32" max="32" width="9.7109375" style="35" customWidth="1"/>
    <col min="33" max="33" width="67.421875" style="9" customWidth="1"/>
    <col min="34" max="34" width="15.7109375" style="9" customWidth="1"/>
    <col min="35" max="35" width="9.7109375" style="9" customWidth="1"/>
    <col min="36" max="36" width="9.7109375" style="35" customWidth="1"/>
    <col min="37" max="37" width="10.7109375" style="35" customWidth="1"/>
    <col min="38" max="38" width="60.421875" style="9" customWidth="1"/>
    <col min="39" max="39" width="15.7109375" style="9" customWidth="1"/>
    <col min="40" max="41" width="9.7109375" style="9" customWidth="1"/>
    <col min="42" max="42" width="7.7109375" style="35" customWidth="1"/>
    <col min="43" max="43" width="14.00390625" style="35" customWidth="1"/>
    <col min="44" max="44" width="51.7109375" style="9" customWidth="1"/>
    <col min="45" max="45" width="15.7109375" style="9" customWidth="1"/>
    <col min="46" max="46" width="9.7109375" style="9" customWidth="1"/>
    <col min="47" max="48" width="9.7109375" style="35" customWidth="1"/>
    <col min="49" max="49" width="61.140625" style="9" customWidth="1"/>
    <col min="50" max="50" width="15.7109375" style="9" customWidth="1"/>
    <col min="51" max="51" width="9.7109375" style="9" customWidth="1"/>
    <col min="52" max="53" width="9.7109375" style="35" customWidth="1"/>
    <col min="54" max="54" width="55.7109375" style="9" customWidth="1"/>
    <col min="55" max="55" width="15.7109375" style="9" customWidth="1"/>
    <col min="56" max="56" width="9.7109375" style="9" customWidth="1"/>
    <col min="57" max="58" width="9.7109375" style="35" customWidth="1"/>
    <col min="59" max="59" width="47.140625" style="9" customWidth="1"/>
    <col min="60" max="60" width="14.140625" style="9" customWidth="1"/>
    <col min="61" max="61" width="16.7109375" style="9" customWidth="1"/>
    <col min="62" max="62" width="15.28125" style="9" customWidth="1"/>
    <col min="63" max="63" width="9.7109375" style="9" customWidth="1"/>
    <col min="64" max="65" width="9.7109375" style="35" customWidth="1"/>
    <col min="66" max="66" width="55.7109375" style="9" customWidth="1"/>
    <col min="67" max="67" width="15.7109375" style="9" customWidth="1"/>
    <col min="68" max="68" width="9.7109375" style="9" customWidth="1"/>
    <col min="69" max="70" width="9.7109375" style="35" customWidth="1"/>
    <col min="71" max="71" width="55.7109375" style="9" customWidth="1"/>
    <col min="72" max="72" width="19.57421875" style="9" customWidth="1"/>
    <col min="73" max="73" width="9.7109375" style="9" customWidth="1"/>
    <col min="74" max="74" width="9.7109375" style="35" customWidth="1"/>
    <col min="75" max="75" width="12.140625" style="35" customWidth="1"/>
    <col min="76" max="76" width="55.7109375" style="9" customWidth="1"/>
    <col min="77" max="77" width="20.28125" style="9" customWidth="1"/>
    <col min="78" max="78" width="9.7109375" style="9" customWidth="1"/>
    <col min="79" max="80" width="9.7109375" style="35" customWidth="1"/>
    <col min="81" max="81" width="50.7109375" style="9" customWidth="1"/>
    <col min="82" max="82" width="22.140625" style="9" customWidth="1"/>
    <col min="83" max="84" width="9.7109375" style="9" customWidth="1"/>
    <col min="85" max="86" width="9.7109375" style="35" customWidth="1"/>
    <col min="87" max="87" width="55.7109375" style="9" customWidth="1"/>
    <col min="88" max="88" width="19.7109375" style="9" customWidth="1"/>
    <col min="89" max="89" width="9.7109375" style="9" customWidth="1"/>
    <col min="90" max="90" width="9.7109375" style="35" customWidth="1"/>
    <col min="91" max="91" width="11.28125" style="35" customWidth="1"/>
    <col min="92" max="92" width="55.7109375" style="9" customWidth="1"/>
    <col min="93" max="93" width="20.28125" style="9" customWidth="1"/>
    <col min="94" max="94" width="9.7109375" style="9" customWidth="1"/>
    <col min="95" max="95" width="9.7109375" style="35" customWidth="1"/>
    <col min="96" max="96" width="55.7109375" style="9" customWidth="1"/>
    <col min="97" max="97" width="19.00390625" style="9" customWidth="1"/>
    <col min="98" max="99" width="9.7109375" style="9" customWidth="1"/>
    <col min="100" max="100" width="9.7109375" style="35" customWidth="1"/>
    <col min="101" max="101" width="56.8515625" style="9" customWidth="1"/>
    <col min="102" max="102" width="23.421875" style="9" customWidth="1"/>
    <col min="103" max="104" width="9.7109375" style="9" customWidth="1"/>
    <col min="105" max="105" width="9.7109375" style="35" customWidth="1"/>
    <col min="106" max="106" width="66.28125" style="9" customWidth="1"/>
    <col min="107" max="107" width="25.57421875" style="9" customWidth="1"/>
    <col min="108" max="109" width="9.7109375" style="9" customWidth="1"/>
    <col min="110" max="16384" width="9.7109375" style="1" customWidth="1"/>
  </cols>
  <sheetData>
    <row r="1" spans="15:105" ht="15">
      <c r="O1" s="9"/>
      <c r="S1" s="9"/>
      <c r="W1" s="9"/>
      <c r="AA1" s="9"/>
      <c r="AF1" s="9" t="s">
        <v>1557</v>
      </c>
      <c r="AJ1" s="9"/>
      <c r="AK1" s="9"/>
      <c r="AP1" s="9"/>
      <c r="AQ1" s="9"/>
      <c r="AU1" s="9"/>
      <c r="AV1" s="9"/>
      <c r="AZ1" s="9"/>
      <c r="BA1" s="9"/>
      <c r="BE1" s="9"/>
      <c r="BF1" s="9"/>
      <c r="BL1" s="9"/>
      <c r="BM1" s="9"/>
      <c r="BQ1" s="9"/>
      <c r="BR1" s="9"/>
      <c r="BV1" s="9"/>
      <c r="BW1" s="9"/>
      <c r="CA1" s="9"/>
      <c r="CB1" s="9"/>
      <c r="CG1" s="9"/>
      <c r="CH1" s="9"/>
      <c r="CL1" s="9"/>
      <c r="CM1" s="9"/>
      <c r="CQ1" s="9"/>
      <c r="CV1" s="9"/>
      <c r="DA1" s="9"/>
    </row>
    <row r="2" spans="15:105" ht="15">
      <c r="O2" s="9"/>
      <c r="S2" s="9"/>
      <c r="W2" s="9"/>
      <c r="AA2" s="9"/>
      <c r="AF2" s="9"/>
      <c r="AJ2" s="9"/>
      <c r="AK2" s="9"/>
      <c r="AP2" s="9"/>
      <c r="AQ2" s="9"/>
      <c r="AU2" s="9"/>
      <c r="AV2" s="9"/>
      <c r="AZ2" s="9"/>
      <c r="BA2" s="9"/>
      <c r="BE2" s="9"/>
      <c r="BF2" s="9"/>
      <c r="BL2" s="9"/>
      <c r="BM2" s="9"/>
      <c r="BQ2" s="9"/>
      <c r="BR2" s="9"/>
      <c r="BV2" s="9"/>
      <c r="BW2" s="9"/>
      <c r="CA2" s="9"/>
      <c r="CB2" s="9"/>
      <c r="CG2" s="9"/>
      <c r="CH2" s="9"/>
      <c r="CL2" s="9"/>
      <c r="CM2" s="9"/>
      <c r="CQ2" s="9"/>
      <c r="CV2" s="9"/>
      <c r="DA2" s="9"/>
    </row>
    <row r="3" spans="15:105" ht="15.75">
      <c r="O3" s="9"/>
      <c r="S3" s="9"/>
      <c r="W3" s="9"/>
      <c r="AA3" s="9"/>
      <c r="AF3" s="9"/>
      <c r="AI3" s="10"/>
      <c r="AJ3" s="9"/>
      <c r="AK3" s="9"/>
      <c r="AN3" s="10"/>
      <c r="AO3" s="10"/>
      <c r="AP3" s="9"/>
      <c r="AQ3" s="9"/>
      <c r="AU3" s="9"/>
      <c r="AV3" s="9"/>
      <c r="AZ3" s="9"/>
      <c r="BA3" s="9"/>
      <c r="BE3" s="9"/>
      <c r="BF3" s="9"/>
      <c r="BL3" s="9"/>
      <c r="BM3" s="9"/>
      <c r="BQ3" s="9"/>
      <c r="BR3" s="9"/>
      <c r="BV3" s="9"/>
      <c r="BW3" s="9"/>
      <c r="CA3" s="9"/>
      <c r="CB3" s="9"/>
      <c r="CG3" s="9"/>
      <c r="CH3" s="9"/>
      <c r="CL3" s="9"/>
      <c r="CM3" s="9"/>
      <c r="CQ3" s="9"/>
      <c r="CV3" s="9"/>
      <c r="DA3" s="9"/>
    </row>
    <row r="4" spans="15:105" ht="15.75">
      <c r="O4" s="9"/>
      <c r="S4" s="9"/>
      <c r="W4" s="9"/>
      <c r="AA4" s="9"/>
      <c r="AF4" s="9"/>
      <c r="AI4" s="10"/>
      <c r="AJ4" s="9"/>
      <c r="AK4" s="9"/>
      <c r="AN4" s="10"/>
      <c r="AO4" s="10"/>
      <c r="AP4" s="9"/>
      <c r="AQ4" s="9"/>
      <c r="AU4" s="9"/>
      <c r="AV4" s="9"/>
      <c r="AZ4" s="9"/>
      <c r="BA4" s="9"/>
      <c r="BE4" s="9"/>
      <c r="BF4" s="9"/>
      <c r="BL4" s="9"/>
      <c r="BM4" s="9"/>
      <c r="BQ4" s="9"/>
      <c r="BR4" s="9"/>
      <c r="BV4" s="9"/>
      <c r="BW4" s="9"/>
      <c r="CA4" s="9"/>
      <c r="CB4" s="9"/>
      <c r="CG4" s="9"/>
      <c r="CH4" s="9"/>
      <c r="CL4" s="9"/>
      <c r="CM4" s="9"/>
      <c r="CQ4" s="9"/>
      <c r="CV4" s="9"/>
      <c r="DA4" s="9"/>
    </row>
    <row r="5" spans="15:105" ht="15.75">
      <c r="O5" s="9"/>
      <c r="S5" s="9"/>
      <c r="W5" s="9"/>
      <c r="AA5" s="9"/>
      <c r="AF5" s="9"/>
      <c r="AI5" s="10"/>
      <c r="AJ5" s="9"/>
      <c r="AK5" s="9"/>
      <c r="AN5" s="10"/>
      <c r="AO5" s="10"/>
      <c r="AP5" s="9"/>
      <c r="AQ5" s="9"/>
      <c r="AU5" s="9"/>
      <c r="AV5" s="9"/>
      <c r="AZ5" s="9"/>
      <c r="BA5" s="9"/>
      <c r="BE5" s="9"/>
      <c r="BF5" s="9"/>
      <c r="BL5" s="9"/>
      <c r="BM5" s="9"/>
      <c r="BQ5" s="9"/>
      <c r="BR5" s="9"/>
      <c r="BV5" s="9"/>
      <c r="BW5" s="9"/>
      <c r="CA5" s="9"/>
      <c r="CB5" s="9"/>
      <c r="CG5" s="9"/>
      <c r="CH5" s="9"/>
      <c r="CL5" s="9"/>
      <c r="CM5" s="9"/>
      <c r="CQ5" s="9"/>
      <c r="CV5" s="9"/>
      <c r="DA5" s="9"/>
    </row>
    <row r="6" spans="32:42" ht="15.75">
      <c r="AF6" s="9"/>
      <c r="AI6" s="10"/>
      <c r="AN6" s="10"/>
      <c r="AO6" s="10"/>
      <c r="AP6" s="9"/>
    </row>
    <row r="7" spans="1:107" ht="15.75">
      <c r="A7" s="43"/>
      <c r="B7" s="38" t="s">
        <v>1558</v>
      </c>
      <c r="C7" s="43"/>
      <c r="E7" s="43"/>
      <c r="F7" s="38" t="s">
        <v>1558</v>
      </c>
      <c r="G7" s="43"/>
      <c r="I7" s="98" t="s">
        <v>1558</v>
      </c>
      <c r="K7" s="41"/>
      <c r="L7" s="38"/>
      <c r="M7" s="38" t="str">
        <f>+C12</f>
        <v>ESTIMATE</v>
      </c>
      <c r="N7" s="38"/>
      <c r="O7" s="41"/>
      <c r="P7" s="38" t="s">
        <v>1558</v>
      </c>
      <c r="Q7" s="38"/>
      <c r="R7" s="38"/>
      <c r="T7" s="38" t="s">
        <v>1558</v>
      </c>
      <c r="U7" s="38"/>
      <c r="V7" s="38"/>
      <c r="X7" s="38" t="s">
        <v>1558</v>
      </c>
      <c r="Y7" s="38"/>
      <c r="AB7" s="38" t="s">
        <v>1558</v>
      </c>
      <c r="AC7" s="38"/>
      <c r="AG7" s="38" t="s">
        <v>1558</v>
      </c>
      <c r="AH7" s="38"/>
      <c r="AL7" s="38" t="s">
        <v>1558</v>
      </c>
      <c r="AM7" s="38"/>
      <c r="AR7" s="38" t="s">
        <v>1558</v>
      </c>
      <c r="AS7" s="38"/>
      <c r="AV7" s="38"/>
      <c r="AW7" s="43" t="s">
        <v>261</v>
      </c>
      <c r="AX7" s="38"/>
      <c r="BA7" s="38"/>
      <c r="BB7" s="43" t="s">
        <v>397</v>
      </c>
      <c r="BC7" s="38"/>
      <c r="BF7" s="38"/>
      <c r="BG7" s="38" t="s">
        <v>1558</v>
      </c>
      <c r="BH7" s="38"/>
      <c r="BJ7" s="38"/>
      <c r="BM7" s="38"/>
      <c r="BN7" s="38" t="s">
        <v>1558</v>
      </c>
      <c r="BO7" s="38"/>
      <c r="BR7" s="38"/>
      <c r="BS7" s="38" t="s">
        <v>1558</v>
      </c>
      <c r="BT7" s="38"/>
      <c r="BW7" s="38"/>
      <c r="BX7" s="43" t="s">
        <v>1255</v>
      </c>
      <c r="BY7" s="38"/>
      <c r="CC7" s="43" t="s">
        <v>1635</v>
      </c>
      <c r="CD7" s="38"/>
      <c r="CI7" s="38" t="s">
        <v>1558</v>
      </c>
      <c r="CJ7" s="38"/>
      <c r="CL7" s="38"/>
      <c r="CM7" s="38"/>
      <c r="CN7" s="38" t="s">
        <v>1558</v>
      </c>
      <c r="CO7" s="38"/>
      <c r="CR7" s="38" t="s">
        <v>1558</v>
      </c>
      <c r="CS7" s="38"/>
      <c r="CV7" s="38"/>
      <c r="CW7" s="38" t="s">
        <v>363</v>
      </c>
      <c r="CX7" s="38" t="str">
        <f>CS13</f>
        <v>May, 2015</v>
      </c>
      <c r="DB7" s="38" t="s">
        <v>363</v>
      </c>
      <c r="DC7" s="38" t="str">
        <f>CX7</f>
        <v>May, 2015</v>
      </c>
    </row>
    <row r="8" spans="2:107" ht="15.75">
      <c r="B8" s="38" t="s">
        <v>1631</v>
      </c>
      <c r="C8" s="43"/>
      <c r="F8" s="38" t="s">
        <v>1631</v>
      </c>
      <c r="G8" s="43"/>
      <c r="I8" s="98" t="s">
        <v>262</v>
      </c>
      <c r="K8" s="41"/>
      <c r="M8" s="38" t="s">
        <v>191</v>
      </c>
      <c r="N8" s="38"/>
      <c r="O8" s="41"/>
      <c r="P8" s="38" t="s">
        <v>262</v>
      </c>
      <c r="Q8" s="38" t="s">
        <v>550</v>
      </c>
      <c r="R8" s="38"/>
      <c r="T8" s="38" t="s">
        <v>262</v>
      </c>
      <c r="U8" s="38" t="s">
        <v>549</v>
      </c>
      <c r="V8" s="38"/>
      <c r="X8" s="38" t="s">
        <v>262</v>
      </c>
      <c r="Y8" s="38" t="s">
        <v>1184</v>
      </c>
      <c r="AB8" s="38" t="s">
        <v>262</v>
      </c>
      <c r="AC8" s="38" t="s">
        <v>1182</v>
      </c>
      <c r="AG8" s="38" t="s">
        <v>262</v>
      </c>
      <c r="AH8" s="38" t="s">
        <v>263</v>
      </c>
      <c r="AL8" s="38" t="s">
        <v>262</v>
      </c>
      <c r="AM8" s="38" t="s">
        <v>1185</v>
      </c>
      <c r="AR8" s="38" t="s">
        <v>262</v>
      </c>
      <c r="AS8" s="38" t="s">
        <v>264</v>
      </c>
      <c r="AV8" s="38"/>
      <c r="AW8" s="43" t="s">
        <v>1294</v>
      </c>
      <c r="AX8" s="38" t="s">
        <v>1416</v>
      </c>
      <c r="BA8" s="38"/>
      <c r="BB8" s="43" t="s">
        <v>1636</v>
      </c>
      <c r="BC8" s="38" t="s">
        <v>1418</v>
      </c>
      <c r="BF8" s="38"/>
      <c r="BG8" s="38" t="s">
        <v>262</v>
      </c>
      <c r="BI8" s="35"/>
      <c r="BJ8" s="38" t="s">
        <v>36</v>
      </c>
      <c r="BM8" s="38"/>
      <c r="BN8" s="38" t="s">
        <v>262</v>
      </c>
      <c r="BO8" s="38" t="s">
        <v>1546</v>
      </c>
      <c r="BR8" s="38"/>
      <c r="BS8" s="38" t="s">
        <v>262</v>
      </c>
      <c r="BT8" s="38" t="s">
        <v>1547</v>
      </c>
      <c r="BW8" s="38"/>
      <c r="BX8" s="43" t="s">
        <v>1658</v>
      </c>
      <c r="BY8" s="38" t="s">
        <v>1548</v>
      </c>
      <c r="CC8" s="43" t="s">
        <v>46</v>
      </c>
      <c r="CD8" s="38" t="s">
        <v>1549</v>
      </c>
      <c r="CG8" s="38"/>
      <c r="CH8" s="38"/>
      <c r="CI8" s="38" t="s">
        <v>262</v>
      </c>
      <c r="CJ8" s="38" t="s">
        <v>551</v>
      </c>
      <c r="CL8" s="38"/>
      <c r="CM8" s="38"/>
      <c r="CN8" s="38" t="s">
        <v>262</v>
      </c>
      <c r="CO8" s="38" t="s">
        <v>552</v>
      </c>
      <c r="CR8" s="38" t="s">
        <v>262</v>
      </c>
      <c r="CS8" s="38" t="s">
        <v>1429</v>
      </c>
      <c r="CV8" s="38"/>
      <c r="CW8" s="43"/>
      <c r="CX8" s="38" t="str">
        <f>+C12</f>
        <v>ESTIMATE</v>
      </c>
      <c r="DB8" s="43"/>
      <c r="DC8" s="38" t="str">
        <f>+C12</f>
        <v>ESTIMATE</v>
      </c>
    </row>
    <row r="9" spans="1:107" ht="15.75">
      <c r="A9" s="43"/>
      <c r="B9" s="38" t="s">
        <v>928</v>
      </c>
      <c r="C9" s="43"/>
      <c r="E9" s="43"/>
      <c r="F9" s="38" t="s">
        <v>928</v>
      </c>
      <c r="G9" s="43"/>
      <c r="I9" s="212" t="s">
        <v>461</v>
      </c>
      <c r="K9" s="8"/>
      <c r="L9" s="8"/>
      <c r="M9" s="178"/>
      <c r="N9" s="178"/>
      <c r="P9" s="34" t="s">
        <v>1907</v>
      </c>
      <c r="R9" s="178"/>
      <c r="T9" s="34" t="s">
        <v>1906</v>
      </c>
      <c r="V9" s="178"/>
      <c r="W9" s="103"/>
      <c r="X9" s="175" t="s">
        <v>1275</v>
      </c>
      <c r="AB9" s="103" t="s">
        <v>1912</v>
      </c>
      <c r="AG9" s="34" t="s">
        <v>1833</v>
      </c>
      <c r="AL9" s="34" t="s">
        <v>1291</v>
      </c>
      <c r="AR9" s="34" t="s">
        <v>170</v>
      </c>
      <c r="AV9" s="174" t="s">
        <v>473</v>
      </c>
      <c r="BA9" s="174" t="s">
        <v>1908</v>
      </c>
      <c r="BB9" s="43"/>
      <c r="BF9" s="38"/>
      <c r="BG9" s="38" t="s">
        <v>1433</v>
      </c>
      <c r="BJ9" s="38" t="s">
        <v>1230</v>
      </c>
      <c r="BM9" s="9"/>
      <c r="BN9" s="34" t="s">
        <v>1909</v>
      </c>
      <c r="BR9" s="9"/>
      <c r="BS9" s="38" t="s">
        <v>1892</v>
      </c>
      <c r="BW9" s="174" t="s">
        <v>713</v>
      </c>
      <c r="BX9" s="43"/>
      <c r="CC9" s="34" t="s">
        <v>1764</v>
      </c>
      <c r="CG9" s="38"/>
      <c r="CH9" s="38"/>
      <c r="CI9" s="34" t="s">
        <v>1910</v>
      </c>
      <c r="CJ9" s="43"/>
      <c r="CL9" s="38"/>
      <c r="CM9" s="38"/>
      <c r="CN9" s="34" t="s">
        <v>1911</v>
      </c>
      <c r="CO9" s="38"/>
      <c r="CR9" s="34" t="s">
        <v>1352</v>
      </c>
      <c r="CV9" s="43" t="s">
        <v>270</v>
      </c>
      <c r="CX9" s="38"/>
      <c r="DA9" s="43" t="s">
        <v>270</v>
      </c>
      <c r="DC9" s="38"/>
    </row>
    <row r="10" spans="2:107" ht="15.75">
      <c r="B10" s="38"/>
      <c r="F10" s="38"/>
      <c r="I10" s="98"/>
      <c r="J10" s="8"/>
      <c r="K10" s="175" t="str">
        <f>+AH13</f>
        <v>May, 2015</v>
      </c>
      <c r="L10" s="74"/>
      <c r="M10" s="213">
        <f>C13</f>
        <v>42975</v>
      </c>
      <c r="X10" s="34" t="s">
        <v>45</v>
      </c>
      <c r="BF10" s="38"/>
      <c r="BG10" s="34" t="s">
        <v>1316</v>
      </c>
      <c r="BJ10" s="38" t="str">
        <f>+AH13</f>
        <v>May, 2015</v>
      </c>
      <c r="BL10" s="38"/>
      <c r="BM10" s="38"/>
      <c r="BN10" s="43"/>
      <c r="BO10" s="38" t="s">
        <v>1230</v>
      </c>
      <c r="BR10" s="38"/>
      <c r="BS10" s="34" t="s">
        <v>1434</v>
      </c>
      <c r="BY10" s="38" t="s">
        <v>1230</v>
      </c>
      <c r="CD10" s="38" t="s">
        <v>1230</v>
      </c>
      <c r="CG10" s="38"/>
      <c r="CH10" s="38"/>
      <c r="CI10" s="43"/>
      <c r="CJ10" s="38" t="s">
        <v>1230</v>
      </c>
      <c r="CL10" s="38"/>
      <c r="CM10" s="38"/>
      <c r="CN10" s="43"/>
      <c r="CO10" s="38" t="s">
        <v>1230</v>
      </c>
      <c r="CV10" s="38"/>
      <c r="CW10" s="34" t="s">
        <v>364</v>
      </c>
      <c r="CX10" s="43"/>
      <c r="DB10" s="34" t="s">
        <v>364</v>
      </c>
      <c r="DC10" s="43"/>
    </row>
    <row r="11" spans="1:93" ht="13.5" customHeight="1">
      <c r="A11" s="52"/>
      <c r="C11" s="38"/>
      <c r="G11" s="38"/>
      <c r="N11" s="43"/>
      <c r="O11" s="38"/>
      <c r="R11" s="43"/>
      <c r="V11" s="43"/>
      <c r="AG11" s="116" t="s">
        <v>690</v>
      </c>
      <c r="AH11" s="38" t="s">
        <v>1230</v>
      </c>
      <c r="AM11" s="38" t="s">
        <v>1230</v>
      </c>
      <c r="AS11" s="38" t="s">
        <v>1230</v>
      </c>
      <c r="AZ11" s="38"/>
      <c r="BA11" s="38"/>
      <c r="BB11" s="43"/>
      <c r="BC11" s="38" t="s">
        <v>1230</v>
      </c>
      <c r="BL11" s="38" t="s">
        <v>1347</v>
      </c>
      <c r="BM11" s="38" t="s">
        <v>1348</v>
      </c>
      <c r="BN11" s="43"/>
      <c r="BO11" s="34" t="str">
        <f>+AH13</f>
        <v>May, 2015</v>
      </c>
      <c r="BV11" s="38" t="s">
        <v>1347</v>
      </c>
      <c r="BW11" s="38" t="s">
        <v>1348</v>
      </c>
      <c r="BY11" s="34" t="str">
        <f>+AH13</f>
        <v>May, 2015</v>
      </c>
      <c r="CA11" s="38" t="s">
        <v>1347</v>
      </c>
      <c r="CB11" s="38" t="s">
        <v>1348</v>
      </c>
      <c r="CC11" s="43"/>
      <c r="CD11" s="34" t="str">
        <f>+AH13</f>
        <v>May, 2015</v>
      </c>
      <c r="CG11" s="38" t="s">
        <v>1347</v>
      </c>
      <c r="CH11" s="38" t="s">
        <v>1348</v>
      </c>
      <c r="CI11" s="43"/>
      <c r="CJ11" s="34" t="str">
        <f>+AH13</f>
        <v>May, 2015</v>
      </c>
      <c r="CL11" s="38" t="s">
        <v>1347</v>
      </c>
      <c r="CM11" s="38" t="s">
        <v>1348</v>
      </c>
      <c r="CN11" s="43"/>
      <c r="CO11" s="34" t="str">
        <f>+AH13</f>
        <v>May, 2015</v>
      </c>
    </row>
    <row r="12" spans="1:97" ht="15.75">
      <c r="A12" s="98" t="s">
        <v>1060</v>
      </c>
      <c r="B12" s="43"/>
      <c r="C12" s="38" t="str">
        <f>'UNIT 1 PWR BILL'!C12</f>
        <v>ESTIMATE</v>
      </c>
      <c r="E12" s="98" t="s">
        <v>1061</v>
      </c>
      <c r="F12" s="43"/>
      <c r="G12" s="38" t="str">
        <f>+C12</f>
        <v>ESTIMATE</v>
      </c>
      <c r="J12" s="38" t="s">
        <v>1064</v>
      </c>
      <c r="K12" s="43"/>
      <c r="L12" s="43"/>
      <c r="M12" s="43"/>
      <c r="N12" s="43"/>
      <c r="O12" s="38" t="s">
        <v>1347</v>
      </c>
      <c r="Q12" s="38" t="s">
        <v>1230</v>
      </c>
      <c r="R12" s="43"/>
      <c r="S12" s="38" t="s">
        <v>1347</v>
      </c>
      <c r="T12" s="43"/>
      <c r="U12" s="38" t="s">
        <v>1230</v>
      </c>
      <c r="V12" s="43"/>
      <c r="W12" s="38" t="s">
        <v>1347</v>
      </c>
      <c r="X12" s="43"/>
      <c r="Y12" s="38" t="s">
        <v>1230</v>
      </c>
      <c r="AA12" s="38" t="s">
        <v>1347</v>
      </c>
      <c r="AB12" s="43"/>
      <c r="AC12" s="38" t="s">
        <v>1230</v>
      </c>
      <c r="AF12" s="38" t="s">
        <v>1537</v>
      </c>
      <c r="AG12" s="43"/>
      <c r="AH12" s="43" t="s">
        <v>1557</v>
      </c>
      <c r="AJ12" s="38" t="s">
        <v>1347</v>
      </c>
      <c r="AK12" s="38" t="s">
        <v>1348</v>
      </c>
      <c r="AM12" s="34" t="str">
        <f>+AH13</f>
        <v>May, 2015</v>
      </c>
      <c r="AP12" s="38" t="s">
        <v>1347</v>
      </c>
      <c r="AQ12" s="38" t="s">
        <v>1348</v>
      </c>
      <c r="AR12" s="43"/>
      <c r="AS12" s="34" t="str">
        <f>+AH13</f>
        <v>May, 2015</v>
      </c>
      <c r="AX12" s="38" t="s">
        <v>1230</v>
      </c>
      <c r="AZ12" s="38" t="s">
        <v>1347</v>
      </c>
      <c r="BA12" s="38" t="s">
        <v>1348</v>
      </c>
      <c r="BB12" s="43"/>
      <c r="BC12" s="34" t="str">
        <f>+AH13</f>
        <v>May, 2015</v>
      </c>
      <c r="BE12" s="38" t="s">
        <v>1347</v>
      </c>
      <c r="BF12" s="38" t="s">
        <v>1348</v>
      </c>
      <c r="BG12" s="43"/>
      <c r="BI12" s="38" t="s">
        <v>1062</v>
      </c>
      <c r="BJ12" s="38" t="s">
        <v>1063</v>
      </c>
      <c r="BL12" s="34" t="s">
        <v>1153</v>
      </c>
      <c r="BM12" s="34" t="s">
        <v>502</v>
      </c>
      <c r="BN12" s="34" t="s">
        <v>503</v>
      </c>
      <c r="BO12" s="34"/>
      <c r="BQ12" s="38"/>
      <c r="BR12" s="38"/>
      <c r="BS12" s="43"/>
      <c r="BT12" s="38" t="s">
        <v>1230</v>
      </c>
      <c r="BV12" s="34" t="s">
        <v>1287</v>
      </c>
      <c r="BW12" s="34" t="s">
        <v>502</v>
      </c>
      <c r="BX12" s="34" t="s">
        <v>503</v>
      </c>
      <c r="BY12" s="34"/>
      <c r="CA12" s="34" t="s">
        <v>1153</v>
      </c>
      <c r="CB12" s="34" t="s">
        <v>502</v>
      </c>
      <c r="CC12" s="34" t="s">
        <v>1540</v>
      </c>
      <c r="CD12" s="34"/>
      <c r="CG12" s="34" t="s">
        <v>1288</v>
      </c>
      <c r="CH12" s="34" t="s">
        <v>502</v>
      </c>
      <c r="CI12" s="34" t="s">
        <v>503</v>
      </c>
      <c r="CJ12" s="34"/>
      <c r="CL12" s="34" t="s">
        <v>1288</v>
      </c>
      <c r="CM12" s="34" t="s">
        <v>502</v>
      </c>
      <c r="CN12" s="34" t="s">
        <v>503</v>
      </c>
      <c r="CO12" s="34"/>
      <c r="CS12" s="38" t="s">
        <v>1230</v>
      </c>
    </row>
    <row r="13" spans="1:102" ht="15.75">
      <c r="A13" s="98" t="s">
        <v>1066</v>
      </c>
      <c r="B13" s="43"/>
      <c r="C13" s="178">
        <f ca="1">TODAY()</f>
        <v>42975</v>
      </c>
      <c r="E13" s="98" t="s">
        <v>1827</v>
      </c>
      <c r="F13" s="43"/>
      <c r="G13" s="178">
        <f>+C13</f>
        <v>42975</v>
      </c>
      <c r="J13" s="38" t="s">
        <v>1230</v>
      </c>
      <c r="K13" s="38" t="s">
        <v>1062</v>
      </c>
      <c r="L13" s="38" t="s">
        <v>1063</v>
      </c>
      <c r="M13" s="43"/>
      <c r="N13" s="43"/>
      <c r="O13" s="34" t="s">
        <v>1153</v>
      </c>
      <c r="Q13" s="34" t="str">
        <f>+AH13</f>
        <v>May, 2015</v>
      </c>
      <c r="R13" s="43"/>
      <c r="S13" s="34" t="s">
        <v>1538</v>
      </c>
      <c r="T13" s="43"/>
      <c r="U13" s="34" t="str">
        <f>+AH13</f>
        <v>May, 2015</v>
      </c>
      <c r="V13" s="43"/>
      <c r="W13" s="34" t="s">
        <v>1153</v>
      </c>
      <c r="X13" s="43"/>
      <c r="Y13" s="34" t="str">
        <f>+AH13</f>
        <v>May, 2015</v>
      </c>
      <c r="AA13" s="34" t="s">
        <v>1538</v>
      </c>
      <c r="AB13" s="43"/>
      <c r="AC13" s="34" t="str">
        <f>+AH13</f>
        <v>May, 2015</v>
      </c>
      <c r="AF13" s="34" t="s">
        <v>1153</v>
      </c>
      <c r="AG13" s="43"/>
      <c r="AH13" s="34" t="str">
        <f>'UNIT 1 PWR BILL'!AG13</f>
        <v>May, 2015</v>
      </c>
      <c r="AJ13" s="34" t="s">
        <v>1153</v>
      </c>
      <c r="AK13" s="34" t="s">
        <v>502</v>
      </c>
      <c r="AL13" s="34" t="s">
        <v>1540</v>
      </c>
      <c r="AM13" s="34"/>
      <c r="AP13" s="34" t="s">
        <v>1153</v>
      </c>
      <c r="AQ13" s="34" t="s">
        <v>1153</v>
      </c>
      <c r="AR13" s="34" t="s">
        <v>1289</v>
      </c>
      <c r="AS13" s="34"/>
      <c r="AU13" s="38" t="s">
        <v>1537</v>
      </c>
      <c r="AV13" s="38" t="s">
        <v>1348</v>
      </c>
      <c r="AW13" s="43"/>
      <c r="AX13" s="34" t="str">
        <f>+AH13</f>
        <v>May, 2015</v>
      </c>
      <c r="AZ13" s="34" t="s">
        <v>1538</v>
      </c>
      <c r="BA13" s="34" t="s">
        <v>1539</v>
      </c>
      <c r="BB13" s="34" t="s">
        <v>1540</v>
      </c>
      <c r="BC13" s="34"/>
      <c r="BE13" s="34" t="s">
        <v>1153</v>
      </c>
      <c r="BF13" s="34" t="s">
        <v>502</v>
      </c>
      <c r="BG13" s="34" t="s">
        <v>1540</v>
      </c>
      <c r="BH13" s="34" t="s">
        <v>1064</v>
      </c>
      <c r="BI13" s="34" t="s">
        <v>257</v>
      </c>
      <c r="BJ13" s="34" t="s">
        <v>257</v>
      </c>
      <c r="BQ13" s="38" t="s">
        <v>1347</v>
      </c>
      <c r="BR13" s="38" t="s">
        <v>1348</v>
      </c>
      <c r="BS13" s="43"/>
      <c r="BT13" s="34" t="str">
        <f>+AH13</f>
        <v>May, 2015</v>
      </c>
      <c r="BY13" s="14"/>
      <c r="CJ13" s="35"/>
      <c r="CQ13" s="34" t="s">
        <v>1290</v>
      </c>
      <c r="CS13" s="34" t="str">
        <f>+AH13</f>
        <v>May, 2015</v>
      </c>
      <c r="CV13" s="35">
        <v>500</v>
      </c>
      <c r="CW13" s="9" t="s">
        <v>1872</v>
      </c>
      <c r="CX13" s="14">
        <f>EXPENSES!L46</f>
        <v>135919.85</v>
      </c>
    </row>
    <row r="14" spans="1:102" ht="15.75">
      <c r="A14" s="98" t="s">
        <v>1342</v>
      </c>
      <c r="B14" s="43"/>
      <c r="C14" s="43"/>
      <c r="E14" s="98" t="s">
        <v>1343</v>
      </c>
      <c r="F14" s="43"/>
      <c r="J14" s="34" t="s">
        <v>1866</v>
      </c>
      <c r="K14" s="34" t="s">
        <v>257</v>
      </c>
      <c r="L14" s="34" t="s">
        <v>257</v>
      </c>
      <c r="Q14" s="34"/>
      <c r="S14" s="38"/>
      <c r="T14" s="43"/>
      <c r="U14" s="34"/>
      <c r="Y14" s="34"/>
      <c r="AC14" s="34"/>
      <c r="AH14" s="34"/>
      <c r="AU14" s="34" t="s">
        <v>1153</v>
      </c>
      <c r="AV14" s="34" t="s">
        <v>1539</v>
      </c>
      <c r="AW14" s="34" t="s">
        <v>503</v>
      </c>
      <c r="AX14" s="34"/>
      <c r="BL14" s="35" t="s">
        <v>71</v>
      </c>
      <c r="BN14" s="116" t="s">
        <v>864</v>
      </c>
      <c r="BQ14" s="34" t="s">
        <v>1153</v>
      </c>
      <c r="BR14" s="34" t="s">
        <v>1539</v>
      </c>
      <c r="BS14" s="34" t="s">
        <v>865</v>
      </c>
      <c r="BT14" s="34"/>
      <c r="CC14" s="116" t="s">
        <v>272</v>
      </c>
      <c r="CG14" s="35" t="s">
        <v>71</v>
      </c>
      <c r="CI14" s="116" t="s">
        <v>273</v>
      </c>
      <c r="CS14" s="34"/>
      <c r="CV14" s="35">
        <v>501</v>
      </c>
      <c r="CW14" s="9" t="s">
        <v>1344</v>
      </c>
      <c r="CX14" s="14">
        <f>IF(INSTRUCTIONS!L8="ESTIMATE",J22,(IF(INSTRUCTIONS!L8="ACTUAL",FUELU2!N44,"ERROR")))</f>
        <v>6673748.960000001</v>
      </c>
    </row>
    <row r="15" spans="1:107" ht="12.75" customHeight="1">
      <c r="A15" s="52"/>
      <c r="B15" s="35"/>
      <c r="C15" s="214"/>
      <c r="E15" s="52"/>
      <c r="F15" s="35"/>
      <c r="G15" s="214"/>
      <c r="J15" s="14"/>
      <c r="K15" s="14"/>
      <c r="L15" s="14"/>
      <c r="O15" s="215">
        <v>1</v>
      </c>
      <c r="P15" s="9" t="s">
        <v>1085</v>
      </c>
      <c r="Q15" s="14"/>
      <c r="S15" s="215">
        <v>1</v>
      </c>
      <c r="T15" s="9" t="s">
        <v>246</v>
      </c>
      <c r="U15" s="14"/>
      <c r="W15" s="35" t="s">
        <v>1544</v>
      </c>
      <c r="X15" s="9" t="s">
        <v>1559</v>
      </c>
      <c r="Y15" s="14"/>
      <c r="AA15" s="35" t="s">
        <v>1544</v>
      </c>
      <c r="AB15" s="9" t="s">
        <v>1843</v>
      </c>
      <c r="AC15" s="14"/>
      <c r="AF15" s="35" t="s">
        <v>1544</v>
      </c>
      <c r="AG15" s="9" t="s">
        <v>1867</v>
      </c>
      <c r="AH15" s="14"/>
      <c r="AJ15" s="35">
        <v>1</v>
      </c>
      <c r="AK15" s="35">
        <v>450</v>
      </c>
      <c r="AL15" s="9" t="s">
        <v>1560</v>
      </c>
      <c r="AM15" s="14">
        <v>0</v>
      </c>
      <c r="AP15" s="35" t="s">
        <v>71</v>
      </c>
      <c r="AQ15" s="35" t="s">
        <v>208</v>
      </c>
      <c r="AR15" s="9" t="s">
        <v>1826</v>
      </c>
      <c r="AS15" s="14">
        <f>SUM((CX13+(SUM(CX15:CX22))))</f>
        <v>6021551.969999999</v>
      </c>
      <c r="AX15" s="14"/>
      <c r="BE15" s="35" t="s">
        <v>71</v>
      </c>
      <c r="BG15" s="116" t="s">
        <v>183</v>
      </c>
      <c r="BH15" s="44"/>
      <c r="BO15" s="14"/>
      <c r="BT15" s="14"/>
      <c r="BV15" s="35">
        <v>31</v>
      </c>
      <c r="BX15" s="9" t="s">
        <v>664</v>
      </c>
      <c r="BY15" s="14"/>
      <c r="CD15" s="14"/>
      <c r="CJ15" s="14"/>
      <c r="CQ15" s="35" t="s">
        <v>665</v>
      </c>
      <c r="CR15" s="9" t="s">
        <v>1561</v>
      </c>
      <c r="CS15" s="14"/>
      <c r="CV15" s="35">
        <v>502</v>
      </c>
      <c r="CW15" s="9" t="s">
        <v>1562</v>
      </c>
      <c r="CX15" s="14">
        <f>EXPENSES!L47</f>
        <v>70949.91</v>
      </c>
      <c r="DC15" s="14"/>
    </row>
    <row r="16" spans="1:107" ht="15.75">
      <c r="A16" s="98" t="s">
        <v>1230</v>
      </c>
      <c r="B16" s="43"/>
      <c r="C16" s="43"/>
      <c r="E16" s="98" t="s">
        <v>1230</v>
      </c>
      <c r="F16" s="43"/>
      <c r="I16" s="9" t="s">
        <v>561</v>
      </c>
      <c r="J16" s="14">
        <f>TRUNC(Y48)</f>
        <v>-263223</v>
      </c>
      <c r="K16" s="14">
        <f>ROUND((J16*INSTRUCTIONS!$M$20),0)</f>
        <v>-78967</v>
      </c>
      <c r="L16" s="14">
        <f>SUM((J16-K16))</f>
        <v>-184256</v>
      </c>
      <c r="AP16" s="35" t="s">
        <v>1389</v>
      </c>
      <c r="AQ16" s="35">
        <v>501</v>
      </c>
      <c r="AR16" s="9" t="s">
        <v>490</v>
      </c>
      <c r="AS16" s="14">
        <f>SUM(CX14)</f>
        <v>6673748.960000001</v>
      </c>
      <c r="AZ16" s="35" t="s">
        <v>491</v>
      </c>
      <c r="BA16" s="35" t="s">
        <v>1688</v>
      </c>
      <c r="BB16" s="9" t="s">
        <v>674</v>
      </c>
      <c r="BL16" s="35" t="s">
        <v>1389</v>
      </c>
      <c r="BM16" s="35">
        <v>101</v>
      </c>
      <c r="BN16" s="9" t="s">
        <v>717</v>
      </c>
      <c r="BO16" s="14">
        <f>AEGBS!J11</f>
        <v>137827058.35</v>
      </c>
      <c r="BQ16" s="35" t="s">
        <v>71</v>
      </c>
      <c r="BR16" s="35">
        <v>128</v>
      </c>
      <c r="BS16" s="9" t="s">
        <v>1552</v>
      </c>
      <c r="BT16" s="14">
        <f>AEGBS!J32</f>
        <v>0</v>
      </c>
      <c r="CA16" s="35" t="s">
        <v>665</v>
      </c>
      <c r="CB16" s="35">
        <v>107</v>
      </c>
      <c r="CC16" s="9" t="s">
        <v>1553</v>
      </c>
      <c r="CD16" s="14">
        <f>AEGBS!D145</f>
        <v>129745731.2</v>
      </c>
      <c r="CG16" s="35" t="s">
        <v>1389</v>
      </c>
      <c r="CH16" s="35">
        <v>201</v>
      </c>
      <c r="CI16" s="9" t="s">
        <v>1766</v>
      </c>
      <c r="CJ16" s="14">
        <f>AEGBS!D153</f>
        <v>383000</v>
      </c>
      <c r="CL16" s="35">
        <v>28</v>
      </c>
      <c r="CN16" s="116" t="s">
        <v>331</v>
      </c>
      <c r="CV16" s="35">
        <v>503</v>
      </c>
      <c r="CW16" s="9" t="s">
        <v>84</v>
      </c>
      <c r="CX16" s="14">
        <v>0</v>
      </c>
      <c r="DA16" s="35">
        <v>901</v>
      </c>
      <c r="DB16" s="9" t="s">
        <v>1769</v>
      </c>
      <c r="DC16" s="14">
        <v>0</v>
      </c>
    </row>
    <row r="17" spans="1:107" ht="15.75">
      <c r="A17" s="174" t="str">
        <f>"POWER BILL - -  "&amp;AH13</f>
        <v>POWER BILL - -  May, 2015</v>
      </c>
      <c r="B17" s="103"/>
      <c r="C17" s="43"/>
      <c r="E17" s="174" t="str">
        <f>"POWER BILL - -  "&amp;AH13</f>
        <v>POWER BILL - -  May, 2015</v>
      </c>
      <c r="F17" s="103"/>
      <c r="O17" s="215">
        <v>2</v>
      </c>
      <c r="P17" s="116" t="s">
        <v>487</v>
      </c>
      <c r="AF17" s="35" t="s">
        <v>562</v>
      </c>
      <c r="AG17" s="9" t="s">
        <v>1320</v>
      </c>
      <c r="AH17" s="14">
        <v>16229944.415</v>
      </c>
      <c r="AJ17" s="35">
        <v>2</v>
      </c>
      <c r="AK17" s="35">
        <v>451</v>
      </c>
      <c r="AL17" s="9" t="s">
        <v>1309</v>
      </c>
      <c r="AM17" s="14">
        <v>0</v>
      </c>
      <c r="AP17" s="35" t="s">
        <v>1321</v>
      </c>
      <c r="AQ17" s="35" t="s">
        <v>1322</v>
      </c>
      <c r="AR17" s="9" t="s">
        <v>140</v>
      </c>
      <c r="AS17" s="14">
        <f>SUM(CX35)</f>
        <v>456328.19</v>
      </c>
      <c r="AU17" s="35">
        <v>1</v>
      </c>
      <c r="AV17" s="35">
        <v>403</v>
      </c>
      <c r="AW17" s="9" t="s">
        <v>1411</v>
      </c>
      <c r="AX17" s="37">
        <f>EXPENSES!H72</f>
        <v>441601.06</v>
      </c>
      <c r="BB17" s="9" t="s">
        <v>1685</v>
      </c>
      <c r="BC17" s="14">
        <f>EXPENSES!H14</f>
        <v>99552.96</v>
      </c>
      <c r="BL17" s="35" t="s">
        <v>1321</v>
      </c>
      <c r="BM17" s="35">
        <v>102</v>
      </c>
      <c r="BN17" s="9" t="s">
        <v>1686</v>
      </c>
      <c r="BO17" s="14">
        <v>0</v>
      </c>
      <c r="BQ17" s="35" t="s">
        <v>1389</v>
      </c>
      <c r="BR17" s="35" t="s">
        <v>1412</v>
      </c>
      <c r="BS17" s="9" t="s">
        <v>1447</v>
      </c>
      <c r="BT17" s="14">
        <f>AEGBS!J33</f>
        <v>0</v>
      </c>
      <c r="CG17" s="35" t="s">
        <v>1321</v>
      </c>
      <c r="CH17" s="35">
        <v>202</v>
      </c>
      <c r="CI17" s="9" t="s">
        <v>1337</v>
      </c>
      <c r="CJ17" s="14">
        <v>0</v>
      </c>
      <c r="CQ17" s="35" t="s">
        <v>1448</v>
      </c>
      <c r="CR17" s="9" t="s">
        <v>32</v>
      </c>
      <c r="CS17" s="14">
        <f>SUM(CO27)</f>
        <v>63595048.5</v>
      </c>
      <c r="CV17" s="35">
        <v>504</v>
      </c>
      <c r="CW17" s="9" t="s">
        <v>512</v>
      </c>
      <c r="CX17" s="14">
        <v>0</v>
      </c>
      <c r="DA17" s="35">
        <v>902</v>
      </c>
      <c r="DB17" s="9" t="s">
        <v>513</v>
      </c>
      <c r="DC17" s="14">
        <v>0</v>
      </c>
    </row>
    <row r="18" spans="1:107" ht="15.75">
      <c r="A18" s="52"/>
      <c r="E18" s="52"/>
      <c r="I18" s="9" t="s">
        <v>1355</v>
      </c>
      <c r="J18" s="14">
        <f>TRUNC(Y65)</f>
        <v>-48373</v>
      </c>
      <c r="K18" s="14">
        <f>ROUND((J18*INSTRUCTIONS!$M$20),0)</f>
        <v>-14512</v>
      </c>
      <c r="L18" s="14">
        <f>SUM((J18-K18))</f>
        <v>-33861</v>
      </c>
      <c r="S18" s="215">
        <v>2</v>
      </c>
      <c r="T18" s="116" t="s">
        <v>303</v>
      </c>
      <c r="AA18" s="35" t="s">
        <v>562</v>
      </c>
      <c r="AB18" s="9" t="s">
        <v>32</v>
      </c>
      <c r="AC18" s="14">
        <f>SUM(CO27)</f>
        <v>63595048.5</v>
      </c>
      <c r="AF18" s="35" t="s">
        <v>514</v>
      </c>
      <c r="AG18" s="9" t="s">
        <v>716</v>
      </c>
      <c r="AH18" s="14">
        <f>AEGBS!E173</f>
        <v>950306.81</v>
      </c>
      <c r="AS18" s="33" t="s">
        <v>1074</v>
      </c>
      <c r="AU18" s="216" t="s">
        <v>198</v>
      </c>
      <c r="AV18" s="217">
        <v>403.1</v>
      </c>
      <c r="AW18" s="218" t="s">
        <v>195</v>
      </c>
      <c r="AX18" s="37">
        <f>EXPENSES!F86</f>
        <v>3342.92</v>
      </c>
      <c r="BE18" s="35" t="s">
        <v>1389</v>
      </c>
      <c r="BF18" s="35" t="s">
        <v>1359</v>
      </c>
      <c r="BG18" s="9" t="s">
        <v>1360</v>
      </c>
      <c r="BL18" s="35" t="s">
        <v>1514</v>
      </c>
      <c r="BM18" s="35">
        <v>103</v>
      </c>
      <c r="BN18" s="9" t="s">
        <v>1302</v>
      </c>
      <c r="BO18" s="14">
        <v>0</v>
      </c>
      <c r="BQ18" s="35" t="s">
        <v>1321</v>
      </c>
      <c r="BR18" s="35">
        <v>135</v>
      </c>
      <c r="BS18" s="9" t="s">
        <v>1419</v>
      </c>
      <c r="BT18" s="14">
        <f>AEGBS!J34</f>
        <v>0</v>
      </c>
      <c r="BV18" s="35">
        <v>32</v>
      </c>
      <c r="BW18" s="35">
        <v>190</v>
      </c>
      <c r="BX18" s="9" t="s">
        <v>973</v>
      </c>
      <c r="BY18" s="14">
        <f>AEGBS!H93</f>
        <v>19539301.89802</v>
      </c>
      <c r="CA18" s="35" t="s">
        <v>1448</v>
      </c>
      <c r="CC18" s="116" t="s">
        <v>974</v>
      </c>
      <c r="CG18" s="35" t="s">
        <v>1514</v>
      </c>
      <c r="CH18" s="35">
        <v>203</v>
      </c>
      <c r="CI18" s="9" t="s">
        <v>316</v>
      </c>
      <c r="CJ18" s="14">
        <v>0</v>
      </c>
      <c r="CL18" s="35">
        <v>29</v>
      </c>
      <c r="CM18" s="35">
        <v>221</v>
      </c>
      <c r="CN18" s="9" t="s">
        <v>317</v>
      </c>
      <c r="CO18" s="14">
        <v>0</v>
      </c>
      <c r="CQ18" s="35" t="s">
        <v>1299</v>
      </c>
      <c r="CR18" s="9" t="s">
        <v>1611</v>
      </c>
      <c r="CS18" s="14">
        <f>SUM(CO34)</f>
        <v>82119102.89</v>
      </c>
      <c r="CV18" s="35">
        <v>505</v>
      </c>
      <c r="CW18" s="9" t="s">
        <v>486</v>
      </c>
      <c r="CX18" s="14">
        <f>EXPENSES!L48</f>
        <v>50370.79</v>
      </c>
      <c r="DA18" s="35">
        <v>903</v>
      </c>
      <c r="DB18" s="9" t="s">
        <v>1358</v>
      </c>
      <c r="DC18" s="14">
        <v>0</v>
      </c>
    </row>
    <row r="19" spans="1:107" ht="15">
      <c r="A19" s="52"/>
      <c r="E19" s="52"/>
      <c r="J19" s="79" t="s">
        <v>1074</v>
      </c>
      <c r="K19" s="79" t="s">
        <v>1074</v>
      </c>
      <c r="L19" s="79" t="s">
        <v>1074</v>
      </c>
      <c r="M19" s="79"/>
      <c r="AA19" s="35" t="s">
        <v>514</v>
      </c>
      <c r="AB19" s="9" t="s">
        <v>256</v>
      </c>
      <c r="AC19" s="14">
        <f>SUM(CO34)</f>
        <v>82119102.89</v>
      </c>
      <c r="AF19" s="35" t="s">
        <v>499</v>
      </c>
      <c r="AG19" s="9" t="s">
        <v>1312</v>
      </c>
      <c r="AH19" s="14">
        <f>AEGBS!E175</f>
        <v>1391519.2</v>
      </c>
      <c r="AJ19" s="35">
        <v>3</v>
      </c>
      <c r="AK19" s="35">
        <v>453</v>
      </c>
      <c r="AL19" s="9" t="s">
        <v>571</v>
      </c>
      <c r="AM19" s="14">
        <v>0</v>
      </c>
      <c r="AP19" s="35" t="s">
        <v>1514</v>
      </c>
      <c r="AR19" s="9" t="s">
        <v>289</v>
      </c>
      <c r="AS19" s="14">
        <f>SUM(AS15:AS17)</f>
        <v>13151629.12</v>
      </c>
      <c r="AU19" s="35">
        <v>2</v>
      </c>
      <c r="AV19" s="35">
        <v>404</v>
      </c>
      <c r="AW19" s="9" t="s">
        <v>1513</v>
      </c>
      <c r="AX19" s="32"/>
      <c r="AZ19" s="35" t="s">
        <v>742</v>
      </c>
      <c r="BA19" s="35" t="s">
        <v>743</v>
      </c>
      <c r="BB19" s="9" t="s">
        <v>744</v>
      </c>
      <c r="BC19" s="14">
        <f>EXPENSES!H19</f>
        <v>-5000</v>
      </c>
      <c r="BG19" s="9" t="s">
        <v>1080</v>
      </c>
      <c r="BH19" s="143">
        <f>IF(INSTRUCTIONS!$L$29="ESTIMATE",TXPG12RV!G91,IF(INSTRUCTIONS!$L$29="ACTUAL",TXPG12RV!I91,"SEE NOTE"))</f>
        <v>12500</v>
      </c>
      <c r="BI19" s="14">
        <f>SUM((BH19*INSTRUCTIONS!$M$20))</f>
        <v>3750</v>
      </c>
      <c r="BJ19" s="14">
        <f>SUM((BH19-BI19))</f>
        <v>8750</v>
      </c>
      <c r="BL19" s="35" t="s">
        <v>745</v>
      </c>
      <c r="BM19" s="35">
        <v>103.1</v>
      </c>
      <c r="BN19" s="9" t="s">
        <v>715</v>
      </c>
      <c r="BQ19" s="35" t="s">
        <v>1514</v>
      </c>
      <c r="BR19" s="35">
        <v>143</v>
      </c>
      <c r="BS19" s="9" t="s">
        <v>593</v>
      </c>
      <c r="BT19" s="14">
        <f>AEGBS!J35</f>
        <v>0</v>
      </c>
      <c r="BV19" s="35">
        <v>33</v>
      </c>
      <c r="BW19" s="35">
        <v>281</v>
      </c>
      <c r="BX19" s="9" t="s">
        <v>594</v>
      </c>
      <c r="CG19" s="35" t="s">
        <v>745</v>
      </c>
      <c r="CH19" s="35">
        <v>209</v>
      </c>
      <c r="CI19" s="9" t="s">
        <v>1800</v>
      </c>
      <c r="CL19" s="35">
        <v>30</v>
      </c>
      <c r="CM19" s="35">
        <v>222</v>
      </c>
      <c r="CN19" s="9" t="s">
        <v>1801</v>
      </c>
      <c r="CO19" s="14">
        <v>0</v>
      </c>
      <c r="CQ19" s="35" t="s">
        <v>1143</v>
      </c>
      <c r="CR19" s="9" t="s">
        <v>572</v>
      </c>
      <c r="CS19" s="14">
        <f>SUM(CJ56)</f>
        <v>0</v>
      </c>
      <c r="CV19" s="35">
        <v>506</v>
      </c>
      <c r="CW19" s="9" t="s">
        <v>573</v>
      </c>
      <c r="CX19" s="14">
        <f>EXPENSES!L49</f>
        <v>74058.4</v>
      </c>
      <c r="DA19" s="35">
        <v>904</v>
      </c>
      <c r="DB19" s="9" t="s">
        <v>1079</v>
      </c>
      <c r="DC19" s="14">
        <v>0</v>
      </c>
    </row>
    <row r="20" spans="1:107" ht="15">
      <c r="A20" s="52" t="s">
        <v>482</v>
      </c>
      <c r="E20" s="52" t="s">
        <v>482</v>
      </c>
      <c r="I20" s="9" t="s">
        <v>767</v>
      </c>
      <c r="J20" s="14">
        <f>SUM((J16+J18))</f>
        <v>-311596</v>
      </c>
      <c r="K20" s="14">
        <f>SUM((K16+K18))</f>
        <v>-93479</v>
      </c>
      <c r="L20" s="14">
        <f>SUM((L16+L18))</f>
        <v>-218117</v>
      </c>
      <c r="O20" s="215">
        <v>3</v>
      </c>
      <c r="P20" s="9" t="s">
        <v>673</v>
      </c>
      <c r="Q20" s="14">
        <f aca="true" t="shared" si="0" ref="Q20:Q27">SUM((U21+U40))</f>
        <v>807278406.42</v>
      </c>
      <c r="W20" s="35" t="s">
        <v>562</v>
      </c>
      <c r="X20" s="9" t="s">
        <v>1310</v>
      </c>
      <c r="Y20" s="14">
        <f>SUM(CO27)</f>
        <v>63595048.5</v>
      </c>
      <c r="AA20" s="35" t="s">
        <v>499</v>
      </c>
      <c r="AB20" s="9" t="s">
        <v>460</v>
      </c>
      <c r="AC20" s="14">
        <f>SUM(CO43)</f>
        <v>0</v>
      </c>
      <c r="AF20" s="35" t="s">
        <v>1081</v>
      </c>
      <c r="AG20" s="9" t="s">
        <v>1445</v>
      </c>
      <c r="AH20" s="14">
        <f>AEGBS!E177</f>
        <v>12290719.11</v>
      </c>
      <c r="AS20" s="33" t="s">
        <v>1074</v>
      </c>
      <c r="AW20" s="9" t="s">
        <v>1163</v>
      </c>
      <c r="AX20" s="37">
        <f>EXPENSES!L74</f>
        <v>574508.2</v>
      </c>
      <c r="BC20" s="33" t="s">
        <v>1074</v>
      </c>
      <c r="BH20" s="12"/>
      <c r="BN20" s="9" t="s">
        <v>1034</v>
      </c>
      <c r="BO20" s="14">
        <v>0</v>
      </c>
      <c r="BQ20" s="35" t="s">
        <v>745</v>
      </c>
      <c r="BR20" s="35">
        <v>146</v>
      </c>
      <c r="BS20" s="9" t="s">
        <v>1297</v>
      </c>
      <c r="BT20" s="14">
        <f>AEGBS!J36</f>
        <v>12069130.69</v>
      </c>
      <c r="BX20" s="9" t="s">
        <v>1164</v>
      </c>
      <c r="BY20" s="14">
        <v>0</v>
      </c>
      <c r="CI20" s="9" t="s">
        <v>1129</v>
      </c>
      <c r="CJ20" s="14">
        <v>0</v>
      </c>
      <c r="CL20" s="35">
        <v>31</v>
      </c>
      <c r="CM20" s="35">
        <v>223</v>
      </c>
      <c r="CN20" s="9" t="s">
        <v>1661</v>
      </c>
      <c r="CO20" s="14">
        <v>0</v>
      </c>
      <c r="CQ20" s="35" t="s">
        <v>806</v>
      </c>
      <c r="CR20" s="9" t="s">
        <v>1172</v>
      </c>
      <c r="CS20" s="14">
        <f>SUM(CJ47)</f>
        <v>95245306.17999999</v>
      </c>
      <c r="CV20" s="35">
        <v>507</v>
      </c>
      <c r="CW20" s="9" t="s">
        <v>1630</v>
      </c>
      <c r="CX20" s="14">
        <f>EXPENSES!L50</f>
        <v>5690253.02</v>
      </c>
      <c r="DA20" s="35">
        <v>905</v>
      </c>
      <c r="DB20" s="9" t="s">
        <v>766</v>
      </c>
      <c r="DC20" s="14">
        <v>0</v>
      </c>
    </row>
    <row r="21" spans="1:102" ht="15">
      <c r="A21" s="52"/>
      <c r="B21" s="52" t="str">
        <f>"ENERGY DELIVERED FOR THE MONTH OF "&amp;INSTRUCTIONS!L7</f>
        <v>ENERGY DELIVERED FOR THE MONTH OF May, 2015</v>
      </c>
      <c r="C21" s="52"/>
      <c r="E21" s="52"/>
      <c r="F21" s="52" t="str">
        <f>B21</f>
        <v>ENERGY DELIVERED FOR THE MONTH OF May, 2015</v>
      </c>
      <c r="G21" s="52"/>
      <c r="O21" s="215">
        <v>4</v>
      </c>
      <c r="P21" s="9" t="s">
        <v>1144</v>
      </c>
      <c r="Q21" s="14">
        <f t="shared" si="0"/>
        <v>605730820.87</v>
      </c>
      <c r="S21" s="215">
        <v>3</v>
      </c>
      <c r="T21" s="9" t="s">
        <v>673</v>
      </c>
      <c r="U21" s="14">
        <f>SUM(BO27)</f>
        <v>139187917.38</v>
      </c>
      <c r="W21" s="35" t="s">
        <v>514</v>
      </c>
      <c r="X21" s="9" t="s">
        <v>1809</v>
      </c>
      <c r="Y21" s="14">
        <f>SUM(CO34)</f>
        <v>82119102.89</v>
      </c>
      <c r="AC21" s="33" t="s">
        <v>1074</v>
      </c>
      <c r="AF21" s="35" t="s">
        <v>768</v>
      </c>
      <c r="AG21" s="9" t="s">
        <v>769</v>
      </c>
      <c r="AH21" s="14">
        <v>0</v>
      </c>
      <c r="AJ21" s="35">
        <v>4</v>
      </c>
      <c r="AK21" s="35">
        <v>454</v>
      </c>
      <c r="AL21" s="9" t="s">
        <v>952</v>
      </c>
      <c r="AP21" s="35" t="s">
        <v>745</v>
      </c>
      <c r="AQ21" s="35" t="s">
        <v>770</v>
      </c>
      <c r="AR21" s="9" t="s">
        <v>918</v>
      </c>
      <c r="AS21" s="14">
        <f>SUM(CX41)</f>
        <v>-17349.13</v>
      </c>
      <c r="AU21" s="35">
        <v>3</v>
      </c>
      <c r="AV21" s="35">
        <v>405</v>
      </c>
      <c r="AW21" s="9" t="s">
        <v>1446</v>
      </c>
      <c r="AX21" s="37">
        <v>0</v>
      </c>
      <c r="AZ21" s="35" t="s">
        <v>920</v>
      </c>
      <c r="BB21" s="9" t="s">
        <v>483</v>
      </c>
      <c r="BC21" s="14">
        <f>BC17+BC19</f>
        <v>94552.96</v>
      </c>
      <c r="BH21" s="143"/>
      <c r="BI21" s="14"/>
      <c r="BJ21" s="14"/>
      <c r="BL21" s="35" t="s">
        <v>677</v>
      </c>
      <c r="BM21" s="35">
        <v>104</v>
      </c>
      <c r="BN21" s="9" t="s">
        <v>1139</v>
      </c>
      <c r="BO21" s="14">
        <v>0</v>
      </c>
      <c r="BQ21" s="35" t="s">
        <v>677</v>
      </c>
      <c r="BR21" s="35">
        <v>171</v>
      </c>
      <c r="BS21" s="9" t="s">
        <v>1141</v>
      </c>
      <c r="BT21" s="14">
        <f>AEGBS!J37</f>
        <v>0</v>
      </c>
      <c r="BV21" s="35">
        <v>34</v>
      </c>
      <c r="BW21" s="35">
        <v>282</v>
      </c>
      <c r="BX21" s="9" t="s">
        <v>594</v>
      </c>
      <c r="CA21" s="35" t="s">
        <v>1299</v>
      </c>
      <c r="CB21" s="35">
        <v>151</v>
      </c>
      <c r="CC21" s="9" t="s">
        <v>1142</v>
      </c>
      <c r="CD21" s="14">
        <v>0</v>
      </c>
      <c r="CG21" s="35" t="s">
        <v>677</v>
      </c>
      <c r="CH21" s="35">
        <v>210</v>
      </c>
      <c r="CI21" s="9" t="s">
        <v>1807</v>
      </c>
      <c r="CL21" s="35">
        <v>32</v>
      </c>
      <c r="CM21" s="35">
        <v>224</v>
      </c>
      <c r="CN21" s="9" t="s">
        <v>1808</v>
      </c>
      <c r="CO21" s="14">
        <f>AEGBS!D159</f>
        <v>63595048.5</v>
      </c>
      <c r="CQ21" s="35" t="s">
        <v>1674</v>
      </c>
      <c r="CR21" s="9" t="s">
        <v>953</v>
      </c>
      <c r="CS21" s="14">
        <f>SUM(CO43)</f>
        <v>0</v>
      </c>
      <c r="CV21" s="35">
        <v>508</v>
      </c>
      <c r="CW21" s="9" t="s">
        <v>1689</v>
      </c>
      <c r="CX21" s="14">
        <v>0</v>
      </c>
    </row>
    <row r="22" spans="1:107" ht="15">
      <c r="A22" s="52"/>
      <c r="B22" s="52" t="s">
        <v>1765</v>
      </c>
      <c r="C22" s="159">
        <f>(+FUELSCH!D72)*1000</f>
        <v>177969000</v>
      </c>
      <c r="E22" s="52"/>
      <c r="F22" s="52" t="s">
        <v>1765</v>
      </c>
      <c r="G22" s="159">
        <f>(+FUELSCH!D71)*1000</f>
        <v>76273000</v>
      </c>
      <c r="I22" s="9" t="s">
        <v>153</v>
      </c>
      <c r="J22" s="14">
        <f>SUM(K22:L22)</f>
        <v>6673748.960000001</v>
      </c>
      <c r="K22" s="13">
        <f>108706.86+1893417.83</f>
        <v>2002124.6900000002</v>
      </c>
      <c r="L22" s="13">
        <f>253649.33+4417974.94</f>
        <v>4671624.2700000005</v>
      </c>
      <c r="O22" s="215">
        <v>5</v>
      </c>
      <c r="P22" s="9" t="s">
        <v>1463</v>
      </c>
      <c r="Q22" s="14">
        <f t="shared" si="0"/>
        <v>65694783.654999994</v>
      </c>
      <c r="S22" s="215">
        <v>4</v>
      </c>
      <c r="T22" s="9" t="s">
        <v>1144</v>
      </c>
      <c r="U22" s="14">
        <f>SUM(BO46)</f>
        <v>148129202.53</v>
      </c>
      <c r="W22" s="35" t="s">
        <v>499</v>
      </c>
      <c r="X22" s="9" t="s">
        <v>1629</v>
      </c>
      <c r="Y22" s="14">
        <f>SUM(CJ56)</f>
        <v>0</v>
      </c>
      <c r="AA22" s="35" t="s">
        <v>1081</v>
      </c>
      <c r="AB22" s="9" t="s">
        <v>1628</v>
      </c>
      <c r="AC22" s="14">
        <f>SUM(AC18:AC20)</f>
        <v>145714151.39</v>
      </c>
      <c r="AF22" s="35" t="s">
        <v>510</v>
      </c>
      <c r="AG22" s="9" t="s">
        <v>1570</v>
      </c>
      <c r="AH22" s="14">
        <f>AEGBS!E179</f>
        <v>0</v>
      </c>
      <c r="AL22" s="9" t="s">
        <v>691</v>
      </c>
      <c r="AM22" s="14">
        <f>(+EXPENSES!L76)</f>
        <v>0</v>
      </c>
      <c r="AS22" s="33" t="s">
        <v>1074</v>
      </c>
      <c r="AU22" s="35">
        <v>4</v>
      </c>
      <c r="AV22" s="35">
        <v>406</v>
      </c>
      <c r="AW22" s="9" t="s">
        <v>919</v>
      </c>
      <c r="AX22" s="32"/>
      <c r="BB22" s="9" t="s">
        <v>1757</v>
      </c>
      <c r="BC22" s="79" t="s">
        <v>1572</v>
      </c>
      <c r="BH22" s="12"/>
      <c r="BL22" s="35" t="s">
        <v>321</v>
      </c>
      <c r="BM22" s="35">
        <v>106</v>
      </c>
      <c r="BN22" s="9" t="s">
        <v>322</v>
      </c>
      <c r="BO22" s="14">
        <f>+AEGBS!J12</f>
        <v>1360859.03</v>
      </c>
      <c r="BQ22" s="35" t="s">
        <v>321</v>
      </c>
      <c r="BR22" s="35">
        <v>174</v>
      </c>
      <c r="BS22" s="9" t="s">
        <v>1176</v>
      </c>
      <c r="BT22" s="14">
        <v>0</v>
      </c>
      <c r="BX22" s="9" t="s">
        <v>1695</v>
      </c>
      <c r="BY22" s="14">
        <f>IF(AEGBS!H125&gt;0,AEGBS!H125,AEGBS!H125*-1)</f>
        <v>17830412.9957</v>
      </c>
      <c r="CA22" s="35" t="s">
        <v>1143</v>
      </c>
      <c r="CB22" s="35">
        <v>152</v>
      </c>
      <c r="CC22" s="9" t="s">
        <v>330</v>
      </c>
      <c r="CD22" s="14">
        <v>0</v>
      </c>
      <c r="CI22" s="9" t="s">
        <v>278</v>
      </c>
      <c r="CJ22" s="14">
        <v>0</v>
      </c>
      <c r="CL22" s="35">
        <v>33</v>
      </c>
      <c r="CM22" s="35">
        <v>225</v>
      </c>
      <c r="CN22" s="9" t="s">
        <v>1465</v>
      </c>
      <c r="CS22" s="33" t="s">
        <v>1074</v>
      </c>
      <c r="CV22" s="35">
        <v>509</v>
      </c>
      <c r="CW22" s="9" t="s">
        <v>1449</v>
      </c>
      <c r="CX22" s="14">
        <f>EXPENSES!L51</f>
        <v>0</v>
      </c>
      <c r="DB22" s="9" t="s">
        <v>152</v>
      </c>
      <c r="DC22" s="14">
        <f>SUM(DC16:DC20)</f>
        <v>0</v>
      </c>
    </row>
    <row r="23" spans="1:97" ht="15">
      <c r="A23" s="52"/>
      <c r="E23" s="52"/>
      <c r="I23" s="9" t="s">
        <v>889</v>
      </c>
      <c r="J23" s="14">
        <f>SUM(CX37)</f>
        <v>0</v>
      </c>
      <c r="K23" s="14">
        <f>ROUND((J23*INSTRUCTIONS!$M$20),0)</f>
        <v>0</v>
      </c>
      <c r="L23" s="14">
        <f>SUM((J23-K23))</f>
        <v>0</v>
      </c>
      <c r="O23" s="215">
        <v>6</v>
      </c>
      <c r="P23" s="9" t="s">
        <v>1675</v>
      </c>
      <c r="Q23" s="14">
        <f t="shared" si="0"/>
        <v>30087.708</v>
      </c>
      <c r="S23" s="215">
        <v>5</v>
      </c>
      <c r="T23" s="9" t="s">
        <v>1463</v>
      </c>
      <c r="U23" s="14">
        <f>SUM(BO58)</f>
        <v>30862489.534999996</v>
      </c>
      <c r="W23" s="35" t="s">
        <v>1081</v>
      </c>
      <c r="X23" s="9" t="s">
        <v>596</v>
      </c>
      <c r="Y23" s="14">
        <f>SUM(CJ47)</f>
        <v>95245306.17999999</v>
      </c>
      <c r="AC23" s="79" t="s">
        <v>1572</v>
      </c>
      <c r="AH23" s="79" t="s">
        <v>1074</v>
      </c>
      <c r="AP23" s="35" t="s">
        <v>677</v>
      </c>
      <c r="AQ23" s="35" t="s">
        <v>154</v>
      </c>
      <c r="AR23" s="9" t="s">
        <v>1767</v>
      </c>
      <c r="AS23" s="14">
        <v>0</v>
      </c>
      <c r="AW23" s="9" t="s">
        <v>484</v>
      </c>
      <c r="AX23" s="37">
        <v>0</v>
      </c>
      <c r="BE23" s="35">
        <v>3</v>
      </c>
      <c r="BF23" s="35" t="s">
        <v>1359</v>
      </c>
      <c r="BG23" s="9" t="s">
        <v>888</v>
      </c>
      <c r="BH23" s="12"/>
      <c r="BL23" s="35" t="s">
        <v>575</v>
      </c>
      <c r="BM23" s="35">
        <v>114</v>
      </c>
      <c r="BN23" s="9" t="s">
        <v>1091</v>
      </c>
      <c r="BO23" s="14">
        <v>0</v>
      </c>
      <c r="BQ23" s="35" t="s">
        <v>575</v>
      </c>
      <c r="BR23" s="35">
        <v>232</v>
      </c>
      <c r="BS23" s="9" t="s">
        <v>1735</v>
      </c>
      <c r="BT23" s="14">
        <f>AEGBS!J38</f>
        <v>0</v>
      </c>
      <c r="BV23" s="35">
        <v>35</v>
      </c>
      <c r="BW23" s="35">
        <v>283</v>
      </c>
      <c r="BX23" s="9" t="s">
        <v>594</v>
      </c>
      <c r="CA23" s="35" t="s">
        <v>806</v>
      </c>
      <c r="CB23" s="35">
        <v>153</v>
      </c>
      <c r="CC23" s="9" t="s">
        <v>1673</v>
      </c>
      <c r="CD23" s="14">
        <v>0</v>
      </c>
      <c r="CG23" s="35" t="s">
        <v>321</v>
      </c>
      <c r="CH23" s="35">
        <v>212</v>
      </c>
      <c r="CI23" s="9" t="s">
        <v>724</v>
      </c>
      <c r="CJ23" s="14">
        <v>0</v>
      </c>
      <c r="CN23" s="9" t="s">
        <v>356</v>
      </c>
      <c r="CO23" s="14">
        <v>0</v>
      </c>
      <c r="CQ23" s="35" t="s">
        <v>1577</v>
      </c>
      <c r="CR23" s="9" t="s">
        <v>711</v>
      </c>
      <c r="CS23" s="14">
        <f>(SUM(CS17:CS20))-CS21</f>
        <v>240959457.57</v>
      </c>
    </row>
    <row r="24" spans="1:107" ht="15.75">
      <c r="A24" s="52"/>
      <c r="B24" s="34" t="s">
        <v>22</v>
      </c>
      <c r="C24" s="34" t="s">
        <v>1056</v>
      </c>
      <c r="E24" s="52"/>
      <c r="F24" s="34" t="s">
        <v>22</v>
      </c>
      <c r="G24" s="34" t="s">
        <v>1056</v>
      </c>
      <c r="I24" s="9" t="s">
        <v>1506</v>
      </c>
      <c r="J24" s="14">
        <f>SUM(AM34)</f>
        <v>-8750</v>
      </c>
      <c r="K24" s="14">
        <f>ROUND((J24*INSTRUCTIONS!$M$20),0)</f>
        <v>-2625</v>
      </c>
      <c r="L24" s="14">
        <f>SUM((J24-K24))</f>
        <v>-6125</v>
      </c>
      <c r="O24" s="215">
        <v>7</v>
      </c>
      <c r="P24" s="9" t="s">
        <v>1578</v>
      </c>
      <c r="Q24" s="14">
        <f t="shared" si="0"/>
        <v>0</v>
      </c>
      <c r="S24" s="215">
        <v>6</v>
      </c>
      <c r="T24" s="9" t="s">
        <v>1675</v>
      </c>
      <c r="U24" s="14">
        <f>SUM(BO60)</f>
        <v>15043.85</v>
      </c>
      <c r="W24" s="35" t="s">
        <v>768</v>
      </c>
      <c r="X24" s="9" t="s">
        <v>1581</v>
      </c>
      <c r="Y24" s="14">
        <f>SUM(CO43)</f>
        <v>0</v>
      </c>
      <c r="AF24" s="35" t="s">
        <v>891</v>
      </c>
      <c r="AG24" s="9" t="s">
        <v>712</v>
      </c>
      <c r="AH24" s="14">
        <f>SUM(AH17:AH22)</f>
        <v>30862489.534999996</v>
      </c>
      <c r="AJ24" s="35">
        <v>5</v>
      </c>
      <c r="AK24" s="32" t="s">
        <v>1732</v>
      </c>
      <c r="AL24" s="9" t="s">
        <v>952</v>
      </c>
      <c r="AP24" s="35" t="s">
        <v>321</v>
      </c>
      <c r="AQ24" s="35" t="s">
        <v>151</v>
      </c>
      <c r="AR24" s="9" t="s">
        <v>1518</v>
      </c>
      <c r="AS24" s="14">
        <v>0</v>
      </c>
      <c r="AU24" s="35">
        <v>5</v>
      </c>
      <c r="AV24" s="35">
        <v>407</v>
      </c>
      <c r="AW24" s="9" t="s">
        <v>574</v>
      </c>
      <c r="AX24" s="32"/>
      <c r="BG24" s="9" t="s">
        <v>1080</v>
      </c>
      <c r="BH24" s="143">
        <f>IF(INSTRUCTIONS!$L$29="ESTIMATE",TXPG12RV!G96+TXPG12RV!G97,IF(INSTRUCTIONS!$L$29="ACTUAL",TXPG12RV!I97+TXPG12RV!I96,"SEE NOTE"))</f>
        <v>310500</v>
      </c>
      <c r="BI24" s="14">
        <f>SUM((BH24*INSTRUCTIONS!$M$20))</f>
        <v>93150</v>
      </c>
      <c r="BJ24" s="14">
        <f>SUM((BH24-BI24))</f>
        <v>217350</v>
      </c>
      <c r="BL24" s="35" t="s">
        <v>1568</v>
      </c>
      <c r="BM24" s="35">
        <v>116</v>
      </c>
      <c r="BN24" s="9" t="s">
        <v>1569</v>
      </c>
      <c r="BO24" s="14">
        <v>0</v>
      </c>
      <c r="BQ24" s="35" t="s">
        <v>1568</v>
      </c>
      <c r="BR24" s="35">
        <v>234</v>
      </c>
      <c r="BS24" s="9" t="s">
        <v>326</v>
      </c>
      <c r="BT24" s="14">
        <f>AEGBS!J39</f>
        <v>-8702404.82</v>
      </c>
      <c r="BX24" s="9" t="s">
        <v>1152</v>
      </c>
      <c r="BY24" s="14">
        <f>IF(AEGBS!H142&gt;0,AEGBS!H142,AEGBS!H142*-1)</f>
        <v>887843.15</v>
      </c>
      <c r="CA24" s="35" t="s">
        <v>1674</v>
      </c>
      <c r="CB24" s="35">
        <v>154</v>
      </c>
      <c r="CC24" s="9" t="s">
        <v>1802</v>
      </c>
      <c r="CD24" s="14">
        <v>0</v>
      </c>
      <c r="CG24" s="35" t="s">
        <v>575</v>
      </c>
      <c r="CH24" s="35">
        <v>214</v>
      </c>
      <c r="CI24" s="9" t="s">
        <v>1579</v>
      </c>
      <c r="CJ24" s="14">
        <v>0</v>
      </c>
      <c r="CL24" s="35">
        <v>34</v>
      </c>
      <c r="CM24" s="35">
        <v>226</v>
      </c>
      <c r="CN24" s="9" t="s">
        <v>1580</v>
      </c>
      <c r="CS24" s="79" t="s">
        <v>1572</v>
      </c>
      <c r="CW24" s="35" t="s">
        <v>1795</v>
      </c>
      <c r="CX24" s="14">
        <f>SUM(CX13:CX22)</f>
        <v>12695300.93</v>
      </c>
      <c r="DA24" s="35">
        <v>906</v>
      </c>
      <c r="DB24" s="9" t="s">
        <v>602</v>
      </c>
      <c r="DC24" s="14">
        <v>0</v>
      </c>
    </row>
    <row r="25" spans="1:107" ht="15">
      <c r="A25" s="52"/>
      <c r="E25" s="52"/>
      <c r="I25" s="9" t="s">
        <v>907</v>
      </c>
      <c r="J25" s="14">
        <f>SUM(((AS48-AS16)-CX37))</f>
        <v>6827613.749999998</v>
      </c>
      <c r="K25" s="14">
        <f>ROUND((J25*INSTRUCTIONS!$M$20),0)</f>
        <v>2048284</v>
      </c>
      <c r="L25" s="14">
        <f>SUM((J25-K25))</f>
        <v>4779329.749999998</v>
      </c>
      <c r="O25" s="215">
        <v>8</v>
      </c>
      <c r="P25" s="9" t="s">
        <v>756</v>
      </c>
      <c r="Q25" s="14">
        <f t="shared" si="0"/>
        <v>0</v>
      </c>
      <c r="S25" s="215">
        <v>7</v>
      </c>
      <c r="T25" s="9" t="s">
        <v>1578</v>
      </c>
      <c r="U25" s="14">
        <f>SUM(BO29)</f>
        <v>0</v>
      </c>
      <c r="Y25" s="33" t="s">
        <v>1074</v>
      </c>
      <c r="AA25" s="35" t="s">
        <v>768</v>
      </c>
      <c r="AB25" s="116" t="s">
        <v>759</v>
      </c>
      <c r="AH25" s="79" t="s">
        <v>1572</v>
      </c>
      <c r="AL25" s="9" t="s">
        <v>1264</v>
      </c>
      <c r="AM25" s="14">
        <f>-(+EXPENSES!H25)</f>
        <v>0</v>
      </c>
      <c r="AS25" s="33" t="s">
        <v>1074</v>
      </c>
      <c r="AW25" s="9" t="s">
        <v>1151</v>
      </c>
      <c r="AX25" s="32"/>
      <c r="BH25" s="12"/>
      <c r="BL25" s="35" t="s">
        <v>1424</v>
      </c>
      <c r="BM25" s="35">
        <v>118</v>
      </c>
      <c r="BN25" s="9" t="s">
        <v>1509</v>
      </c>
      <c r="BO25" s="14">
        <v>0</v>
      </c>
      <c r="BQ25" s="35" t="s">
        <v>1508</v>
      </c>
      <c r="BR25" s="35">
        <v>236</v>
      </c>
      <c r="BS25" s="9" t="s">
        <v>1510</v>
      </c>
      <c r="BT25" s="14">
        <f>AEGBS!J40</f>
        <v>-10048592.56</v>
      </c>
      <c r="BV25" s="35">
        <v>36</v>
      </c>
      <c r="BX25" s="9" t="s">
        <v>753</v>
      </c>
      <c r="BY25" s="33" t="s">
        <v>1074</v>
      </c>
      <c r="CA25" s="35" t="s">
        <v>1577</v>
      </c>
      <c r="CB25" s="35">
        <v>155</v>
      </c>
      <c r="CC25" s="9" t="s">
        <v>754</v>
      </c>
      <c r="CD25" s="14">
        <v>0</v>
      </c>
      <c r="CG25" s="35" t="s">
        <v>1568</v>
      </c>
      <c r="CH25" s="35">
        <v>217</v>
      </c>
      <c r="CI25" s="9" t="s">
        <v>757</v>
      </c>
      <c r="CJ25" s="14">
        <v>0</v>
      </c>
      <c r="CN25" s="9" t="s">
        <v>1263</v>
      </c>
      <c r="CO25" s="14">
        <f>AEGBS!D162</f>
        <v>0</v>
      </c>
      <c r="DA25" s="35">
        <v>907</v>
      </c>
      <c r="DB25" s="9" t="s">
        <v>1769</v>
      </c>
      <c r="DC25" s="14">
        <v>0</v>
      </c>
    </row>
    <row r="26" spans="1:107" ht="15">
      <c r="A26" s="52" t="s">
        <v>927</v>
      </c>
      <c r="E26" s="52" t="s">
        <v>927</v>
      </c>
      <c r="I26" s="9" t="s">
        <v>972</v>
      </c>
      <c r="J26" s="14">
        <f>SUM(AX34)</f>
        <v>1037148.025</v>
      </c>
      <c r="K26" s="14">
        <f>ROUND((J26*INSTRUCTIONS!$M$20),0)</f>
        <v>311144</v>
      </c>
      <c r="L26" s="14">
        <f>SUM((J26-K26))</f>
        <v>726004.025</v>
      </c>
      <c r="O26" s="215">
        <v>9</v>
      </c>
      <c r="P26" s="9" t="s">
        <v>718</v>
      </c>
      <c r="Q26" s="14">
        <f t="shared" si="0"/>
        <v>-46212758.78</v>
      </c>
      <c r="S26" s="215">
        <v>8</v>
      </c>
      <c r="T26" s="9" t="s">
        <v>756</v>
      </c>
      <c r="U26" s="14">
        <f>SUM(BO62)</f>
        <v>0</v>
      </c>
      <c r="W26" s="35" t="s">
        <v>510</v>
      </c>
      <c r="X26" s="9" t="s">
        <v>1485</v>
      </c>
      <c r="Y26" s="14">
        <f>SUM(((((Y20+Y21)+Y22)+Y23)-Y24))</f>
        <v>240959457.57</v>
      </c>
      <c r="AF26" s="35" t="s">
        <v>1516</v>
      </c>
      <c r="AG26" s="116" t="s">
        <v>1196</v>
      </c>
      <c r="AP26" s="35" t="s">
        <v>575</v>
      </c>
      <c r="AR26" s="9" t="s">
        <v>1265</v>
      </c>
      <c r="AS26" s="14">
        <f>SUM((AS23+AS24))</f>
        <v>0</v>
      </c>
      <c r="AW26" s="9" t="s">
        <v>1057</v>
      </c>
      <c r="AX26" s="37">
        <v>0</v>
      </c>
      <c r="BE26" s="35">
        <v>4</v>
      </c>
      <c r="BF26" s="35" t="s">
        <v>1359</v>
      </c>
      <c r="BG26" s="9" t="s">
        <v>186</v>
      </c>
      <c r="BH26" s="143">
        <f>IF(INSTRUCTIONS!$L$29="ESTIMATE",TXPG12RV!G118,IF(INSTRUCTIONS!$L$29="ACTUAL",TXPG12RV!I118,"SEE NOTE"))</f>
        <v>-674907.83</v>
      </c>
      <c r="BI26" s="14">
        <f>SUM((BH26*INSTRUCTIONS!$M$20))</f>
        <v>-202472.349</v>
      </c>
      <c r="BJ26" s="14">
        <f>SUM((BH26-BI26))</f>
        <v>-472435.48099999997</v>
      </c>
      <c r="BO26" s="33" t="s">
        <v>1074</v>
      </c>
      <c r="BQ26" s="35" t="s">
        <v>732</v>
      </c>
      <c r="BR26" s="35">
        <v>237</v>
      </c>
      <c r="BS26" s="9" t="s">
        <v>1653</v>
      </c>
      <c r="BT26" s="14">
        <f>AEGBS!J41</f>
        <v>-170275.73</v>
      </c>
      <c r="BX26" s="9" t="s">
        <v>185</v>
      </c>
      <c r="BY26" s="14">
        <f>SUM(((((-BY18)+BY20)+BY22)+BY24))</f>
        <v>-821045.7523199975</v>
      </c>
      <c r="CA26" s="35" t="s">
        <v>755</v>
      </c>
      <c r="CB26" s="35">
        <v>156</v>
      </c>
      <c r="CC26" s="9" t="s">
        <v>1466</v>
      </c>
      <c r="CD26" s="14">
        <v>0</v>
      </c>
      <c r="CJ26" s="33" t="s">
        <v>1074</v>
      </c>
      <c r="CO26" s="33" t="s">
        <v>1074</v>
      </c>
      <c r="CQ26" s="35" t="s">
        <v>755</v>
      </c>
      <c r="CR26" s="116" t="s">
        <v>638</v>
      </c>
      <c r="DA26" s="35">
        <v>908</v>
      </c>
      <c r="DB26" s="9" t="s">
        <v>639</v>
      </c>
      <c r="DC26" s="14">
        <v>0</v>
      </c>
    </row>
    <row r="27" spans="1:106" ht="15">
      <c r="A27" s="52"/>
      <c r="E27" s="52"/>
      <c r="I27" s="9" t="s">
        <v>942</v>
      </c>
      <c r="J27" s="14">
        <f>SUM(BC21)</f>
        <v>94552.96</v>
      </c>
      <c r="K27" s="14">
        <f>ROUND((J27*INSTRUCTIONS!$M$20),0)</f>
        <v>28366</v>
      </c>
      <c r="L27" s="14">
        <f>SUM((J27-K27))</f>
        <v>66186.96</v>
      </c>
      <c r="O27" s="215">
        <v>10</v>
      </c>
      <c r="P27" s="9" t="s">
        <v>205</v>
      </c>
      <c r="Q27" s="14">
        <f t="shared" si="0"/>
        <v>81392.9</v>
      </c>
      <c r="S27" s="215">
        <v>9</v>
      </c>
      <c r="T27" s="9" t="s">
        <v>1423</v>
      </c>
      <c r="U27" s="14">
        <f>SUM(BT31)</f>
        <v>-33411263.950000003</v>
      </c>
      <c r="Y27" s="33" t="s">
        <v>1572</v>
      </c>
      <c r="AJ27" s="35">
        <v>6</v>
      </c>
      <c r="AK27" s="35" t="s">
        <v>1817</v>
      </c>
      <c r="AL27" s="9" t="s">
        <v>1476</v>
      </c>
      <c r="AM27" s="14">
        <v>0</v>
      </c>
      <c r="AS27" s="33" t="s">
        <v>1074</v>
      </c>
      <c r="AX27" s="37" t="s">
        <v>731</v>
      </c>
      <c r="BH27" s="219" t="s">
        <v>1074</v>
      </c>
      <c r="BI27" s="79" t="s">
        <v>1074</v>
      </c>
      <c r="BJ27" s="79" t="s">
        <v>1074</v>
      </c>
      <c r="BL27" s="35" t="s">
        <v>732</v>
      </c>
      <c r="BN27" s="9" t="s">
        <v>870</v>
      </c>
      <c r="BO27" s="14">
        <f>BO16+BO17+BO18+BO20+BO21+BO22+BO23+BO24+BO25</f>
        <v>139187917.38</v>
      </c>
      <c r="BQ27" s="35" t="s">
        <v>945</v>
      </c>
      <c r="BR27" s="35">
        <v>238</v>
      </c>
      <c r="BS27" s="9" t="s">
        <v>1897</v>
      </c>
      <c r="BT27" s="14">
        <f>AEGBS!J42</f>
        <v>0</v>
      </c>
      <c r="BY27" s="33" t="s">
        <v>1074</v>
      </c>
      <c r="CA27" s="35" t="s">
        <v>1421</v>
      </c>
      <c r="CB27" s="35">
        <v>163</v>
      </c>
      <c r="CC27" s="9" t="s">
        <v>1898</v>
      </c>
      <c r="CD27" s="14">
        <v>0</v>
      </c>
      <c r="CG27" s="35" t="s">
        <v>1424</v>
      </c>
      <c r="CI27" s="9" t="s">
        <v>1327</v>
      </c>
      <c r="CJ27" s="14">
        <f>CJ16+CJ17+CJ18+CJ20+CJ22+CJ23+CJ24+CJ25</f>
        <v>383000</v>
      </c>
      <c r="CL27" s="35">
        <v>35</v>
      </c>
      <c r="CN27" s="9" t="s">
        <v>1816</v>
      </c>
      <c r="CO27" s="14">
        <f>CO18+CO19+CO20+CO21+CO23+CO25</f>
        <v>63595048.5</v>
      </c>
      <c r="CV27" s="35">
        <v>510</v>
      </c>
      <c r="CW27" s="9" t="s">
        <v>1477</v>
      </c>
      <c r="CX27" s="14">
        <f>EXPENSES!L55</f>
        <v>64329.25</v>
      </c>
      <c r="DA27" s="35">
        <v>909</v>
      </c>
      <c r="DB27" s="9" t="s">
        <v>941</v>
      </c>
    </row>
    <row r="28" spans="1:107" ht="15.75">
      <c r="A28" s="52"/>
      <c r="B28" s="9" t="s">
        <v>561</v>
      </c>
      <c r="C28" s="14">
        <f>SUM(L16)</f>
        <v>-184256</v>
      </c>
      <c r="E28" s="52"/>
      <c r="F28" s="9" t="s">
        <v>561</v>
      </c>
      <c r="G28" s="14">
        <f>SUM(K16)</f>
        <v>-78967</v>
      </c>
      <c r="I28" s="9" t="s">
        <v>41</v>
      </c>
      <c r="J28" s="14">
        <f>SUM(J44)</f>
        <v>-54296</v>
      </c>
      <c r="K28" s="14">
        <f>SUM(K44)</f>
        <v>-16289</v>
      </c>
      <c r="L28" s="14">
        <f>SUM(L44)</f>
        <v>-38006</v>
      </c>
      <c r="O28" s="35">
        <v>11</v>
      </c>
      <c r="P28" s="218" t="s">
        <v>200</v>
      </c>
      <c r="Q28" s="14">
        <f>U29+U48</f>
        <v>2738424.77</v>
      </c>
      <c r="S28" s="215">
        <v>10</v>
      </c>
      <c r="T28" s="9" t="s">
        <v>205</v>
      </c>
      <c r="U28" s="14">
        <f>SUM(BT37)</f>
        <v>40696.45</v>
      </c>
      <c r="AA28" s="35" t="s">
        <v>510</v>
      </c>
      <c r="AB28" s="9" t="s">
        <v>607</v>
      </c>
      <c r="AC28" s="185">
        <f>SUM(((AC32-AC29)-AC30))</f>
        <v>0.43643699999999996</v>
      </c>
      <c r="AF28" s="35" t="s">
        <v>725</v>
      </c>
      <c r="AG28" s="9" t="s">
        <v>733</v>
      </c>
      <c r="AH28" s="14">
        <f>AEGBS!D188/2</f>
        <v>16229944.415</v>
      </c>
      <c r="AP28" s="35" t="s">
        <v>1568</v>
      </c>
      <c r="AQ28" s="35" t="s">
        <v>734</v>
      </c>
      <c r="AR28" s="9" t="s">
        <v>735</v>
      </c>
      <c r="AS28" s="14">
        <v>0</v>
      </c>
      <c r="AX28" s="32"/>
      <c r="BE28" s="35">
        <v>5</v>
      </c>
      <c r="BF28" s="35" t="s">
        <v>632</v>
      </c>
      <c r="BG28" s="9" t="s">
        <v>1851</v>
      </c>
      <c r="BH28" s="14">
        <f>BH19+BH21+BH24+BH26</f>
        <v>-351907.82999999996</v>
      </c>
      <c r="BI28" s="14">
        <f>BI19+BI21+BI24+BI26</f>
        <v>-105572.34899999999</v>
      </c>
      <c r="BJ28" s="14">
        <f>BJ19+BJ21+BJ24+BJ26</f>
        <v>-246335.48099999997</v>
      </c>
      <c r="BO28" s="33" t="s">
        <v>1074</v>
      </c>
      <c r="BQ28" s="35" t="s">
        <v>6</v>
      </c>
      <c r="BR28" s="35">
        <v>241</v>
      </c>
      <c r="BS28" s="9" t="s">
        <v>1813</v>
      </c>
      <c r="BT28" s="14">
        <f>AEGBS!J43</f>
        <v>0</v>
      </c>
      <c r="BV28" s="35">
        <v>37</v>
      </c>
      <c r="BW28" s="35">
        <v>255</v>
      </c>
      <c r="BX28" s="9" t="s">
        <v>796</v>
      </c>
      <c r="CA28" s="35">
        <v>10</v>
      </c>
      <c r="CC28" s="9" t="s">
        <v>1850</v>
      </c>
      <c r="CD28" s="33" t="s">
        <v>1074</v>
      </c>
      <c r="CJ28" s="33" t="s">
        <v>1074</v>
      </c>
      <c r="CO28" s="33" t="s">
        <v>1074</v>
      </c>
      <c r="CQ28" s="35" t="s">
        <v>1421</v>
      </c>
      <c r="CR28" s="9" t="s">
        <v>1880</v>
      </c>
      <c r="CS28" s="185">
        <f>ROUND((CS17/CS23),6)</f>
        <v>0.263924</v>
      </c>
      <c r="CV28" s="35">
        <v>511</v>
      </c>
      <c r="CW28" s="9" t="s">
        <v>993</v>
      </c>
      <c r="CX28" s="14">
        <f>EXPENSES!L56</f>
        <v>23255.2</v>
      </c>
      <c r="DB28" s="9" t="s">
        <v>611</v>
      </c>
      <c r="DC28" s="14">
        <v>0</v>
      </c>
    </row>
    <row r="29" spans="1:106" ht="15.75">
      <c r="A29" s="52"/>
      <c r="E29" s="52"/>
      <c r="J29" s="79" t="s">
        <v>1074</v>
      </c>
      <c r="K29" s="79" t="s">
        <v>1074</v>
      </c>
      <c r="L29" s="79" t="s">
        <v>1074</v>
      </c>
      <c r="M29" s="79" t="s">
        <v>1074</v>
      </c>
      <c r="O29" s="35">
        <v>12</v>
      </c>
      <c r="P29" s="218" t="s">
        <v>199</v>
      </c>
      <c r="Q29" s="14">
        <f>U30+U49</f>
        <v>4626478.25</v>
      </c>
      <c r="S29" s="35">
        <v>11</v>
      </c>
      <c r="T29" s="43" t="s">
        <v>200</v>
      </c>
      <c r="U29" s="14">
        <f>AEGBS!F195</f>
        <v>1369212.385</v>
      </c>
      <c r="W29" s="35" t="s">
        <v>891</v>
      </c>
      <c r="X29" s="9" t="s">
        <v>1595</v>
      </c>
      <c r="Y29" s="14">
        <f>TRUNC(((Y26*0.4)+0.5))</f>
        <v>96383783</v>
      </c>
      <c r="AA29" s="35" t="s">
        <v>891</v>
      </c>
      <c r="AB29" s="9" t="s">
        <v>393</v>
      </c>
      <c r="AC29" s="185">
        <f>ROUND((AC19/AC22),6)</f>
        <v>0.563563</v>
      </c>
      <c r="AF29" s="35" t="s">
        <v>42</v>
      </c>
      <c r="AG29" s="190" t="s">
        <v>925</v>
      </c>
      <c r="AH29" s="14">
        <f>IF((AH28&lt;AH45),(IF(((AH45-AH28)&gt;(ROUND(((AH54+AH55)/((CS59/CX59)*CX58)),0))),0,(ROUND(((AH54+AH55)/((CS59/CX59)*CX58)),0)))),0)</f>
        <v>1174981176</v>
      </c>
      <c r="AJ29" s="35">
        <v>7</v>
      </c>
      <c r="AK29" s="35" t="s">
        <v>1863</v>
      </c>
      <c r="AL29" s="9" t="s">
        <v>1596</v>
      </c>
      <c r="AM29" s="14">
        <f>+EXPENSES!E26+EXPENSES!H26</f>
        <v>-8750</v>
      </c>
      <c r="AP29" s="35" t="s">
        <v>1508</v>
      </c>
      <c r="AQ29" s="35" t="s">
        <v>926</v>
      </c>
      <c r="AR29" s="9" t="s">
        <v>511</v>
      </c>
      <c r="AS29" s="14">
        <v>0</v>
      </c>
      <c r="AU29" s="35">
        <v>6</v>
      </c>
      <c r="AW29" s="9" t="s">
        <v>5</v>
      </c>
      <c r="AX29" s="37">
        <f>AX17+AX20+AX21+AX23+AX26+AX18</f>
        <v>1019452.18</v>
      </c>
      <c r="BH29" s="219" t="s">
        <v>1572</v>
      </c>
      <c r="BI29" s="79" t="s">
        <v>1572</v>
      </c>
      <c r="BJ29" s="79" t="s">
        <v>1572</v>
      </c>
      <c r="BL29" s="35" t="s">
        <v>945</v>
      </c>
      <c r="BM29" s="35">
        <v>105</v>
      </c>
      <c r="BN29" s="9" t="s">
        <v>122</v>
      </c>
      <c r="BO29" s="14">
        <v>0</v>
      </c>
      <c r="BQ29" s="35" t="s">
        <v>123</v>
      </c>
      <c r="BR29" s="35">
        <v>242</v>
      </c>
      <c r="BS29" s="9" t="s">
        <v>1005</v>
      </c>
      <c r="BT29" s="14">
        <f>AEGBS!J44</f>
        <v>-26559121.53</v>
      </c>
      <c r="BX29" s="9" t="s">
        <v>1861</v>
      </c>
      <c r="BY29" s="14">
        <f>IF(AEGBS!H99&gt;0,AEGBS!H99,AEGBS!H99*-1)</f>
        <v>14939091</v>
      </c>
      <c r="CC29" s="9" t="s">
        <v>1862</v>
      </c>
      <c r="CD29" s="14">
        <f>SUM(CD21:CD27)</f>
        <v>0</v>
      </c>
      <c r="CG29" s="35" t="s">
        <v>1586</v>
      </c>
      <c r="CI29" s="116" t="s">
        <v>845</v>
      </c>
      <c r="CN29" s="116" t="s">
        <v>846</v>
      </c>
      <c r="CQ29" s="35">
        <v>10</v>
      </c>
      <c r="CR29" s="9" t="s">
        <v>1154</v>
      </c>
      <c r="CS29" s="185">
        <f>ROUND((CS18/CS23),6)</f>
        <v>0.3408</v>
      </c>
      <c r="CV29" s="35">
        <v>512</v>
      </c>
      <c r="CW29" s="9" t="s">
        <v>1645</v>
      </c>
      <c r="CX29" s="14">
        <f>EXPENSES!L57</f>
        <v>304938.71</v>
      </c>
      <c r="DA29" s="35">
        <v>910</v>
      </c>
      <c r="DB29" s="9" t="s">
        <v>698</v>
      </c>
    </row>
    <row r="30" spans="1:107" ht="15.75">
      <c r="A30" s="52"/>
      <c r="B30" s="9" t="s">
        <v>1355</v>
      </c>
      <c r="C30" s="14">
        <f>SUM(L18)</f>
        <v>-33861</v>
      </c>
      <c r="E30" s="52"/>
      <c r="F30" s="9" t="s">
        <v>1355</v>
      </c>
      <c r="G30" s="14">
        <f>SUM(K18)</f>
        <v>-14512</v>
      </c>
      <c r="I30" s="9" t="s">
        <v>971</v>
      </c>
      <c r="J30" s="14">
        <f>J20+SUM(J22:J28)</f>
        <v>14258421.695</v>
      </c>
      <c r="K30" s="14">
        <f>K20+SUM(K22:K28)</f>
        <v>4277525.69</v>
      </c>
      <c r="L30" s="14">
        <f>L20+SUM(L22:L28)</f>
        <v>9980897.005</v>
      </c>
      <c r="O30" s="35">
        <v>13</v>
      </c>
      <c r="P30" s="9" t="s">
        <v>992</v>
      </c>
      <c r="Q30" s="14">
        <f>SUM((U31+U50))</f>
        <v>42337966</v>
      </c>
      <c r="S30" s="35">
        <v>12</v>
      </c>
      <c r="T30" s="43" t="s">
        <v>199</v>
      </c>
      <c r="U30" s="14">
        <f>AEGBS!F196</f>
        <v>2313239.125</v>
      </c>
      <c r="AA30" s="35" t="s">
        <v>1516</v>
      </c>
      <c r="AB30" s="9" t="s">
        <v>1662</v>
      </c>
      <c r="AC30" s="185">
        <f>ROUND((AC20/AC22),6)</f>
        <v>0</v>
      </c>
      <c r="AH30" s="79" t="s">
        <v>1074</v>
      </c>
      <c r="AS30" s="33" t="s">
        <v>1074</v>
      </c>
      <c r="AX30" s="37" t="s">
        <v>1572</v>
      </c>
      <c r="BH30" s="12"/>
      <c r="BT30" s="33" t="s">
        <v>1074</v>
      </c>
      <c r="BV30" s="35">
        <v>38</v>
      </c>
      <c r="BW30" s="35" t="s">
        <v>1864</v>
      </c>
      <c r="BX30" s="9" t="s">
        <v>814</v>
      </c>
      <c r="CD30" s="33" t="s">
        <v>1074</v>
      </c>
      <c r="CL30" s="35" t="s">
        <v>1887</v>
      </c>
      <c r="CM30" s="192">
        <v>231.02</v>
      </c>
      <c r="CN30" s="9" t="s">
        <v>494</v>
      </c>
      <c r="CO30" s="14">
        <f>AEGBS!D166</f>
        <v>0</v>
      </c>
      <c r="CQ30" s="35">
        <v>11</v>
      </c>
      <c r="CR30" s="9" t="s">
        <v>572</v>
      </c>
      <c r="CS30" s="185">
        <f>ROUND((CS19/CS23),6)</f>
        <v>0</v>
      </c>
      <c r="CV30" s="35">
        <v>513</v>
      </c>
      <c r="CW30" s="9" t="s">
        <v>1652</v>
      </c>
      <c r="CX30" s="14">
        <f>EXPENSES!L58</f>
        <v>38016.55</v>
      </c>
      <c r="DB30" s="9" t="s">
        <v>99</v>
      </c>
      <c r="DC30" s="14">
        <v>0</v>
      </c>
    </row>
    <row r="31" spans="1:102" ht="15">
      <c r="A31" s="52"/>
      <c r="C31" s="33" t="s">
        <v>1074</v>
      </c>
      <c r="E31" s="52"/>
      <c r="G31" s="33" t="s">
        <v>1074</v>
      </c>
      <c r="J31" s="79" t="s">
        <v>1572</v>
      </c>
      <c r="K31" s="79" t="s">
        <v>1572</v>
      </c>
      <c r="L31" s="79" t="s">
        <v>1572</v>
      </c>
      <c r="M31" s="79" t="s">
        <v>1572</v>
      </c>
      <c r="O31" s="35">
        <v>14</v>
      </c>
      <c r="P31" s="9" t="s">
        <v>1585</v>
      </c>
      <c r="Q31" s="14">
        <f>SUM((U32+U51))</f>
        <v>37893180.21</v>
      </c>
      <c r="S31" s="35">
        <v>13</v>
      </c>
      <c r="T31" s="9" t="s">
        <v>992</v>
      </c>
      <c r="U31" s="14">
        <f>SUM(BT39)</f>
        <v>42337966</v>
      </c>
      <c r="AC31" s="79" t="s">
        <v>1074</v>
      </c>
      <c r="AF31" s="35" t="s">
        <v>644</v>
      </c>
      <c r="AG31" s="9" t="s">
        <v>1829</v>
      </c>
      <c r="AH31" s="14">
        <f>ROUND((AH28+AH29),0)</f>
        <v>1191211120</v>
      </c>
      <c r="AJ31" s="35">
        <v>8</v>
      </c>
      <c r="AK31" s="35">
        <v>411.8</v>
      </c>
      <c r="AL31" s="9" t="s">
        <v>774</v>
      </c>
      <c r="AM31" s="14">
        <v>0</v>
      </c>
      <c r="AP31" s="35" t="s">
        <v>732</v>
      </c>
      <c r="AR31" s="9" t="s">
        <v>834</v>
      </c>
      <c r="AS31" s="14">
        <f>SUM((AS28+AS29))</f>
        <v>0</v>
      </c>
      <c r="AX31" s="37"/>
      <c r="BE31" s="35">
        <v>6</v>
      </c>
      <c r="BG31" s="116" t="s">
        <v>268</v>
      </c>
      <c r="BH31" s="12"/>
      <c r="BL31" s="35" t="s">
        <v>6</v>
      </c>
      <c r="BN31" s="116" t="s">
        <v>1830</v>
      </c>
      <c r="BQ31" s="35" t="s">
        <v>1831</v>
      </c>
      <c r="BS31" s="9" t="s">
        <v>988</v>
      </c>
      <c r="BT31" s="14">
        <f>SUM(BT16:BT29)</f>
        <v>-33411263.950000003</v>
      </c>
      <c r="BX31" s="9" t="s">
        <v>399</v>
      </c>
      <c r="BY31" s="14">
        <v>0</v>
      </c>
      <c r="CA31" s="35">
        <v>11</v>
      </c>
      <c r="CC31" s="116" t="s">
        <v>664</v>
      </c>
      <c r="CG31" s="35" t="s">
        <v>1201</v>
      </c>
      <c r="CH31" s="35">
        <v>207</v>
      </c>
      <c r="CI31" s="9" t="s">
        <v>1202</v>
      </c>
      <c r="CJ31" s="14">
        <v>0</v>
      </c>
      <c r="CL31" s="35" t="s">
        <v>1888</v>
      </c>
      <c r="CM31" s="192">
        <v>231.03</v>
      </c>
      <c r="CN31" s="9" t="s">
        <v>1742</v>
      </c>
      <c r="CO31" s="14">
        <v>0</v>
      </c>
      <c r="CQ31" s="35">
        <v>12</v>
      </c>
      <c r="CR31" s="9" t="s">
        <v>1155</v>
      </c>
      <c r="CS31" s="185">
        <f>ROUND((CS20/CS23),6)</f>
        <v>0.395275</v>
      </c>
      <c r="CV31" s="35">
        <v>514</v>
      </c>
      <c r="CW31" s="9" t="s">
        <v>852</v>
      </c>
      <c r="CX31" s="14">
        <f>EXPENSES!L59</f>
        <v>25788.48</v>
      </c>
    </row>
    <row r="32" spans="1:107" ht="15.75">
      <c r="A32" s="52"/>
      <c r="B32" s="9" t="s">
        <v>767</v>
      </c>
      <c r="C32" s="14">
        <f>SUM(L20)</f>
        <v>-218117</v>
      </c>
      <c r="E32" s="52"/>
      <c r="F32" s="9" t="s">
        <v>767</v>
      </c>
      <c r="G32" s="14">
        <f>SUM(K20)</f>
        <v>-93479</v>
      </c>
      <c r="I32" s="116" t="s">
        <v>430</v>
      </c>
      <c r="O32" s="35">
        <v>15</v>
      </c>
      <c r="P32" s="9" t="s">
        <v>815</v>
      </c>
      <c r="Q32" s="14">
        <f>SUM((U33+U52))</f>
        <v>14948505</v>
      </c>
      <c r="S32" s="35">
        <v>14</v>
      </c>
      <c r="T32" s="9" t="s">
        <v>1585</v>
      </c>
      <c r="U32" s="14">
        <f>SUM(BY26)</f>
        <v>-821045.7523199975</v>
      </c>
      <c r="W32" s="35" t="s">
        <v>1516</v>
      </c>
      <c r="X32" s="116" t="s">
        <v>38</v>
      </c>
      <c r="AA32" s="35" t="s">
        <v>725</v>
      </c>
      <c r="AB32" s="9" t="s">
        <v>1743</v>
      </c>
      <c r="AC32" s="185">
        <v>1</v>
      </c>
      <c r="AH32" s="79" t="s">
        <v>1074</v>
      </c>
      <c r="AS32" s="33" t="s">
        <v>1074</v>
      </c>
      <c r="AU32" s="35">
        <v>7</v>
      </c>
      <c r="AV32" s="191">
        <v>411.1</v>
      </c>
      <c r="AW32" s="43" t="s">
        <v>196</v>
      </c>
      <c r="AX32" s="37">
        <f>EXPENSES!F87</f>
        <v>17695.845</v>
      </c>
      <c r="BH32" s="12"/>
      <c r="BT32" s="33" t="s">
        <v>1572</v>
      </c>
      <c r="BV32" s="35">
        <v>39</v>
      </c>
      <c r="BX32" s="9" t="s">
        <v>269</v>
      </c>
      <c r="BY32" s="33" t="s">
        <v>1074</v>
      </c>
      <c r="CG32" s="35" t="s">
        <v>1740</v>
      </c>
      <c r="CH32" s="35">
        <v>208</v>
      </c>
      <c r="CI32" s="9" t="s">
        <v>1741</v>
      </c>
      <c r="CJ32" s="14">
        <f>AEGBS!D155</f>
        <v>92228987.11</v>
      </c>
      <c r="CL32" s="35" t="s">
        <v>1313</v>
      </c>
      <c r="CM32" s="192">
        <v>233</v>
      </c>
      <c r="CN32" s="9" t="s">
        <v>1301</v>
      </c>
      <c r="CO32" s="14">
        <f>AEGBS!D170</f>
        <v>82119102.89</v>
      </c>
      <c r="CQ32" s="35">
        <v>13</v>
      </c>
      <c r="CR32" s="9" t="s">
        <v>953</v>
      </c>
      <c r="CS32" s="185">
        <f>(SUM(CS28:CS31))-1</f>
        <v>-9.999999999177334E-07</v>
      </c>
      <c r="CV32" s="35">
        <v>515</v>
      </c>
      <c r="CW32" s="9" t="s">
        <v>1832</v>
      </c>
      <c r="CX32" s="14">
        <f>EXPENSES!L60</f>
        <v>0</v>
      </c>
      <c r="DB32" s="9" t="s">
        <v>429</v>
      </c>
      <c r="DC32" s="14">
        <f>DC24+DC25+DC26+DC28+DC30</f>
        <v>0</v>
      </c>
    </row>
    <row r="33" spans="1:97" ht="15">
      <c r="A33" s="52"/>
      <c r="E33" s="52"/>
      <c r="Q33" s="33" t="s">
        <v>1074</v>
      </c>
      <c r="S33" s="35">
        <v>15</v>
      </c>
      <c r="T33" s="9" t="s">
        <v>815</v>
      </c>
      <c r="U33" s="14">
        <f>SUM(BY33)</f>
        <v>14939091</v>
      </c>
      <c r="AC33" s="79" t="s">
        <v>1572</v>
      </c>
      <c r="AJ33" s="35" t="s">
        <v>1557</v>
      </c>
      <c r="AM33" s="33" t="s">
        <v>1074</v>
      </c>
      <c r="AP33" s="35" t="s">
        <v>945</v>
      </c>
      <c r="AQ33" s="35" t="s">
        <v>431</v>
      </c>
      <c r="AR33" s="9" t="s">
        <v>696</v>
      </c>
      <c r="AS33" s="14">
        <f>SUM(DC22)</f>
        <v>0</v>
      </c>
      <c r="AX33" s="37"/>
      <c r="BH33" s="12"/>
      <c r="BL33" s="35" t="s">
        <v>123</v>
      </c>
      <c r="BM33" s="35">
        <v>108</v>
      </c>
      <c r="BN33" s="9" t="s">
        <v>508</v>
      </c>
      <c r="BX33" s="9" t="s">
        <v>277</v>
      </c>
      <c r="BY33" s="14">
        <f>SUM((BY29-BY31))</f>
        <v>14939091</v>
      </c>
      <c r="CA33" s="35">
        <v>12</v>
      </c>
      <c r="CB33" s="35">
        <v>190</v>
      </c>
      <c r="CC33" s="9" t="s">
        <v>973</v>
      </c>
      <c r="CD33" s="14">
        <v>0</v>
      </c>
      <c r="CG33" s="35" t="s">
        <v>1682</v>
      </c>
      <c r="CH33" s="35">
        <v>211</v>
      </c>
      <c r="CI33" s="9" t="s">
        <v>1683</v>
      </c>
      <c r="CJ33" s="14">
        <v>0</v>
      </c>
      <c r="CO33" s="33" t="s">
        <v>1074</v>
      </c>
      <c r="CS33" s="79" t="s">
        <v>1074</v>
      </c>
    </row>
    <row r="34" spans="1:107" ht="15">
      <c r="A34" s="52"/>
      <c r="B34" s="9" t="s">
        <v>1654</v>
      </c>
      <c r="C34" s="14">
        <f aca="true" t="shared" si="1" ref="C34:C39">SUM(L22)</f>
        <v>4671624.2700000005</v>
      </c>
      <c r="E34" s="52"/>
      <c r="F34" s="9" t="s">
        <v>1654</v>
      </c>
      <c r="G34" s="14">
        <f aca="true" t="shared" si="2" ref="G34:G39">SUM(K22)</f>
        <v>2002124.6900000002</v>
      </c>
      <c r="I34" s="9" t="s">
        <v>648</v>
      </c>
      <c r="J34" s="14">
        <f>SUM(J20)</f>
        <v>-311596</v>
      </c>
      <c r="K34" s="14">
        <f>SUM(K20)</f>
        <v>-93479</v>
      </c>
      <c r="L34" s="14">
        <f>SUM(L20)</f>
        <v>-218117</v>
      </c>
      <c r="O34" s="35">
        <v>16</v>
      </c>
      <c r="P34" s="9" t="s">
        <v>1739</v>
      </c>
      <c r="Q34" s="14">
        <f>SUM(((((((((((Q20-Q21)+Q22)+Q23)+Q24)+Q25)+Q26)+Q27)-Q30)-Q31)-Q32))+Q28-Q29</f>
        <v>124073386.34299995</v>
      </c>
      <c r="U34" s="33" t="s">
        <v>1074</v>
      </c>
      <c r="W34" s="35" t="s">
        <v>725</v>
      </c>
      <c r="X34" s="9" t="s">
        <v>1181</v>
      </c>
      <c r="Y34" s="14">
        <f>IF((Y23&lt;Y29),Y23,Y29)</f>
        <v>95245306.17999999</v>
      </c>
      <c r="AF34" s="35" t="s">
        <v>39</v>
      </c>
      <c r="AG34" s="116" t="s">
        <v>1684</v>
      </c>
      <c r="AJ34" s="35">
        <v>9</v>
      </c>
      <c r="AL34" s="9" t="s">
        <v>858</v>
      </c>
      <c r="AM34" s="14">
        <f>AM15+AM17+AM19+AM22+AM25+AM27+AM29+AM31</f>
        <v>-8750</v>
      </c>
      <c r="AS34" s="33" t="s">
        <v>1074</v>
      </c>
      <c r="AU34" s="35">
        <v>8</v>
      </c>
      <c r="AW34" s="12" t="s">
        <v>197</v>
      </c>
      <c r="AX34" s="37">
        <f>AX29+AX32</f>
        <v>1037148.025</v>
      </c>
      <c r="BE34" s="35">
        <v>7</v>
      </c>
      <c r="BF34" s="35" t="s">
        <v>1847</v>
      </c>
      <c r="BG34" s="9" t="s">
        <v>647</v>
      </c>
      <c r="BH34" s="12"/>
      <c r="BN34" s="9" t="s">
        <v>652</v>
      </c>
      <c r="BO34" s="14">
        <f>IF(AEGBS!J13&gt;0,AEGBS!J13,AEGBS!J13*-1)</f>
        <v>117643238.98</v>
      </c>
      <c r="BV34" s="35">
        <v>40</v>
      </c>
      <c r="BX34" s="9" t="s">
        <v>1633</v>
      </c>
      <c r="BY34" s="33" t="s">
        <v>1074</v>
      </c>
      <c r="CA34" s="35">
        <v>13</v>
      </c>
      <c r="CB34" s="35">
        <v>281</v>
      </c>
      <c r="CC34" s="9" t="s">
        <v>594</v>
      </c>
      <c r="CG34" s="35" t="s">
        <v>610</v>
      </c>
      <c r="CH34" s="35">
        <v>213</v>
      </c>
      <c r="CI34" s="9" t="s">
        <v>813</v>
      </c>
      <c r="CJ34" s="14">
        <v>0</v>
      </c>
      <c r="CL34" s="35">
        <v>38</v>
      </c>
      <c r="CN34" s="9" t="s">
        <v>1634</v>
      </c>
      <c r="CO34" s="14">
        <f>CO30-CO31+CO32</f>
        <v>82119102.89</v>
      </c>
      <c r="CQ34" s="35">
        <v>14</v>
      </c>
      <c r="CR34" s="9" t="s">
        <v>1438</v>
      </c>
      <c r="CS34" s="185">
        <f>(SUM(CS28:CS31))-CS32</f>
        <v>1</v>
      </c>
      <c r="DA34" s="35">
        <v>911</v>
      </c>
      <c r="DB34" s="9" t="s">
        <v>1769</v>
      </c>
      <c r="DC34" s="14">
        <v>0</v>
      </c>
    </row>
    <row r="35" spans="1:107" ht="15">
      <c r="A35" s="52"/>
      <c r="B35" s="9" t="s">
        <v>841</v>
      </c>
      <c r="C35" s="14">
        <f t="shared" si="1"/>
        <v>0</v>
      </c>
      <c r="E35" s="52"/>
      <c r="F35" s="9" t="s">
        <v>841</v>
      </c>
      <c r="G35" s="14">
        <f t="shared" si="2"/>
        <v>0</v>
      </c>
      <c r="I35" s="9" t="s">
        <v>558</v>
      </c>
      <c r="J35" s="14">
        <f>SUM(BH28)</f>
        <v>-351907.82999999996</v>
      </c>
      <c r="K35" s="14">
        <f>SUM(BI28)</f>
        <v>-105572.34899999999</v>
      </c>
      <c r="L35" s="14">
        <f>SUM(BJ28)</f>
        <v>-246335.48099999997</v>
      </c>
      <c r="Q35" s="33" t="s">
        <v>1074</v>
      </c>
      <c r="S35" s="35">
        <v>16</v>
      </c>
      <c r="T35" s="9" t="s">
        <v>1188</v>
      </c>
      <c r="U35" s="14">
        <f>SUM(((((((((((U21-U22)+U23)+U24)+U25)+U26)+U27)+U28)-U31)-U32)-U33))+U29-U30</f>
        <v>-68834357.25268003</v>
      </c>
      <c r="W35" s="35" t="s">
        <v>42</v>
      </c>
      <c r="X35" s="9" t="s">
        <v>722</v>
      </c>
      <c r="Y35" s="193">
        <v>0.0101333</v>
      </c>
      <c r="AA35" s="35" t="s">
        <v>42</v>
      </c>
      <c r="AB35" s="116" t="s">
        <v>1324</v>
      </c>
      <c r="AM35" s="33" t="s">
        <v>1572</v>
      </c>
      <c r="AP35" s="35" t="s">
        <v>6</v>
      </c>
      <c r="AQ35" s="35" t="s">
        <v>649</v>
      </c>
      <c r="AR35" s="9" t="s">
        <v>650</v>
      </c>
      <c r="AX35" s="32"/>
      <c r="BG35" s="9" t="s">
        <v>10</v>
      </c>
      <c r="BH35" s="143">
        <f>IF(INSTRUCTIONS!$L$29="ESTIMATE",TXPG12RV!G124,IF(INSTRUCTIONS!$L$29="ACTUAL",TXPG12RV!I124,"SEE NOTE"))</f>
        <v>-35504</v>
      </c>
      <c r="BI35" s="14">
        <f>SUM((BH35*INSTRUCTIONS!$M$20))</f>
        <v>-10651.199999999999</v>
      </c>
      <c r="BJ35" s="14">
        <f>SUM((BH35-BI35))</f>
        <v>-24852.800000000003</v>
      </c>
      <c r="BL35" s="35" t="s">
        <v>1831</v>
      </c>
      <c r="BM35" s="35">
        <v>110</v>
      </c>
      <c r="BN35" s="9" t="s">
        <v>508</v>
      </c>
      <c r="BX35" s="9" t="s">
        <v>666</v>
      </c>
      <c r="BY35" s="14">
        <f>SUM(((((((((((BO27+BO29)-BO46)+BO58)+BO60)+BO62)+BT31)+BT37)-BT39)-BY26)-BY33))</f>
        <v>-67890330.51268002</v>
      </c>
      <c r="CC35" s="9" t="s">
        <v>1164</v>
      </c>
      <c r="CD35" s="14">
        <v>0</v>
      </c>
      <c r="CJ35" s="33" t="s">
        <v>1074</v>
      </c>
      <c r="CO35" s="33" t="s">
        <v>1074</v>
      </c>
      <c r="CS35" s="79" t="s">
        <v>1572</v>
      </c>
      <c r="CW35" s="35" t="s">
        <v>1781</v>
      </c>
      <c r="CX35" s="14">
        <f>SUM(CX27:CX32)</f>
        <v>456328.19</v>
      </c>
      <c r="DA35" s="35">
        <v>912</v>
      </c>
      <c r="DB35" s="9" t="s">
        <v>302</v>
      </c>
      <c r="DC35" s="14">
        <v>0</v>
      </c>
    </row>
    <row r="36" spans="1:107" ht="15.75">
      <c r="A36" s="52"/>
      <c r="B36" s="9" t="s">
        <v>842</v>
      </c>
      <c r="C36" s="14">
        <f t="shared" si="1"/>
        <v>-6125</v>
      </c>
      <c r="E36" s="52"/>
      <c r="F36" s="9" t="s">
        <v>842</v>
      </c>
      <c r="G36" s="14">
        <f t="shared" si="2"/>
        <v>-2625</v>
      </c>
      <c r="I36" s="9" t="s">
        <v>1331</v>
      </c>
      <c r="J36" s="14">
        <f>SUM(BH55)</f>
        <v>180002.98000000004</v>
      </c>
      <c r="K36" s="14">
        <f>SUM(BI55)</f>
        <v>54000.89400000001</v>
      </c>
      <c r="L36" s="14">
        <f>SUM(BJ55)</f>
        <v>126002.08600000004</v>
      </c>
      <c r="O36" s="35">
        <v>17</v>
      </c>
      <c r="P36" s="116" t="s">
        <v>609</v>
      </c>
      <c r="U36" s="33" t="s">
        <v>1074</v>
      </c>
      <c r="W36" s="35" t="s">
        <v>644</v>
      </c>
      <c r="X36" s="9" t="s">
        <v>168</v>
      </c>
      <c r="Y36" s="14">
        <f>ROUND((Y34*Y35),0)</f>
        <v>965149</v>
      </c>
      <c r="AF36" s="35" t="s">
        <v>1845</v>
      </c>
      <c r="AG36" s="9" t="s">
        <v>667</v>
      </c>
      <c r="AH36" s="14">
        <v>2174926</v>
      </c>
      <c r="AR36" s="194" t="s">
        <v>1328</v>
      </c>
      <c r="AS36" s="14">
        <f>SUM(DC32)</f>
        <v>0</v>
      </c>
      <c r="AV36" s="52" t="s">
        <v>398</v>
      </c>
      <c r="BH36" s="12" t="s">
        <v>1557</v>
      </c>
      <c r="BN36" s="9" t="s">
        <v>1776</v>
      </c>
      <c r="BO36" s="14">
        <v>0</v>
      </c>
      <c r="BY36" s="33" t="s">
        <v>1572</v>
      </c>
      <c r="CA36" s="35">
        <v>14</v>
      </c>
      <c r="CB36" s="35">
        <v>282</v>
      </c>
      <c r="CC36" s="9" t="s">
        <v>594</v>
      </c>
      <c r="CG36" s="35" t="s">
        <v>1077</v>
      </c>
      <c r="CI36" s="9" t="s">
        <v>1330</v>
      </c>
      <c r="CJ36" s="14">
        <f>SUM(CJ31:CJ34)</f>
        <v>92228987.11</v>
      </c>
      <c r="CL36" s="35">
        <v>39</v>
      </c>
      <c r="CN36" s="116" t="s">
        <v>167</v>
      </c>
      <c r="CQ36" s="35">
        <v>15</v>
      </c>
      <c r="CR36" s="116" t="s">
        <v>987</v>
      </c>
      <c r="DA36" s="35">
        <v>913</v>
      </c>
      <c r="DB36" s="9" t="s">
        <v>212</v>
      </c>
      <c r="DC36" s="14">
        <v>0</v>
      </c>
    </row>
    <row r="37" spans="1:107" ht="15.75">
      <c r="A37" s="52"/>
      <c r="B37" s="9" t="s">
        <v>782</v>
      </c>
      <c r="C37" s="14">
        <f t="shared" si="1"/>
        <v>4779329.749999998</v>
      </c>
      <c r="E37" s="52"/>
      <c r="F37" s="9" t="s">
        <v>782</v>
      </c>
      <c r="G37" s="14">
        <f t="shared" si="2"/>
        <v>2048284</v>
      </c>
      <c r="I37" s="9" t="s">
        <v>570</v>
      </c>
      <c r="J37" s="14">
        <f>ROUND((Y46+((Y58*Y62)*Y63)),0)</f>
        <v>-48373</v>
      </c>
      <c r="K37" s="14">
        <f>ROUND((J37*INSTRUCTIONS!$M$20),0)</f>
        <v>-14512</v>
      </c>
      <c r="L37" s="14">
        <f>SUM((J37-K37))</f>
        <v>-33861</v>
      </c>
      <c r="M37" s="14"/>
      <c r="S37" s="35">
        <v>17</v>
      </c>
      <c r="T37" s="116" t="s">
        <v>1517</v>
      </c>
      <c r="W37" s="35" t="s">
        <v>39</v>
      </c>
      <c r="X37" s="9" t="s">
        <v>704</v>
      </c>
      <c r="Y37" s="185">
        <f>SUM(Q58)</f>
        <v>0.491579</v>
      </c>
      <c r="AF37" s="35" t="s">
        <v>901</v>
      </c>
      <c r="AG37" s="9" t="s">
        <v>663</v>
      </c>
      <c r="AH37" s="194">
        <v>7179.39</v>
      </c>
      <c r="AS37" s="33" t="s">
        <v>1074</v>
      </c>
      <c r="AV37" s="52"/>
      <c r="BH37" s="12"/>
      <c r="BL37" s="35" t="s">
        <v>850</v>
      </c>
      <c r="BM37" s="35">
        <v>111</v>
      </c>
      <c r="BN37" s="9" t="s">
        <v>523</v>
      </c>
      <c r="BQ37" s="35" t="s">
        <v>850</v>
      </c>
      <c r="BR37" s="35">
        <v>181</v>
      </c>
      <c r="BS37" s="9" t="s">
        <v>524</v>
      </c>
      <c r="BT37" s="14">
        <f>IF(AEGBS!J46&gt;0,AEGBS!J46,AEGBS!J46*-1)</f>
        <v>40696.45</v>
      </c>
      <c r="CC37" s="9" t="s">
        <v>1695</v>
      </c>
      <c r="CD37" s="14">
        <v>0</v>
      </c>
      <c r="CJ37" s="33" t="s">
        <v>1074</v>
      </c>
      <c r="CV37" s="35" t="s">
        <v>705</v>
      </c>
      <c r="CW37" s="9" t="s">
        <v>535</v>
      </c>
      <c r="CX37" s="14">
        <f>EXPENSES!L64</f>
        <v>0</v>
      </c>
      <c r="DA37" s="35">
        <v>916</v>
      </c>
      <c r="DB37" s="9" t="s">
        <v>798</v>
      </c>
      <c r="DC37" s="14">
        <v>0</v>
      </c>
    </row>
    <row r="38" spans="1:107" ht="15">
      <c r="A38" s="52"/>
      <c r="B38" s="9" t="s">
        <v>141</v>
      </c>
      <c r="C38" s="14">
        <f t="shared" si="1"/>
        <v>726004.025</v>
      </c>
      <c r="E38" s="52"/>
      <c r="F38" s="9" t="s">
        <v>141</v>
      </c>
      <c r="G38" s="14">
        <f t="shared" si="2"/>
        <v>311144</v>
      </c>
      <c r="J38" s="196" t="s">
        <v>1074</v>
      </c>
      <c r="K38" s="196" t="s">
        <v>1074</v>
      </c>
      <c r="L38" s="196" t="s">
        <v>1074</v>
      </c>
      <c r="M38" s="196" t="s">
        <v>1074</v>
      </c>
      <c r="W38" s="35" t="s">
        <v>1845</v>
      </c>
      <c r="X38" s="9" t="s">
        <v>977</v>
      </c>
      <c r="Y38" s="185">
        <f>ROUND((U35/U56),4)</f>
        <v>-0.5548</v>
      </c>
      <c r="AA38" s="35" t="s">
        <v>644</v>
      </c>
      <c r="AB38" s="9" t="s">
        <v>394</v>
      </c>
      <c r="AC38" s="185">
        <f>(+WTAVE!H31)*0.01</f>
        <v>0.022599345923134253</v>
      </c>
      <c r="AD38" s="185"/>
      <c r="AF38" s="35" t="s">
        <v>43</v>
      </c>
      <c r="AG38" s="9" t="s">
        <v>1530</v>
      </c>
      <c r="AH38" s="199">
        <f>ROUND((AH36/AH37),2)</f>
        <v>302.94</v>
      </c>
      <c r="AP38" s="35" t="s">
        <v>123</v>
      </c>
      <c r="AQ38" s="35" t="s">
        <v>804</v>
      </c>
      <c r="AR38" s="194" t="s">
        <v>1511</v>
      </c>
      <c r="AS38" s="14">
        <f>SUM(DC40)</f>
        <v>0</v>
      </c>
      <c r="AV38" s="52" t="s">
        <v>1873</v>
      </c>
      <c r="BH38" s="143"/>
      <c r="BI38" s="14"/>
      <c r="BJ38" s="14"/>
      <c r="BN38" s="9" t="s">
        <v>652</v>
      </c>
      <c r="BO38" s="14">
        <f>IF(AEGBS!J14&gt;0,AEGBS!J14,AEGBS!J14*-1)</f>
        <v>30485963.55</v>
      </c>
      <c r="BT38" s="33" t="s">
        <v>1074</v>
      </c>
      <c r="CA38" s="35">
        <v>15</v>
      </c>
      <c r="CB38" s="35">
        <v>283</v>
      </c>
      <c r="CC38" s="9" t="s">
        <v>594</v>
      </c>
      <c r="CG38" s="35" t="s">
        <v>1512</v>
      </c>
      <c r="CI38" s="116" t="s">
        <v>943</v>
      </c>
      <c r="CL38" s="35">
        <v>40</v>
      </c>
      <c r="CM38" s="35">
        <v>132</v>
      </c>
      <c r="CN38" s="9" t="s">
        <v>944</v>
      </c>
      <c r="CO38" s="14">
        <f>AEGBS!D149</f>
        <v>0</v>
      </c>
      <c r="CQ38" s="35">
        <v>16</v>
      </c>
      <c r="CR38" s="9" t="s">
        <v>1156</v>
      </c>
      <c r="CS38" s="185">
        <f>SUM(AC38)</f>
        <v>0.022599345923134253</v>
      </c>
      <c r="CV38" s="35" t="s">
        <v>978</v>
      </c>
      <c r="CW38" s="9" t="s">
        <v>979</v>
      </c>
      <c r="CX38" s="14">
        <f>EXPENSES!L65</f>
        <v>-4489.22</v>
      </c>
      <c r="DA38" s="35">
        <v>917</v>
      </c>
      <c r="DB38" s="9" t="s">
        <v>980</v>
      </c>
      <c r="DC38" s="14">
        <v>0</v>
      </c>
    </row>
    <row r="39" spans="1:102" ht="15">
      <c r="A39" s="52"/>
      <c r="B39" s="9" t="s">
        <v>136</v>
      </c>
      <c r="C39" s="14">
        <f t="shared" si="1"/>
        <v>66186.96</v>
      </c>
      <c r="E39" s="52"/>
      <c r="F39" s="9" t="s">
        <v>136</v>
      </c>
      <c r="G39" s="14">
        <f t="shared" si="2"/>
        <v>28366</v>
      </c>
      <c r="I39" s="9" t="s">
        <v>1237</v>
      </c>
      <c r="J39" s="14">
        <f>TRUNC((((J34+J35)+J36)-J37))</f>
        <v>-435127</v>
      </c>
      <c r="K39" s="14">
        <f>TRUNC((((K34+K35)+K36)-K37))</f>
        <v>-130538</v>
      </c>
      <c r="L39" s="14">
        <f>TRUNC((((L34+L35)+L36)-L37))</f>
        <v>-304589</v>
      </c>
      <c r="O39" s="35">
        <v>18</v>
      </c>
      <c r="P39" s="9" t="s">
        <v>525</v>
      </c>
      <c r="Q39" s="14">
        <f>SUM(CD16)</f>
        <v>129745731.2</v>
      </c>
      <c r="W39" s="35" t="s">
        <v>901</v>
      </c>
      <c r="X39" s="9" t="s">
        <v>1237</v>
      </c>
      <c r="Y39" s="14">
        <f>ROUND(((Y36*Y37)*Y38),0)</f>
        <v>-263223</v>
      </c>
      <c r="AA39" s="35" t="s">
        <v>39</v>
      </c>
      <c r="AB39" s="9" t="s">
        <v>1353</v>
      </c>
      <c r="AC39" s="185">
        <f>+INSTRUCTIONS!Q4</f>
        <v>0.004537</v>
      </c>
      <c r="AD39" s="185"/>
      <c r="AF39" s="35" t="s">
        <v>981</v>
      </c>
      <c r="AG39" s="9" t="s">
        <v>777</v>
      </c>
      <c r="AH39" s="9">
        <v>24</v>
      </c>
      <c r="AS39" s="33" t="s">
        <v>1074</v>
      </c>
      <c r="AV39" s="52" t="s">
        <v>1632</v>
      </c>
      <c r="BH39" s="12"/>
      <c r="BL39" s="35" t="s">
        <v>778</v>
      </c>
      <c r="BM39" s="35">
        <v>115</v>
      </c>
      <c r="BN39" s="9" t="s">
        <v>523</v>
      </c>
      <c r="BQ39" s="35" t="s">
        <v>778</v>
      </c>
      <c r="BR39" s="35">
        <v>253</v>
      </c>
      <c r="BS39" s="9" t="s">
        <v>1235</v>
      </c>
      <c r="BT39" s="14">
        <f>IF(AEGBS!J54&gt;0,AEGBS!J54,AEGBS!J54*-1)</f>
        <v>42337966</v>
      </c>
      <c r="CC39" s="9" t="s">
        <v>1152</v>
      </c>
      <c r="CD39" s="14">
        <v>0</v>
      </c>
      <c r="CL39" s="35">
        <v>41</v>
      </c>
      <c r="CM39" s="35">
        <v>133</v>
      </c>
      <c r="CN39" s="9" t="s">
        <v>1236</v>
      </c>
      <c r="CO39" s="14">
        <v>0</v>
      </c>
      <c r="CQ39" s="35">
        <v>17</v>
      </c>
      <c r="CR39" s="9" t="s">
        <v>108</v>
      </c>
      <c r="CS39" s="185">
        <f>SUM(AC39)</f>
        <v>0.004537</v>
      </c>
      <c r="CV39" s="35" t="s">
        <v>432</v>
      </c>
      <c r="CW39" s="9" t="s">
        <v>433</v>
      </c>
      <c r="CX39" s="14">
        <f>EXPENSES!L66</f>
        <v>-12859.91</v>
      </c>
    </row>
    <row r="40" spans="1:107" ht="15">
      <c r="A40" s="52"/>
      <c r="B40" s="9" t="s">
        <v>383</v>
      </c>
      <c r="C40" s="14">
        <f>IF(INSTRUCTIONS!L8="ACTUAL",'Actual Taxes'!E40+'Actual Taxes'!E48,L28)</f>
        <v>-38006</v>
      </c>
      <c r="E40" s="52"/>
      <c r="F40" s="9" t="s">
        <v>383</v>
      </c>
      <c r="G40" s="14">
        <f>IF(INSTRUCTIONS!L8="ACTUAL",'Actual Taxes'!E39+'Actual Taxes'!D48,K28)</f>
        <v>-16289</v>
      </c>
      <c r="I40" s="9" t="s">
        <v>1747</v>
      </c>
      <c r="J40" s="80">
        <v>0.53846153846154</v>
      </c>
      <c r="K40" s="80">
        <f>+J40</f>
        <v>0.53846153846154</v>
      </c>
      <c r="L40" s="80">
        <f>+J40</f>
        <v>0.53846153846154</v>
      </c>
      <c r="O40" s="35">
        <v>19</v>
      </c>
      <c r="P40" s="9" t="s">
        <v>1463</v>
      </c>
      <c r="Q40" s="14">
        <f>SUM(CD29)</f>
        <v>0</v>
      </c>
      <c r="S40" s="35">
        <v>18</v>
      </c>
      <c r="T40" s="9" t="s">
        <v>673</v>
      </c>
      <c r="U40" s="14">
        <f>'UNIT 1 PWR BILL'!U21</f>
        <v>668090489.04</v>
      </c>
      <c r="AA40" s="35" t="s">
        <v>1845</v>
      </c>
      <c r="AB40" s="9" t="s">
        <v>457</v>
      </c>
      <c r="AC40" s="185">
        <v>0</v>
      </c>
      <c r="AD40" s="185"/>
      <c r="AF40" s="35" t="s">
        <v>434</v>
      </c>
      <c r="AG40" s="9" t="s">
        <v>235</v>
      </c>
      <c r="AH40" s="199">
        <f>ROUND((AH38*AH39),2)</f>
        <v>7270.56</v>
      </c>
      <c r="AP40" s="35" t="s">
        <v>1831</v>
      </c>
      <c r="AQ40" s="35" t="s">
        <v>236</v>
      </c>
      <c r="AR40" s="9" t="s">
        <v>118</v>
      </c>
      <c r="AV40" s="52"/>
      <c r="BE40" s="35">
        <v>8</v>
      </c>
      <c r="BF40" s="35" t="s">
        <v>1745</v>
      </c>
      <c r="BG40" s="9" t="s">
        <v>1083</v>
      </c>
      <c r="BH40" s="12"/>
      <c r="BN40" s="9" t="s">
        <v>1838</v>
      </c>
      <c r="BT40" s="33" t="s">
        <v>1074</v>
      </c>
      <c r="CA40" s="35">
        <v>16</v>
      </c>
      <c r="CC40" s="9" t="s">
        <v>753</v>
      </c>
      <c r="CD40" s="33" t="s">
        <v>1074</v>
      </c>
      <c r="CG40" s="35" t="s">
        <v>1839</v>
      </c>
      <c r="CH40" s="35">
        <v>215</v>
      </c>
      <c r="CI40" s="9" t="s">
        <v>1840</v>
      </c>
      <c r="CJ40" s="14">
        <v>0</v>
      </c>
      <c r="CL40" s="35">
        <v>42</v>
      </c>
      <c r="CM40" s="35">
        <v>134</v>
      </c>
      <c r="CN40" s="9" t="s">
        <v>456</v>
      </c>
      <c r="CO40" s="14">
        <v>0</v>
      </c>
      <c r="CQ40" s="35">
        <v>18</v>
      </c>
      <c r="CR40" s="9" t="s">
        <v>47</v>
      </c>
      <c r="CS40" s="185">
        <v>0</v>
      </c>
      <c r="DB40" s="9" t="s">
        <v>1744</v>
      </c>
      <c r="DC40" s="14">
        <f>SUM(DC34:DC38)</f>
        <v>0</v>
      </c>
    </row>
    <row r="41" spans="1:102" ht="15">
      <c r="A41" s="52"/>
      <c r="C41" s="33" t="s">
        <v>1074</v>
      </c>
      <c r="E41" s="52"/>
      <c r="G41" s="33" t="s">
        <v>1074</v>
      </c>
      <c r="I41" s="9" t="s">
        <v>1130</v>
      </c>
      <c r="J41" s="14">
        <f>SUM(K41:L41)</f>
        <v>-234299</v>
      </c>
      <c r="K41" s="14">
        <f>ROUND((K39*K40),0)</f>
        <v>-70290</v>
      </c>
      <c r="L41" s="14">
        <f>ROUND((L39*L40),0)</f>
        <v>-164009</v>
      </c>
      <c r="O41" s="35">
        <v>20</v>
      </c>
      <c r="P41" s="9" t="s">
        <v>1585</v>
      </c>
      <c r="Q41" s="14">
        <f>SUM(CD41)</f>
        <v>0</v>
      </c>
      <c r="S41" s="35">
        <v>19</v>
      </c>
      <c r="T41" s="9" t="s">
        <v>1144</v>
      </c>
      <c r="U41" s="14">
        <f>'UNIT 1 PWR BILL'!U22</f>
        <v>457601618.34</v>
      </c>
      <c r="W41" s="35" t="s">
        <v>43</v>
      </c>
      <c r="X41" s="9" t="s">
        <v>526</v>
      </c>
      <c r="Y41" s="14">
        <f>IF((Y23&gt;Y29),(Y23-Y29),0)</f>
        <v>0</v>
      </c>
      <c r="AF41" s="35" t="s">
        <v>1748</v>
      </c>
      <c r="AG41" s="9" t="s">
        <v>1749</v>
      </c>
      <c r="AH41" s="9">
        <v>68</v>
      </c>
      <c r="AR41" s="199" t="s">
        <v>1084</v>
      </c>
      <c r="AS41" s="14">
        <f>SUM(DC56)</f>
        <v>356641.81</v>
      </c>
      <c r="AV41" s="52" t="s">
        <v>1329</v>
      </c>
      <c r="BH41" s="12"/>
      <c r="BN41" s="9" t="s">
        <v>188</v>
      </c>
      <c r="BO41" s="14">
        <v>0</v>
      </c>
      <c r="BQ41" s="35" t="s">
        <v>189</v>
      </c>
      <c r="BR41" s="52" t="s">
        <v>427</v>
      </c>
      <c r="CC41" s="9" t="s">
        <v>477</v>
      </c>
      <c r="CD41" s="14">
        <f>SUM(((((-CD33)+CD35)+CD37)+CD39))</f>
        <v>0</v>
      </c>
      <c r="CG41" s="35" t="s">
        <v>1232</v>
      </c>
      <c r="CH41" s="35" t="s">
        <v>478</v>
      </c>
      <c r="CI41" s="9" t="s">
        <v>1233</v>
      </c>
      <c r="CL41" s="35">
        <v>43</v>
      </c>
      <c r="CM41" s="35" t="s">
        <v>129</v>
      </c>
      <c r="CN41" s="9" t="s">
        <v>1234</v>
      </c>
      <c r="CO41" s="14">
        <f>AEGBS!D164+AEGBS!D168</f>
        <v>0</v>
      </c>
      <c r="CQ41" s="35">
        <v>19</v>
      </c>
      <c r="CR41" s="9" t="s">
        <v>1186</v>
      </c>
      <c r="CS41" s="185">
        <v>0.1216</v>
      </c>
      <c r="CW41" s="35" t="s">
        <v>216</v>
      </c>
      <c r="CX41" s="14">
        <f>SUM(CX37:CX39)</f>
        <v>-17349.13</v>
      </c>
    </row>
    <row r="42" spans="1:107" ht="15">
      <c r="A42" s="52"/>
      <c r="B42" s="35" t="s">
        <v>1690</v>
      </c>
      <c r="C42" s="14">
        <f>C32+IM_FUEL_2+C35+C36+C37+C38+C39+C40</f>
        <v>9980897.005</v>
      </c>
      <c r="E42" s="52"/>
      <c r="F42" s="35" t="s">
        <v>1690</v>
      </c>
      <c r="G42" s="14">
        <f>G32+KPCO_FUEL_2+G35+G36+G37+G38+G39+G40</f>
        <v>4277525.69</v>
      </c>
      <c r="I42" s="9" t="s">
        <v>388</v>
      </c>
      <c r="J42" s="14">
        <f>SUM(BH55)</f>
        <v>180002.98000000004</v>
      </c>
      <c r="K42" s="14">
        <f>SUM(BI55)</f>
        <v>54000.89400000001</v>
      </c>
      <c r="L42" s="14">
        <f>SUM(BJ55)</f>
        <v>126002.08600000004</v>
      </c>
      <c r="Q42" s="33" t="s">
        <v>1074</v>
      </c>
      <c r="S42" s="35">
        <v>20</v>
      </c>
      <c r="T42" s="9" t="s">
        <v>1463</v>
      </c>
      <c r="U42" s="14">
        <f>'UNIT 1 PWR BILL'!U23</f>
        <v>34832294.12</v>
      </c>
      <c r="W42" s="35" t="s">
        <v>981</v>
      </c>
      <c r="X42" s="9" t="s">
        <v>765</v>
      </c>
      <c r="Y42" s="185">
        <f>ROUND(((AC50*CX58)/CX59),6)</f>
        <v>0.001055</v>
      </c>
      <c r="AF42" s="35" t="s">
        <v>218</v>
      </c>
      <c r="AG42" s="9" t="s">
        <v>1698</v>
      </c>
      <c r="AH42" s="14">
        <f>ROUND((AH40*AH41),0)</f>
        <v>494398</v>
      </c>
      <c r="AP42" s="35" t="s">
        <v>850</v>
      </c>
      <c r="AQ42" s="35" t="s">
        <v>1699</v>
      </c>
      <c r="AR42" s="9" t="s">
        <v>118</v>
      </c>
      <c r="BH42" s="143"/>
      <c r="BI42" s="14"/>
      <c r="BJ42" s="14"/>
      <c r="BL42" s="35" t="s">
        <v>1700</v>
      </c>
      <c r="BM42" s="35">
        <v>119</v>
      </c>
      <c r="BN42" s="9" t="s">
        <v>508</v>
      </c>
      <c r="CD42" s="33" t="s">
        <v>1074</v>
      </c>
      <c r="CI42" s="9" t="s">
        <v>1131</v>
      </c>
      <c r="CJ42" s="14">
        <v>0</v>
      </c>
      <c r="CO42" s="33" t="s">
        <v>1074</v>
      </c>
      <c r="CQ42" s="35">
        <v>20</v>
      </c>
      <c r="CR42" s="201" t="s">
        <v>1284</v>
      </c>
      <c r="CS42" s="185">
        <f>SUM(AC46:AC48)</f>
        <v>0.01242</v>
      </c>
      <c r="DA42" s="35">
        <v>920</v>
      </c>
      <c r="DB42" s="9" t="s">
        <v>849</v>
      </c>
      <c r="DC42" s="14">
        <f>EXPENSES!L28</f>
        <v>44769.119999999995</v>
      </c>
    </row>
    <row r="43" spans="1:107" ht="15">
      <c r="A43" s="52"/>
      <c r="C43" s="79" t="s">
        <v>1074</v>
      </c>
      <c r="E43" s="52"/>
      <c r="G43" s="79" t="s">
        <v>1572</v>
      </c>
      <c r="J43" s="79" t="s">
        <v>1074</v>
      </c>
      <c r="K43" s="79" t="s">
        <v>1074</v>
      </c>
      <c r="L43" s="79" t="s">
        <v>1074</v>
      </c>
      <c r="M43" s="79" t="s">
        <v>1074</v>
      </c>
      <c r="O43" s="35">
        <v>21</v>
      </c>
      <c r="P43" s="9" t="s">
        <v>1231</v>
      </c>
      <c r="Q43" s="14">
        <f>SUM(((Q39+Q40)-Q41))</f>
        <v>129745731.2</v>
      </c>
      <c r="S43" s="35">
        <v>21</v>
      </c>
      <c r="T43" s="9" t="s">
        <v>1675</v>
      </c>
      <c r="U43" s="14">
        <f>'UNIT 1 PWR BILL'!U24</f>
        <v>15043.858</v>
      </c>
      <c r="W43" s="35" t="s">
        <v>434</v>
      </c>
      <c r="X43" s="9" t="s">
        <v>905</v>
      </c>
      <c r="Y43" s="14">
        <f>SUM((Y41*Y42))</f>
        <v>0</v>
      </c>
      <c r="AA43" s="35" t="s">
        <v>901</v>
      </c>
      <c r="AB43" s="116" t="s">
        <v>801</v>
      </c>
      <c r="AF43" s="35" t="s">
        <v>872</v>
      </c>
      <c r="AG43" s="9" t="s">
        <v>916</v>
      </c>
      <c r="AH43" s="202">
        <f>AEGBS!D190</f>
        <v>39.99</v>
      </c>
      <c r="AR43" s="9" t="s">
        <v>1303</v>
      </c>
      <c r="AS43" s="14">
        <f>SUM(DC58)</f>
        <v>10440.91</v>
      </c>
      <c r="BH43" s="12"/>
      <c r="BN43" s="9" t="s">
        <v>386</v>
      </c>
      <c r="CA43" s="35">
        <v>17</v>
      </c>
      <c r="CC43" s="9" t="s">
        <v>1806</v>
      </c>
      <c r="CG43" s="35" t="s">
        <v>1015</v>
      </c>
      <c r="CH43" s="35">
        <v>216</v>
      </c>
      <c r="CI43" s="9" t="s">
        <v>1016</v>
      </c>
      <c r="CJ43" s="14">
        <f>AEGBS!D157</f>
        <v>2633319.07</v>
      </c>
      <c r="CL43" s="35">
        <v>44</v>
      </c>
      <c r="CN43" s="9" t="s">
        <v>576</v>
      </c>
      <c r="CO43" s="14">
        <f>SUM(CO38:CO41)</f>
        <v>0</v>
      </c>
      <c r="DA43" s="35">
        <v>921</v>
      </c>
      <c r="DB43" s="9" t="s">
        <v>1902</v>
      </c>
      <c r="DC43" s="14">
        <f>EXPENSES!L29</f>
        <v>16005.34</v>
      </c>
    </row>
    <row r="44" spans="1:107" ht="15">
      <c r="A44" s="52"/>
      <c r="E44" s="52"/>
      <c r="I44" s="9" t="s">
        <v>559</v>
      </c>
      <c r="J44" s="14">
        <f>TRUNC((J41+J42))</f>
        <v>-54296</v>
      </c>
      <c r="K44" s="14">
        <f>TRUNC((K41+K42))</f>
        <v>-16289</v>
      </c>
      <c r="L44" s="14">
        <f>TRUNC((L41+L42))</f>
        <v>-38006</v>
      </c>
      <c r="Q44" s="33" t="s">
        <v>1074</v>
      </c>
      <c r="S44" s="35">
        <v>22</v>
      </c>
      <c r="T44" s="9" t="s">
        <v>1578</v>
      </c>
      <c r="U44" s="14">
        <f>'UNIT 1 PWR BILL'!U25</f>
        <v>0</v>
      </c>
      <c r="W44" s="35" t="s">
        <v>1748</v>
      </c>
      <c r="X44" s="9" t="s">
        <v>704</v>
      </c>
      <c r="Y44" s="185">
        <f>SUM(Q58)</f>
        <v>0.491579</v>
      </c>
      <c r="AH44" s="79" t="s">
        <v>1074</v>
      </c>
      <c r="AS44" s="33" t="s">
        <v>1074</v>
      </c>
      <c r="BE44" s="35">
        <v>9</v>
      </c>
      <c r="BF44" s="35" t="s">
        <v>455</v>
      </c>
      <c r="BG44" s="9" t="s">
        <v>121</v>
      </c>
      <c r="BH44" s="12"/>
      <c r="BN44" s="9" t="s">
        <v>1903</v>
      </c>
      <c r="BO44" s="14">
        <v>0</v>
      </c>
      <c r="CC44" s="9" t="s">
        <v>1333</v>
      </c>
      <c r="CD44" s="14">
        <f>SUM(((CD16+CD29)-CD41))</f>
        <v>129745731.2</v>
      </c>
      <c r="CJ44" s="33" t="s">
        <v>1074</v>
      </c>
      <c r="CO44" s="33" t="s">
        <v>1074</v>
      </c>
      <c r="CQ44" s="35">
        <v>21</v>
      </c>
      <c r="CR44" s="116" t="s">
        <v>1620</v>
      </c>
      <c r="DA44" s="35">
        <v>922</v>
      </c>
      <c r="DB44" s="9" t="s">
        <v>1621</v>
      </c>
      <c r="DC44" s="14">
        <f>EXPENSES!L30</f>
        <v>0</v>
      </c>
    </row>
    <row r="45" spans="1:107" ht="15">
      <c r="A45" s="52" t="s">
        <v>1246</v>
      </c>
      <c r="E45" s="52" t="s">
        <v>1246</v>
      </c>
      <c r="J45" s="79" t="s">
        <v>1572</v>
      </c>
      <c r="K45" s="79" t="s">
        <v>1572</v>
      </c>
      <c r="L45" s="79" t="s">
        <v>1572</v>
      </c>
      <c r="M45" s="79" t="s">
        <v>1572</v>
      </c>
      <c r="O45" s="35">
        <v>22</v>
      </c>
      <c r="P45" s="116" t="s">
        <v>1014</v>
      </c>
      <c r="S45" s="35">
        <v>23</v>
      </c>
      <c r="T45" s="9" t="s">
        <v>756</v>
      </c>
      <c r="U45" s="14">
        <f>'UNIT 1 PWR BILL'!U26</f>
        <v>0</v>
      </c>
      <c r="W45" s="35" t="s">
        <v>218</v>
      </c>
      <c r="X45" s="9" t="s">
        <v>977</v>
      </c>
      <c r="Y45" s="185">
        <f>ROUND((U35/U56),4)</f>
        <v>-0.5548</v>
      </c>
      <c r="AF45" s="35" t="s">
        <v>1210</v>
      </c>
      <c r="AG45" s="9" t="s">
        <v>1751</v>
      </c>
      <c r="AH45" s="14">
        <f>ROUND((AH42*AH43),0)</f>
        <v>19770976</v>
      </c>
      <c r="AP45" s="35" t="s">
        <v>778</v>
      </c>
      <c r="AR45" s="9" t="s">
        <v>736</v>
      </c>
      <c r="AS45" s="14">
        <f>SUM((AS41+AS43))</f>
        <v>367082.72</v>
      </c>
      <c r="BG45" s="9" t="s">
        <v>1650</v>
      </c>
      <c r="BH45" s="143">
        <f>IF(INSTRUCTIONS!$L$29="ESTIMATE",TXPG12RV!G131+TXPG12RV!G132,IF(INSTRUCTIONS!$L$29="ACTUAL",TXPG12RV!I131+TXPG12RV!I132,"SEE NOTE"))</f>
        <v>-12280</v>
      </c>
      <c r="BI45" s="14">
        <f>SUM((BH45*INSTRUCTIONS!$M$20))</f>
        <v>-3684</v>
      </c>
      <c r="BJ45" s="14">
        <f>SUM((BH45-BI45))</f>
        <v>-8596</v>
      </c>
      <c r="BO45" s="33" t="s">
        <v>1074</v>
      </c>
      <c r="CD45" s="33" t="s">
        <v>1572</v>
      </c>
      <c r="CG45" s="35" t="s">
        <v>12</v>
      </c>
      <c r="CI45" s="9" t="s">
        <v>737</v>
      </c>
      <c r="CJ45" s="14">
        <f>CJ40+CJ42+CJ43</f>
        <v>2633319.07</v>
      </c>
      <c r="CL45" s="35">
        <v>45</v>
      </c>
      <c r="CN45" s="9" t="s">
        <v>1554</v>
      </c>
      <c r="CO45" s="14">
        <f>CJ47+CJ56+CO27+CO34-CO43</f>
        <v>240959457.57</v>
      </c>
      <c r="DA45" s="35">
        <v>923</v>
      </c>
      <c r="DB45" s="9" t="s">
        <v>454</v>
      </c>
      <c r="DC45" s="14">
        <f>EXPENSES!L31</f>
        <v>206466.78</v>
      </c>
    </row>
    <row r="46" spans="1:107" ht="15">
      <c r="A46" s="52"/>
      <c r="B46" s="9" t="s">
        <v>1502</v>
      </c>
      <c r="C46" s="14">
        <f>BILLDIF!E35</f>
        <v>0</v>
      </c>
      <c r="E46" s="52"/>
      <c r="F46" s="52" t="s">
        <v>1502</v>
      </c>
      <c r="G46" s="14">
        <f>BILLDIF!E41</f>
        <v>0</v>
      </c>
      <c r="I46" s="116" t="s">
        <v>1591</v>
      </c>
      <c r="S46" s="35">
        <v>24</v>
      </c>
      <c r="T46" s="9" t="s">
        <v>1423</v>
      </c>
      <c r="U46" s="14">
        <f>'UNIT 1 PWR BILL'!U27</f>
        <v>-12801494.830000002</v>
      </c>
      <c r="W46" s="35" t="s">
        <v>872</v>
      </c>
      <c r="X46" s="9" t="s">
        <v>1501</v>
      </c>
      <c r="Y46" s="14">
        <f>ROUND(((Y43*Y44)*Y45),0)</f>
        <v>0</v>
      </c>
      <c r="AA46" s="35" t="s">
        <v>43</v>
      </c>
      <c r="AB46" s="9" t="s">
        <v>1285</v>
      </c>
      <c r="AC46" s="185">
        <f>ROUND((AC28*AC38),6)</f>
        <v>0.009863</v>
      </c>
      <c r="AD46" s="185"/>
      <c r="AH46" s="79" t="s">
        <v>1074</v>
      </c>
      <c r="AS46" s="33" t="s">
        <v>1074</v>
      </c>
      <c r="BG46" s="9" t="s">
        <v>1215</v>
      </c>
      <c r="BH46" s="12"/>
      <c r="BL46" s="35" t="s">
        <v>876</v>
      </c>
      <c r="BN46" s="9" t="s">
        <v>1248</v>
      </c>
      <c r="BO46" s="14">
        <f>BO34+BO36+BO38+BO41+BO44</f>
        <v>148129202.53</v>
      </c>
      <c r="CC46" s="116" t="s">
        <v>693</v>
      </c>
      <c r="CJ46" s="33" t="s">
        <v>1074</v>
      </c>
      <c r="CO46" s="79" t="s">
        <v>1572</v>
      </c>
      <c r="CQ46" s="35">
        <v>22</v>
      </c>
      <c r="CR46" s="9" t="s">
        <v>1285</v>
      </c>
      <c r="CS46" s="185">
        <f>ROUND((CS28*CS38),6)</f>
        <v>0.005965</v>
      </c>
      <c r="DA46" s="35">
        <v>924</v>
      </c>
      <c r="DB46" s="9" t="s">
        <v>1503</v>
      </c>
      <c r="DC46" s="14">
        <f>EXPENSES!L32</f>
        <v>6295.52</v>
      </c>
    </row>
    <row r="47" spans="1:107" ht="15">
      <c r="A47" s="52"/>
      <c r="B47" s="9" t="s">
        <v>940</v>
      </c>
      <c r="C47" s="14">
        <f>BILLDIF!G35</f>
        <v>0</v>
      </c>
      <c r="E47" s="52"/>
      <c r="F47" s="9" t="s">
        <v>940</v>
      </c>
      <c r="G47" s="14">
        <f>BILLDIF!G41</f>
        <v>0</v>
      </c>
      <c r="S47" s="35">
        <v>25</v>
      </c>
      <c r="T47" s="9" t="s">
        <v>205</v>
      </c>
      <c r="U47" s="14">
        <f>'UNIT 1 PWR BILL'!U28</f>
        <v>40696.45</v>
      </c>
      <c r="Y47" s="79" t="s">
        <v>1074</v>
      </c>
      <c r="AA47" s="35" t="s">
        <v>981</v>
      </c>
      <c r="AB47" s="9" t="s">
        <v>310</v>
      </c>
      <c r="AC47" s="185">
        <f>ROUND((AC29*AC39),6)</f>
        <v>0.002557</v>
      </c>
      <c r="AD47" s="185"/>
      <c r="AF47" s="35" t="s">
        <v>1592</v>
      </c>
      <c r="AG47" s="9" t="s">
        <v>1174</v>
      </c>
      <c r="AH47" s="14">
        <f>IF((AH31&gt;AH45),AH45,AH31)</f>
        <v>19770976</v>
      </c>
      <c r="BH47" s="12"/>
      <c r="BO47" s="33" t="s">
        <v>1074</v>
      </c>
      <c r="CG47" s="35" t="s">
        <v>938</v>
      </c>
      <c r="CI47" s="9" t="s">
        <v>481</v>
      </c>
      <c r="CJ47" s="14">
        <f>SUM(((CJ27+CJ36)+CJ45))</f>
        <v>95245306.17999999</v>
      </c>
      <c r="CQ47" s="35">
        <v>23</v>
      </c>
      <c r="CR47" s="9" t="s">
        <v>1286</v>
      </c>
      <c r="CS47" s="185">
        <f>ROUND((CS29*CS39),6)</f>
        <v>0.001546</v>
      </c>
      <c r="DA47" s="35">
        <v>925</v>
      </c>
      <c r="DB47" s="9" t="s">
        <v>100</v>
      </c>
      <c r="DC47" s="14">
        <f>EXPENSES!L33</f>
        <v>19605.44</v>
      </c>
    </row>
    <row r="48" spans="1:107" ht="15">
      <c r="A48" s="52"/>
      <c r="B48" s="9" t="s">
        <v>1282</v>
      </c>
      <c r="C48" s="14">
        <f>BILLDIF!I35</f>
        <v>414</v>
      </c>
      <c r="E48" s="52"/>
      <c r="F48" s="9" t="s">
        <v>1282</v>
      </c>
      <c r="G48" s="14">
        <f>BILLDIF!I41</f>
        <v>178</v>
      </c>
      <c r="I48" s="9" t="s">
        <v>258</v>
      </c>
      <c r="J48" s="14">
        <f>SUM(J30)</f>
        <v>14258421.695</v>
      </c>
      <c r="K48" s="14">
        <f>SUM(K30)</f>
        <v>4277525.69</v>
      </c>
      <c r="L48" s="14">
        <f>SUM(L30)</f>
        <v>9980897.005</v>
      </c>
      <c r="O48" s="35">
        <v>23</v>
      </c>
      <c r="P48" s="9" t="s">
        <v>1500</v>
      </c>
      <c r="Q48" s="14">
        <f>SUM((CD48-Q24))</f>
        <v>0</v>
      </c>
      <c r="S48" s="35">
        <v>26</v>
      </c>
      <c r="T48" s="43" t="s">
        <v>200</v>
      </c>
      <c r="U48" s="14">
        <f>AEGBS!E195</f>
        <v>1369212.385</v>
      </c>
      <c r="W48" s="35" t="s">
        <v>1210</v>
      </c>
      <c r="X48" s="9" t="s">
        <v>1138</v>
      </c>
      <c r="Y48" s="14">
        <f>ROUND((Y39+Y46),0)</f>
        <v>-263223</v>
      </c>
      <c r="AA48" s="35" t="s">
        <v>434</v>
      </c>
      <c r="AB48" s="9" t="s">
        <v>1662</v>
      </c>
      <c r="AC48" s="185">
        <f>ROUND((AC30*AC40),6)</f>
        <v>0</v>
      </c>
      <c r="AD48" s="185"/>
      <c r="AH48" s="79" t="s">
        <v>1074</v>
      </c>
      <c r="AP48" s="35" t="s">
        <v>1700</v>
      </c>
      <c r="AR48" s="9" t="s">
        <v>374</v>
      </c>
      <c r="AS48" s="14">
        <f>AS19+AS21+AS26+AS31+AS33+AS36+AS38+AS45</f>
        <v>13501362.709999999</v>
      </c>
      <c r="BE48" s="35">
        <v>10</v>
      </c>
      <c r="BF48" s="35" t="s">
        <v>455</v>
      </c>
      <c r="BG48" s="9" t="s">
        <v>121</v>
      </c>
      <c r="BH48" s="12"/>
      <c r="BL48" s="35" t="s">
        <v>375</v>
      </c>
      <c r="BN48" s="116" t="s">
        <v>974</v>
      </c>
      <c r="CA48" s="35">
        <v>18</v>
      </c>
      <c r="CB48" s="35">
        <v>105</v>
      </c>
      <c r="CC48" s="9" t="s">
        <v>135</v>
      </c>
      <c r="CD48" s="14">
        <v>0</v>
      </c>
      <c r="CJ48" s="33" t="s">
        <v>1074</v>
      </c>
      <c r="CQ48" s="35">
        <v>24</v>
      </c>
      <c r="CR48" s="9" t="s">
        <v>572</v>
      </c>
      <c r="CS48" s="185">
        <f>ROUND((CS30*CS40),6)</f>
        <v>0</v>
      </c>
      <c r="DA48" s="35">
        <v>926</v>
      </c>
      <c r="DB48" s="9" t="s">
        <v>960</v>
      </c>
      <c r="DC48" s="14">
        <f>EXPENSES!L34</f>
        <v>60868.38</v>
      </c>
    </row>
    <row r="49" spans="1:107" ht="15" customHeight="1">
      <c r="A49" s="52"/>
      <c r="C49" s="13"/>
      <c r="E49" s="52"/>
      <c r="G49" s="13"/>
      <c r="I49" s="9" t="s">
        <v>227</v>
      </c>
      <c r="J49" s="14">
        <f>SUM(((J22+J23)+J25))</f>
        <v>13501362.709999999</v>
      </c>
      <c r="K49" s="14">
        <f>SUM(((K22+K23)+K25))</f>
        <v>4050408.6900000004</v>
      </c>
      <c r="L49" s="14">
        <f>SUM(((L22+L23)+L25))</f>
        <v>9450954.02</v>
      </c>
      <c r="O49" s="35">
        <v>24</v>
      </c>
      <c r="P49" s="9" t="s">
        <v>937</v>
      </c>
      <c r="Q49" s="14">
        <f>SUM((CD50-Q25))</f>
        <v>2548422.87</v>
      </c>
      <c r="S49" s="35">
        <v>27</v>
      </c>
      <c r="T49" s="43" t="s">
        <v>199</v>
      </c>
      <c r="U49" s="14">
        <f>AEGBS!E196</f>
        <v>2313239.125</v>
      </c>
      <c r="Y49" s="79" t="s">
        <v>1572</v>
      </c>
      <c r="AC49" s="79" t="s">
        <v>1074</v>
      </c>
      <c r="AF49" s="35" t="s">
        <v>1025</v>
      </c>
      <c r="AG49" s="9" t="s">
        <v>962</v>
      </c>
      <c r="AH49" s="14">
        <f>ROUND((AH31-AH47),0)</f>
        <v>1171440144</v>
      </c>
      <c r="AS49" s="79" t="s">
        <v>1572</v>
      </c>
      <c r="BG49" s="9" t="s">
        <v>859</v>
      </c>
      <c r="BH49" s="143">
        <f>IF(INSTRUCTIONS!$L$29="ESTIMATE",TXPG12RV!G135+TXPG12RV!G136,IF(INSTRUCTIONS!$L$29="ACTUAL",TXPG12RV!I135+TXPG12RV!I136,"SEE NOTE"))</f>
        <v>-180.5</v>
      </c>
      <c r="BI49" s="14">
        <f>SUM((BH49*INSTRUCTIONS!$M$20))</f>
        <v>-54.15</v>
      </c>
      <c r="BJ49" s="14">
        <f>SUM((BH49-BI49))</f>
        <v>-126.35</v>
      </c>
      <c r="CG49" s="35" t="s">
        <v>963</v>
      </c>
      <c r="CI49" s="116" t="s">
        <v>259</v>
      </c>
      <c r="CQ49" s="35">
        <v>25</v>
      </c>
      <c r="CR49" s="9" t="s">
        <v>1028</v>
      </c>
      <c r="CS49" s="185">
        <f>ROUND((CS31*CS41),6)</f>
        <v>0.048065</v>
      </c>
      <c r="DA49" s="35">
        <v>927</v>
      </c>
      <c r="DB49" s="9" t="s">
        <v>1616</v>
      </c>
      <c r="DC49" s="14">
        <v>0</v>
      </c>
    </row>
    <row r="50" spans="1:107" ht="15">
      <c r="A50" s="52"/>
      <c r="C50" s="33" t="s">
        <v>1074</v>
      </c>
      <c r="E50" s="52"/>
      <c r="G50" s="33" t="s">
        <v>1074</v>
      </c>
      <c r="I50" s="9" t="s">
        <v>451</v>
      </c>
      <c r="J50" s="14">
        <f aca="true" t="shared" si="3" ref="J50:L51">SUM(J26)</f>
        <v>1037148.025</v>
      </c>
      <c r="K50" s="14">
        <f t="shared" si="3"/>
        <v>311144</v>
      </c>
      <c r="L50" s="14">
        <f t="shared" si="3"/>
        <v>726004.025</v>
      </c>
      <c r="O50" s="35">
        <v>25</v>
      </c>
      <c r="P50" s="9" t="s">
        <v>1019</v>
      </c>
      <c r="Q50" s="14">
        <f>SUM(CD52)</f>
        <v>-3969805</v>
      </c>
      <c r="S50" s="35">
        <v>28</v>
      </c>
      <c r="T50" s="9" t="s">
        <v>992</v>
      </c>
      <c r="U50" s="14">
        <f>'UNIT 1 PWR BILL'!U31</f>
        <v>0</v>
      </c>
      <c r="AA50" s="35" t="s">
        <v>1748</v>
      </c>
      <c r="AB50" s="9" t="s">
        <v>877</v>
      </c>
      <c r="AC50" s="185">
        <f>SUM(AC46:AC48)</f>
        <v>0.01242</v>
      </c>
      <c r="AD50" s="185"/>
      <c r="AH50" s="79" t="s">
        <v>1572</v>
      </c>
      <c r="BH50" s="12"/>
      <c r="BL50" s="35" t="s">
        <v>228</v>
      </c>
      <c r="BM50" s="35">
        <v>151</v>
      </c>
      <c r="BN50" s="9" t="s">
        <v>1142</v>
      </c>
      <c r="BO50" s="14">
        <f>SUM((AH17+AH19))</f>
        <v>17621463.615</v>
      </c>
      <c r="BS50" s="220"/>
      <c r="BT50" s="220"/>
      <c r="CA50" s="35">
        <v>19</v>
      </c>
      <c r="CB50" s="35">
        <v>186</v>
      </c>
      <c r="CC50" s="9" t="s">
        <v>229</v>
      </c>
      <c r="CD50" s="14">
        <f>AEGBS!D151</f>
        <v>2548422.87</v>
      </c>
      <c r="CQ50" s="35">
        <v>26</v>
      </c>
      <c r="CR50" s="9" t="s">
        <v>953</v>
      </c>
      <c r="CS50" s="185">
        <f>ROUND((CS32*CS42),6)</f>
        <v>0</v>
      </c>
      <c r="DA50" s="35">
        <v>928</v>
      </c>
      <c r="DB50" s="9" t="s">
        <v>904</v>
      </c>
      <c r="DC50" s="14">
        <f>EXPENSES!L35</f>
        <v>0</v>
      </c>
    </row>
    <row r="51" spans="1:107" ht="15">
      <c r="A51" s="52"/>
      <c r="B51" s="35" t="s">
        <v>1212</v>
      </c>
      <c r="C51" s="14">
        <f>SUM(C46:C48)</f>
        <v>414</v>
      </c>
      <c r="E51" s="52"/>
      <c r="F51" s="35" t="s">
        <v>1212</v>
      </c>
      <c r="G51" s="14">
        <f>SUM(G46:G48)</f>
        <v>178</v>
      </c>
      <c r="I51" s="9" t="s">
        <v>964</v>
      </c>
      <c r="J51" s="14">
        <f t="shared" si="3"/>
        <v>94552.96</v>
      </c>
      <c r="K51" s="14">
        <f t="shared" si="3"/>
        <v>28366</v>
      </c>
      <c r="L51" s="14">
        <f t="shared" si="3"/>
        <v>66186.96</v>
      </c>
      <c r="Q51" s="33" t="s">
        <v>1074</v>
      </c>
      <c r="S51" s="35">
        <v>29</v>
      </c>
      <c r="T51" s="9" t="s">
        <v>1585</v>
      </c>
      <c r="U51" s="14">
        <f>'UNIT 1 PWR BILL'!U32</f>
        <v>38714225.96232</v>
      </c>
      <c r="W51" s="35" t="s">
        <v>1592</v>
      </c>
      <c r="X51" s="116" t="s">
        <v>1227</v>
      </c>
      <c r="AC51" s="79" t="s">
        <v>1572</v>
      </c>
      <c r="BE51" s="35">
        <v>11</v>
      </c>
      <c r="BF51" s="35" t="s">
        <v>455</v>
      </c>
      <c r="BG51" s="9" t="s">
        <v>121</v>
      </c>
      <c r="BH51" s="12"/>
      <c r="BL51" s="35" t="s">
        <v>1224</v>
      </c>
      <c r="BM51" s="35">
        <v>152</v>
      </c>
      <c r="BN51" s="9" t="s">
        <v>330</v>
      </c>
      <c r="BO51" s="14">
        <f>SUM(AH18)</f>
        <v>950306.81</v>
      </c>
      <c r="BS51" s="220"/>
      <c r="BT51" s="220"/>
      <c r="CG51" s="35" t="s">
        <v>1225</v>
      </c>
      <c r="CH51" s="35">
        <v>204</v>
      </c>
      <c r="CI51" s="9" t="s">
        <v>1226</v>
      </c>
      <c r="CJ51" s="14">
        <v>0</v>
      </c>
      <c r="CS51" s="79" t="s">
        <v>1074</v>
      </c>
      <c r="DA51" s="35">
        <v>929</v>
      </c>
      <c r="DB51" s="9" t="s">
        <v>1259</v>
      </c>
      <c r="DC51" s="14">
        <f>EXPENSES!L36</f>
        <v>0</v>
      </c>
    </row>
    <row r="52" spans="1:107" ht="15">
      <c r="A52" s="52"/>
      <c r="C52" s="79" t="s">
        <v>1074</v>
      </c>
      <c r="E52" s="221"/>
      <c r="G52" s="79" t="s">
        <v>1074</v>
      </c>
      <c r="I52" s="9" t="s">
        <v>570</v>
      </c>
      <c r="J52" s="14">
        <f>ROUND((Y46+((Y58*Y62)*Y63)),0)</f>
        <v>-48373</v>
      </c>
      <c r="K52" s="14">
        <f>ROUND((J52*INSTRUCTIONS!$M$20),0)</f>
        <v>-14512</v>
      </c>
      <c r="L52" s="14">
        <f>SUM((J52-K52))</f>
        <v>-33861</v>
      </c>
      <c r="M52" s="14"/>
      <c r="O52" s="35">
        <v>26</v>
      </c>
      <c r="P52" s="9" t="s">
        <v>76</v>
      </c>
      <c r="Q52" s="14">
        <f>SUM(Q48:Q50)</f>
        <v>-1421382.13</v>
      </c>
      <c r="S52" s="35">
        <v>30</v>
      </c>
      <c r="T52" s="9" t="s">
        <v>815</v>
      </c>
      <c r="U52" s="14">
        <f>'UNIT 1 PWR BILL'!U33</f>
        <v>9414</v>
      </c>
      <c r="AF52" s="35" t="s">
        <v>1615</v>
      </c>
      <c r="AG52" s="116" t="s">
        <v>689</v>
      </c>
      <c r="BG52" s="9" t="s">
        <v>78</v>
      </c>
      <c r="BH52" s="143">
        <f>IF(INSTRUCTIONS!$L$29="ESTIMATE",TXPG12RV!G156,IF(INSTRUCTIONS!$L$29="ACTUAL",TXPG12RV!I156,"SEE NOTE"))</f>
        <v>227967.48000000004</v>
      </c>
      <c r="BI52" s="14">
        <f>SUM((BH52*INSTRUCTIONS!$M$20))</f>
        <v>68390.244</v>
      </c>
      <c r="BJ52" s="14">
        <f>SUM((BH52-BI52))</f>
        <v>159577.23600000003</v>
      </c>
      <c r="BL52" s="35" t="s">
        <v>966</v>
      </c>
      <c r="BM52" s="35">
        <v>153</v>
      </c>
      <c r="BN52" s="9" t="s">
        <v>1673</v>
      </c>
      <c r="BO52" s="14">
        <v>0</v>
      </c>
      <c r="BT52" s="220"/>
      <c r="CA52" s="35">
        <v>20</v>
      </c>
      <c r="CB52" s="35" t="s">
        <v>1268</v>
      </c>
      <c r="CC52" s="9" t="s">
        <v>828</v>
      </c>
      <c r="CD52" s="14">
        <f>SUM(CD62)</f>
        <v>-3969805</v>
      </c>
      <c r="CG52" s="35" t="s">
        <v>830</v>
      </c>
      <c r="CH52" s="35">
        <v>205</v>
      </c>
      <c r="CI52" s="9" t="s">
        <v>74</v>
      </c>
      <c r="CJ52" s="14">
        <v>0</v>
      </c>
      <c r="CQ52" s="35">
        <v>27</v>
      </c>
      <c r="CR52" s="9" t="s">
        <v>1269</v>
      </c>
      <c r="CS52" s="185">
        <f>(SUM(CS46:CS49))-CS50</f>
        <v>0.055576</v>
      </c>
      <c r="DA52" s="35">
        <v>930</v>
      </c>
      <c r="DB52" s="9" t="s">
        <v>1531</v>
      </c>
      <c r="DC52" s="14">
        <f>EXPENSES!L37</f>
        <v>1922.3700000000001</v>
      </c>
    </row>
    <row r="53" spans="1:107" ht="15">
      <c r="A53" s="52"/>
      <c r="C53" s="79"/>
      <c r="E53" s="221"/>
      <c r="G53" s="79"/>
      <c r="I53" s="203" t="s">
        <v>1506</v>
      </c>
      <c r="J53" s="14">
        <f>SUM(J24)</f>
        <v>-8750</v>
      </c>
      <c r="K53" s="14">
        <f>SUM(K24)</f>
        <v>-2625</v>
      </c>
      <c r="L53" s="14">
        <f>SUM(L24)</f>
        <v>-6125</v>
      </c>
      <c r="Q53" s="33" t="s">
        <v>1074</v>
      </c>
      <c r="U53" s="33" t="s">
        <v>1074</v>
      </c>
      <c r="W53" s="35" t="s">
        <v>1025</v>
      </c>
      <c r="X53" s="9" t="s">
        <v>1311</v>
      </c>
      <c r="Y53" s="14">
        <f>ROUND((((CO27*AC38)*CX58)/CX59),0)</f>
        <v>122064</v>
      </c>
      <c r="BH53" s="79" t="s">
        <v>1074</v>
      </c>
      <c r="BI53" s="79" t="s">
        <v>1074</v>
      </c>
      <c r="BJ53" s="79" t="s">
        <v>1074</v>
      </c>
      <c r="BL53" s="35" t="s">
        <v>1619</v>
      </c>
      <c r="BM53" s="35">
        <v>154</v>
      </c>
      <c r="BN53" s="9" t="s">
        <v>1802</v>
      </c>
      <c r="BO53" s="14">
        <f>SUM(AH20)</f>
        <v>12290719.11</v>
      </c>
      <c r="BS53" s="220"/>
      <c r="BT53" s="220"/>
      <c r="CG53" s="35" t="s">
        <v>387</v>
      </c>
      <c r="CH53" s="35">
        <v>206</v>
      </c>
      <c r="CI53" s="9" t="s">
        <v>1257</v>
      </c>
      <c r="CS53" s="79" t="s">
        <v>1572</v>
      </c>
      <c r="CW53" s="222" t="s">
        <v>174</v>
      </c>
      <c r="CX53" s="223"/>
      <c r="DA53" s="35">
        <v>931</v>
      </c>
      <c r="DB53" s="9" t="s">
        <v>1630</v>
      </c>
      <c r="DC53" s="14">
        <f>EXPENSES!L38</f>
        <v>708.86</v>
      </c>
    </row>
    <row r="54" spans="7:109" ht="15">
      <c r="G54" s="79"/>
      <c r="J54" s="79" t="s">
        <v>1074</v>
      </c>
      <c r="K54" s="79" t="s">
        <v>1074</v>
      </c>
      <c r="L54" s="79" t="s">
        <v>1074</v>
      </c>
      <c r="M54" s="79" t="s">
        <v>1074</v>
      </c>
      <c r="S54" s="35">
        <v>31</v>
      </c>
      <c r="T54" s="9" t="s">
        <v>1681</v>
      </c>
      <c r="U54" s="14">
        <f>SUM(((((((((((U40-U41)+U42)+U43)+U44)+U45)+U46)+U47)-U50)-U51)-U52))+U48-U49</f>
        <v>192907743.59567997</v>
      </c>
      <c r="W54" s="35" t="s">
        <v>1615</v>
      </c>
      <c r="X54" s="203" t="s">
        <v>1886</v>
      </c>
      <c r="Y54" s="14">
        <f>EXPENSES!H81</f>
        <v>55304.5</v>
      </c>
      <c r="AF54" s="35" t="s">
        <v>1213</v>
      </c>
      <c r="AG54" s="9" t="s">
        <v>193</v>
      </c>
      <c r="AH54" s="14">
        <v>8072981</v>
      </c>
      <c r="BL54" s="35" t="s">
        <v>89</v>
      </c>
      <c r="BM54" s="35">
        <v>155</v>
      </c>
      <c r="BN54" s="9" t="s">
        <v>754</v>
      </c>
      <c r="BO54" s="14">
        <f>SUM(AH21)</f>
        <v>0</v>
      </c>
      <c r="BT54" s="220"/>
      <c r="CA54" s="35">
        <v>21</v>
      </c>
      <c r="CC54" s="9" t="s">
        <v>90</v>
      </c>
      <c r="CD54" s="33" t="s">
        <v>1074</v>
      </c>
      <c r="CI54" s="9" t="s">
        <v>91</v>
      </c>
      <c r="CJ54" s="14">
        <v>0</v>
      </c>
      <c r="CW54" s="35" t="s">
        <v>158</v>
      </c>
      <c r="CX54" s="14">
        <f>J22-K22-L22</f>
        <v>0</v>
      </c>
      <c r="DA54" s="35">
        <v>933</v>
      </c>
      <c r="DB54" s="9" t="s">
        <v>159</v>
      </c>
      <c r="DC54" s="14">
        <v>0</v>
      </c>
      <c r="DE54" s="14"/>
    </row>
    <row r="55" spans="3:102" ht="15">
      <c r="C55" s="14"/>
      <c r="G55" s="14"/>
      <c r="I55" s="9" t="s">
        <v>785</v>
      </c>
      <c r="J55" s="14">
        <f>TRUNC(J48-(SUM(J49:J53)))</f>
        <v>-317519</v>
      </c>
      <c r="K55" s="14">
        <f>TRUNC(K48-(SUM(K49:K53)))</f>
        <v>-95256</v>
      </c>
      <c r="L55" s="14">
        <f>TRUNC(L48-(SUM(L49:L53)))</f>
        <v>-222262</v>
      </c>
      <c r="O55" s="35">
        <v>27</v>
      </c>
      <c r="P55" s="9" t="s">
        <v>201</v>
      </c>
      <c r="Q55" s="14">
        <f>SUM(((Q34+Q43)+Q52))</f>
        <v>252397735.41299996</v>
      </c>
      <c r="U55" s="33" t="s">
        <v>1074</v>
      </c>
      <c r="W55" s="35" t="s">
        <v>1213</v>
      </c>
      <c r="X55" s="203" t="s">
        <v>211</v>
      </c>
      <c r="Y55" s="14">
        <f>EXPENSES!H82</f>
        <v>0</v>
      </c>
      <c r="AF55" s="35" t="s">
        <v>75</v>
      </c>
      <c r="AG55" s="9" t="s">
        <v>133</v>
      </c>
      <c r="AH55" s="14">
        <f>SUM((((AH54*CS59)/CX59)*CX58))</f>
        <v>55851.02798034795</v>
      </c>
      <c r="BE55" s="35">
        <v>12</v>
      </c>
      <c r="BF55" s="35" t="s">
        <v>632</v>
      </c>
      <c r="BG55" s="9" t="s">
        <v>1710</v>
      </c>
      <c r="BH55" s="14">
        <f>BH35+BH38+BH42+BH45+BH49+BH52</f>
        <v>180002.98000000004</v>
      </c>
      <c r="BI55" s="14">
        <f>BI35+BI38+BI42+BI45+BI49+BI52</f>
        <v>54000.89400000001</v>
      </c>
      <c r="BJ55" s="14">
        <f>BJ35+BJ38+BJ42+BJ45+BJ49+BJ52</f>
        <v>126002.08600000004</v>
      </c>
      <c r="BL55" s="35" t="s">
        <v>134</v>
      </c>
      <c r="BM55" s="35">
        <v>156</v>
      </c>
      <c r="BN55" s="9" t="s">
        <v>160</v>
      </c>
      <c r="BO55" s="14">
        <v>0</v>
      </c>
      <c r="BT55" s="220"/>
      <c r="CC55" s="9" t="s">
        <v>1152</v>
      </c>
      <c r="CD55" s="14">
        <f>CD48+CD50+CD52</f>
        <v>-1421382.13</v>
      </c>
      <c r="CJ55" s="33" t="s">
        <v>1074</v>
      </c>
      <c r="CQ55" s="35">
        <v>28</v>
      </c>
      <c r="CR55" s="9" t="s">
        <v>783</v>
      </c>
      <c r="CS55" s="185">
        <f>SUM(((CS46+CS47)-CS50))</f>
        <v>0.007511</v>
      </c>
      <c r="CW55" s="35" t="s">
        <v>784</v>
      </c>
      <c r="CX55" s="33" t="s">
        <v>1074</v>
      </c>
    </row>
    <row r="56" spans="3:107" ht="15">
      <c r="C56" s="14"/>
      <c r="G56" s="14"/>
      <c r="I56" s="9" t="s">
        <v>558</v>
      </c>
      <c r="J56" s="14">
        <f>SUM(J35)</f>
        <v>-351907.82999999996</v>
      </c>
      <c r="K56" s="14">
        <f>SUM(K35)</f>
        <v>-105572.34899999999</v>
      </c>
      <c r="L56" s="14">
        <f>SUM(L35)</f>
        <v>-246335.48099999997</v>
      </c>
      <c r="Q56" s="33" t="s">
        <v>1572</v>
      </c>
      <c r="S56" s="35">
        <v>32</v>
      </c>
      <c r="T56" s="9" t="s">
        <v>829</v>
      </c>
      <c r="U56" s="14">
        <f>SUM((U35+U54))</f>
        <v>124073386.34299994</v>
      </c>
      <c r="W56" s="35" t="s">
        <v>75</v>
      </c>
      <c r="X56" s="9" t="s">
        <v>171</v>
      </c>
      <c r="Y56" s="14">
        <f>ROUND((((Y24*AC50)*CX58)/CX59),0)</f>
        <v>0</v>
      </c>
      <c r="AF56" s="35" t="s">
        <v>162</v>
      </c>
      <c r="AG56" s="9" t="s">
        <v>452</v>
      </c>
      <c r="AH56" s="14">
        <f>IF(AH67&gt;0,AH67,0)</f>
        <v>23368</v>
      </c>
      <c r="BH56" s="79" t="s">
        <v>1572</v>
      </c>
      <c r="BI56" s="79" t="s">
        <v>1572</v>
      </c>
      <c r="BJ56" s="79" t="s">
        <v>1572</v>
      </c>
      <c r="BL56" s="35" t="s">
        <v>453</v>
      </c>
      <c r="BM56" s="35">
        <v>163</v>
      </c>
      <c r="BN56" s="9" t="s">
        <v>1898</v>
      </c>
      <c r="BO56" s="14">
        <f>SUM(AH22)</f>
        <v>0</v>
      </c>
      <c r="BS56" s="220"/>
      <c r="BT56" s="220"/>
      <c r="CD56" s="33" t="s">
        <v>1572</v>
      </c>
      <c r="CG56" s="35" t="s">
        <v>173</v>
      </c>
      <c r="CI56" s="9" t="s">
        <v>175</v>
      </c>
      <c r="CJ56" s="14">
        <f>CJ51+CJ52+CJ54</f>
        <v>0</v>
      </c>
      <c r="CR56" s="9" t="s">
        <v>63</v>
      </c>
      <c r="CX56" s="37" t="s">
        <v>1557</v>
      </c>
      <c r="DB56" s="9" t="s">
        <v>1869</v>
      </c>
      <c r="DC56" s="14">
        <f>SUM(DC42:DC54)</f>
        <v>356641.81</v>
      </c>
    </row>
    <row r="57" spans="3:100" ht="15">
      <c r="C57" s="33"/>
      <c r="G57" s="33"/>
      <c r="J57" s="79" t="s">
        <v>1074</v>
      </c>
      <c r="K57" s="79" t="s">
        <v>1074</v>
      </c>
      <c r="L57" s="79" t="s">
        <v>1074</v>
      </c>
      <c r="M57" s="79" t="s">
        <v>1074</v>
      </c>
      <c r="U57" s="33" t="s">
        <v>1572</v>
      </c>
      <c r="Y57" s="33" t="s">
        <v>1074</v>
      </c>
      <c r="AF57" s="35" t="s">
        <v>1870</v>
      </c>
      <c r="AG57" s="9" t="s">
        <v>104</v>
      </c>
      <c r="AH57" s="14">
        <f>IF(AH67&lt;0,-1*AH67,0)</f>
        <v>0</v>
      </c>
      <c r="BL57" s="35" t="s">
        <v>105</v>
      </c>
      <c r="BN57" s="9" t="s">
        <v>1656</v>
      </c>
      <c r="BO57" s="33" t="s">
        <v>1074</v>
      </c>
      <c r="CJ57" s="33" t="s">
        <v>1074</v>
      </c>
      <c r="CQ57" s="35">
        <v>29</v>
      </c>
      <c r="CR57" s="9" t="s">
        <v>1175</v>
      </c>
      <c r="CS57" s="185">
        <f>ROUND((CS49/0.65),6)</f>
        <v>0.073946</v>
      </c>
      <c r="CV57" s="9" t="s">
        <v>1763</v>
      </c>
    </row>
    <row r="58" spans="2:107" ht="15">
      <c r="B58" s="35"/>
      <c r="C58" s="14"/>
      <c r="F58" s="35"/>
      <c r="G58" s="14"/>
      <c r="I58" s="9" t="s">
        <v>30</v>
      </c>
      <c r="J58" s="14">
        <f>SUM((J55+J56))</f>
        <v>-669426.83</v>
      </c>
      <c r="K58" s="14">
        <f>SUM((K55+K56))</f>
        <v>-200828.349</v>
      </c>
      <c r="L58" s="14">
        <f>SUM((L55+L56))</f>
        <v>-468597.48099999997</v>
      </c>
      <c r="O58" s="35">
        <v>28</v>
      </c>
      <c r="P58" s="9" t="s">
        <v>202</v>
      </c>
      <c r="Q58" s="185">
        <f>ROUND((Q34/Q55),6)</f>
        <v>0.491579</v>
      </c>
      <c r="W58" s="35" t="s">
        <v>162</v>
      </c>
      <c r="X58" s="9" t="s">
        <v>1803</v>
      </c>
      <c r="Y58" s="14">
        <f>SUM((((Y53+Y54)+Y55)-Y56))</f>
        <v>177368.5</v>
      </c>
      <c r="AH58" s="79" t="s">
        <v>1074</v>
      </c>
      <c r="BF58" s="52" t="s">
        <v>1075</v>
      </c>
      <c r="BN58" s="9" t="s">
        <v>34</v>
      </c>
      <c r="BO58" s="14">
        <f>SUM(BO50:BO56)</f>
        <v>30862489.534999996</v>
      </c>
      <c r="CB58" s="52" t="s">
        <v>35</v>
      </c>
      <c r="CR58" s="9" t="s">
        <v>64</v>
      </c>
      <c r="CS58" s="79" t="s">
        <v>1074</v>
      </c>
      <c r="CW58" s="9" t="s">
        <v>1608</v>
      </c>
      <c r="CX58" s="9">
        <v>31</v>
      </c>
      <c r="DA58" s="35">
        <v>935</v>
      </c>
      <c r="DB58" s="9" t="s">
        <v>1609</v>
      </c>
      <c r="DC58" s="14">
        <f>EXPENSES!L43</f>
        <v>10440.91</v>
      </c>
    </row>
    <row r="59" spans="3:102" ht="15">
      <c r="C59" s="79" t="s">
        <v>1572</v>
      </c>
      <c r="G59" s="79" t="s">
        <v>1572</v>
      </c>
      <c r="I59" s="9" t="s">
        <v>835</v>
      </c>
      <c r="J59" s="188">
        <v>0.35</v>
      </c>
      <c r="K59" s="188">
        <f>+J59</f>
        <v>0.35</v>
      </c>
      <c r="L59" s="188">
        <f>+J59</f>
        <v>0.35</v>
      </c>
      <c r="W59" s="35" t="s">
        <v>1870</v>
      </c>
      <c r="X59" s="9" t="s">
        <v>773</v>
      </c>
      <c r="Y59" s="14">
        <v>0</v>
      </c>
      <c r="AF59" s="35" t="s">
        <v>528</v>
      </c>
      <c r="AG59" s="9" t="s">
        <v>529</v>
      </c>
      <c r="AH59" s="14">
        <f>SUM((((AH54+AH55)+AH56)-AH57))</f>
        <v>8152200.027980348</v>
      </c>
      <c r="BF59" s="52" t="s">
        <v>1215</v>
      </c>
      <c r="BO59" s="33" t="s">
        <v>1074</v>
      </c>
      <c r="CC59" s="9" t="s">
        <v>271</v>
      </c>
      <c r="CD59" s="14">
        <f>'UNIT 1 PWR BILL'!CC59</f>
        <v>-3969805</v>
      </c>
      <c r="CQ59" s="35">
        <v>30</v>
      </c>
      <c r="CR59" s="9" t="s">
        <v>1266</v>
      </c>
      <c r="CS59" s="185">
        <f>SUM((CS55+CS57))</f>
        <v>0.081457</v>
      </c>
      <c r="CW59" s="9" t="s">
        <v>1408</v>
      </c>
      <c r="CX59" s="9">
        <f>INSTRUCTIONS!L16</f>
        <v>365</v>
      </c>
    </row>
    <row r="60" spans="2:107" ht="15">
      <c r="B60" s="35" t="s">
        <v>77</v>
      </c>
      <c r="C60" s="184">
        <f>C42+C51</f>
        <v>9981311.005</v>
      </c>
      <c r="F60" s="35" t="s">
        <v>77</v>
      </c>
      <c r="G60" s="224">
        <f>G42+G51</f>
        <v>4277703.69</v>
      </c>
      <c r="I60" s="9" t="s">
        <v>1130</v>
      </c>
      <c r="J60" s="14">
        <f>SUM(K60:L60)</f>
        <v>-234299</v>
      </c>
      <c r="K60" s="14">
        <f>ROUND((K58*K59),0)</f>
        <v>-70290</v>
      </c>
      <c r="L60" s="14">
        <f>ROUND((L58*L59),0)</f>
        <v>-164009</v>
      </c>
      <c r="O60" s="35">
        <v>29</v>
      </c>
      <c r="P60" s="9" t="s">
        <v>203</v>
      </c>
      <c r="Q60" s="185">
        <f>ROUND((Q43/Q55),6)</f>
        <v>0.514053</v>
      </c>
      <c r="S60" s="35">
        <v>33</v>
      </c>
      <c r="T60" s="116" t="s">
        <v>475</v>
      </c>
      <c r="Y60" s="33" t="s">
        <v>1074</v>
      </c>
      <c r="AH60" s="79" t="s">
        <v>1572</v>
      </c>
      <c r="BL60" s="35" t="s">
        <v>836</v>
      </c>
      <c r="BM60" s="35">
        <v>165</v>
      </c>
      <c r="BN60" s="9" t="s">
        <v>1659</v>
      </c>
      <c r="BO60" s="14">
        <f>AEGBS!J31</f>
        <v>15043.85</v>
      </c>
      <c r="CC60" s="9" t="s">
        <v>1230</v>
      </c>
      <c r="CD60" s="14">
        <f>IF((AH17=AH28),0,(IF((AH45&gt;AH17),(ROUND((AH28-AH17),0)),(ROUND((AH28-AH45),0)))))</f>
        <v>0</v>
      </c>
      <c r="CS60" s="79" t="s">
        <v>1572</v>
      </c>
      <c r="CW60" s="35" t="s">
        <v>1351</v>
      </c>
      <c r="CX60" s="32" t="str">
        <f>INSTRUCTIONS!L4</f>
        <v>2015</v>
      </c>
      <c r="DB60" s="35" t="s">
        <v>1837</v>
      </c>
      <c r="DC60" s="14">
        <f>SUM((DC56+DC58))</f>
        <v>367082.72</v>
      </c>
    </row>
    <row r="61" spans="1:102" ht="15">
      <c r="A61" s="52"/>
      <c r="C61" s="79" t="s">
        <v>1572</v>
      </c>
      <c r="E61" s="52"/>
      <c r="G61" s="79" t="s">
        <v>1572</v>
      </c>
      <c r="I61" s="9" t="s">
        <v>388</v>
      </c>
      <c r="J61" s="14">
        <f>SUM(K61:L61)</f>
        <v>180002.98000000004</v>
      </c>
      <c r="K61" s="14">
        <f>SUM(K36)</f>
        <v>54000.89400000001</v>
      </c>
      <c r="L61" s="14">
        <f>SUM(L36)</f>
        <v>126002.08600000004</v>
      </c>
      <c r="W61" s="35" t="s">
        <v>528</v>
      </c>
      <c r="X61" s="9" t="s">
        <v>1403</v>
      </c>
      <c r="Y61" s="14">
        <f>SUM(Y58:Y59)</f>
        <v>177368.5</v>
      </c>
      <c r="AG61" s="9" t="s">
        <v>53</v>
      </c>
      <c r="BF61" s="9"/>
      <c r="BG61" s="106" t="s">
        <v>1326</v>
      </c>
      <c r="BH61" s="143">
        <f>IF(INSTRUCTIONS!$L$29="ESTIMATE",TXPG12RV!G120,IF(INSTRUCTIONS!$L$29="ACTUAL",TXPG12RV!I120,"SEE NOTE"))</f>
        <v>-351907.82999999996</v>
      </c>
      <c r="BO61" s="33" t="s">
        <v>1074</v>
      </c>
      <c r="CD61" s="33" t="s">
        <v>1074</v>
      </c>
      <c r="CW61" s="9" t="s">
        <v>371</v>
      </c>
      <c r="CX61" s="32">
        <f>INSTRUCTIONS!L3</f>
        <v>5</v>
      </c>
    </row>
    <row r="62" spans="1:102" ht="15">
      <c r="A62" s="52" t="s">
        <v>161</v>
      </c>
      <c r="E62" s="52" t="s">
        <v>161</v>
      </c>
      <c r="J62" s="79" t="s">
        <v>1074</v>
      </c>
      <c r="K62" s="79" t="s">
        <v>1074</v>
      </c>
      <c r="L62" s="79" t="s">
        <v>1074</v>
      </c>
      <c r="M62" s="79" t="s">
        <v>1074</v>
      </c>
      <c r="O62" s="35">
        <v>30</v>
      </c>
      <c r="P62" s="9" t="s">
        <v>204</v>
      </c>
      <c r="Q62" s="185">
        <f>SUM(((Q64-Q58)-Q60))</f>
        <v>-0.00563199999999997</v>
      </c>
      <c r="S62" s="35">
        <v>34</v>
      </c>
      <c r="T62" s="9" t="s">
        <v>209</v>
      </c>
      <c r="U62" s="185">
        <f>ROUND((U35/U56),4)</f>
        <v>-0.5548</v>
      </c>
      <c r="W62" s="35" t="s">
        <v>241</v>
      </c>
      <c r="X62" s="9" t="s">
        <v>704</v>
      </c>
      <c r="Y62" s="185">
        <f>SUM(Q58)</f>
        <v>0.491579</v>
      </c>
      <c r="AG62" s="9" t="s">
        <v>1669</v>
      </c>
      <c r="AH62" s="14"/>
      <c r="BF62" s="9"/>
      <c r="BG62" s="106" t="s">
        <v>458</v>
      </c>
      <c r="BH62" s="143">
        <f>IF(INSTRUCTIONS!$L$29="ESTIMATE",TXPG12RV!G158,IF(INSTRUCTIONS!$L$29="ACTUAL",TXPG12RV!I158,"SEE NOTE"))</f>
        <v>180002.98000000004</v>
      </c>
      <c r="BL62" s="35" t="s">
        <v>1430</v>
      </c>
      <c r="BM62" s="35">
        <v>186</v>
      </c>
      <c r="BN62" s="9" t="s">
        <v>229</v>
      </c>
      <c r="BO62" s="14">
        <v>0</v>
      </c>
      <c r="CC62" s="9" t="s">
        <v>1064</v>
      </c>
      <c r="CD62" s="14">
        <f>ROUND((CD59+CD60),0)</f>
        <v>-3969805</v>
      </c>
      <c r="CW62" s="35" t="s">
        <v>1026</v>
      </c>
      <c r="CX62" s="206" t="str">
        <f>INSTRUCTIONS!L7</f>
        <v>May, 2015</v>
      </c>
    </row>
    <row r="63" spans="1:107" ht="15">
      <c r="A63" s="52"/>
      <c r="E63" s="52"/>
      <c r="I63" s="9" t="s">
        <v>559</v>
      </c>
      <c r="J63" s="14">
        <f>SUM((J60+J61))</f>
        <v>-54296.01999999996</v>
      </c>
      <c r="K63" s="14">
        <f>SUM((K60+K61))</f>
        <v>-16289.105999999992</v>
      </c>
      <c r="L63" s="14">
        <f>SUM((L60+L61))</f>
        <v>-38006.91399999996</v>
      </c>
      <c r="Q63" s="33" t="s">
        <v>1074</v>
      </c>
      <c r="W63" s="35" t="s">
        <v>772</v>
      </c>
      <c r="X63" s="9" t="s">
        <v>977</v>
      </c>
      <c r="Y63" s="185">
        <f>ROUND((U35/U56),4)</f>
        <v>-0.5548</v>
      </c>
      <c r="AH63" s="14"/>
      <c r="BF63" s="9"/>
      <c r="BO63" s="33" t="s">
        <v>1074</v>
      </c>
      <c r="CD63" s="33" t="s">
        <v>1572</v>
      </c>
      <c r="DA63" s="52" t="s">
        <v>646</v>
      </c>
      <c r="DC63" s="14">
        <f>SUM(((((((CX24+CX35)+CX41)+DC22)+DC32)+DC40)+DC60))</f>
        <v>13501362.709999999</v>
      </c>
    </row>
    <row r="64" spans="1:107" ht="15">
      <c r="A64" s="52" t="s">
        <v>1657</v>
      </c>
      <c r="B64" s="207">
        <v>42174</v>
      </c>
      <c r="E64" s="52" t="s">
        <v>1657</v>
      </c>
      <c r="F64" s="207">
        <v>42174</v>
      </c>
      <c r="J64" s="79" t="s">
        <v>1572</v>
      </c>
      <c r="K64" s="79" t="s">
        <v>1572</v>
      </c>
      <c r="L64" s="79" t="s">
        <v>1572</v>
      </c>
      <c r="M64" s="79" t="s">
        <v>1572</v>
      </c>
      <c r="O64" s="35">
        <v>31</v>
      </c>
      <c r="P64" s="9" t="s">
        <v>1431</v>
      </c>
      <c r="Q64" s="185">
        <v>1</v>
      </c>
      <c r="S64" s="35">
        <v>35</v>
      </c>
      <c r="T64" s="9" t="s">
        <v>210</v>
      </c>
      <c r="U64" s="185">
        <f>ROUND((U54/U56),4)</f>
        <v>1.5548</v>
      </c>
      <c r="AH64" s="14"/>
      <c r="BF64" s="9" t="s">
        <v>459</v>
      </c>
      <c r="BG64" s="9" t="s">
        <v>670</v>
      </c>
      <c r="DA64" s="52" t="s">
        <v>1454</v>
      </c>
      <c r="DC64" s="14">
        <f>+DC63</f>
        <v>13501362.709999999</v>
      </c>
    </row>
    <row r="65" spans="1:107" ht="15">
      <c r="A65" s="52" t="s">
        <v>1796</v>
      </c>
      <c r="E65" s="52" t="s">
        <v>1796</v>
      </c>
      <c r="I65" s="52" t="s">
        <v>190</v>
      </c>
      <c r="P65" s="9" t="s">
        <v>116</v>
      </c>
      <c r="Q65" s="33" t="s">
        <v>1572</v>
      </c>
      <c r="U65" s="79" t="s">
        <v>1074</v>
      </c>
      <c r="W65" s="35" t="s">
        <v>1398</v>
      </c>
      <c r="X65" s="9" t="s">
        <v>1058</v>
      </c>
      <c r="Y65" s="14">
        <f>ROUND(((Y61*Y62)*Y63),0)</f>
        <v>-48373</v>
      </c>
      <c r="AG65" s="9" t="s">
        <v>1354</v>
      </c>
      <c r="AH65" s="14">
        <v>16544586.945</v>
      </c>
      <c r="BF65" s="9"/>
      <c r="BG65" s="9" t="s">
        <v>347</v>
      </c>
      <c r="DA65" s="52" t="s">
        <v>1413</v>
      </c>
      <c r="DC65" s="14">
        <f>SUM((DC63-DC64))</f>
        <v>0</v>
      </c>
    </row>
    <row r="66" spans="1:34" ht="15">
      <c r="A66" s="52" t="s">
        <v>234</v>
      </c>
      <c r="E66" s="52" t="s">
        <v>234</v>
      </c>
      <c r="P66" s="9" t="s">
        <v>1453</v>
      </c>
      <c r="U66" s="185">
        <f>SUM((U62+U64))</f>
        <v>1</v>
      </c>
      <c r="Y66" s="79" t="s">
        <v>1572</v>
      </c>
      <c r="AG66" s="9" t="s">
        <v>1165</v>
      </c>
      <c r="AH66" s="14">
        <v>16567954.945</v>
      </c>
    </row>
    <row r="67" spans="1:41" ht="15">
      <c r="A67" s="52" t="s">
        <v>49</v>
      </c>
      <c r="E67" s="52" t="s">
        <v>49</v>
      </c>
      <c r="P67" s="9" t="s">
        <v>1397</v>
      </c>
      <c r="T67" s="9" t="s">
        <v>1027</v>
      </c>
      <c r="U67" s="208" t="s">
        <v>1572</v>
      </c>
      <c r="X67" s="35" t="s">
        <v>376</v>
      </c>
      <c r="AG67" s="9" t="s">
        <v>367</v>
      </c>
      <c r="AH67" s="14">
        <f>AH66-AH65</f>
        <v>23368</v>
      </c>
      <c r="AI67" s="14" t="s">
        <v>1557</v>
      </c>
      <c r="AN67" s="14"/>
      <c r="AO67" s="14"/>
    </row>
    <row r="68" spans="1:60" ht="15">
      <c r="A68" s="52" t="s">
        <v>137</v>
      </c>
      <c r="E68" s="52" t="s">
        <v>137</v>
      </c>
      <c r="P68" s="9" t="s">
        <v>1059</v>
      </c>
      <c r="AH68" s="14"/>
      <c r="BG68" s="106"/>
      <c r="BH68" s="225"/>
    </row>
    <row r="69" spans="1:20" ht="15">
      <c r="A69" s="52" t="s">
        <v>547</v>
      </c>
      <c r="E69" s="52" t="s">
        <v>547</v>
      </c>
      <c r="P69" s="9" t="s">
        <v>1319</v>
      </c>
      <c r="T69" s="9" t="s">
        <v>1455</v>
      </c>
    </row>
    <row r="70" spans="1:20" ht="15">
      <c r="A70" s="52" t="s">
        <v>1147</v>
      </c>
      <c r="E70" s="52"/>
      <c r="T70" s="9" t="s">
        <v>1271</v>
      </c>
    </row>
    <row r="71" spans="1:5" ht="15">
      <c r="A71" s="52"/>
      <c r="E71" s="52"/>
    </row>
    <row r="73" ht="15">
      <c r="E73" s="52"/>
    </row>
    <row r="74" spans="1:5" ht="15">
      <c r="A74" s="52"/>
      <c r="E74" s="52"/>
    </row>
    <row r="75" spans="1:5" ht="15">
      <c r="A75" s="52"/>
      <c r="E75" s="52"/>
    </row>
    <row r="76" spans="1:5" ht="15">
      <c r="A76" s="52"/>
      <c r="E76" s="52"/>
    </row>
    <row r="77" ht="15">
      <c r="A77" s="52"/>
    </row>
    <row r="86" spans="32:43" ht="15">
      <c r="AF86" s="43" t="s">
        <v>1865</v>
      </c>
      <c r="AP86" s="9"/>
      <c r="AQ86" s="9"/>
    </row>
    <row r="87" spans="32:43" ht="15">
      <c r="AF87" s="9"/>
      <c r="AG87" s="9" t="s">
        <v>62</v>
      </c>
      <c r="AP87" s="9"/>
      <c r="AQ87" s="9"/>
    </row>
    <row r="88" ht="15">
      <c r="AG88" s="9" t="s">
        <v>1819</v>
      </c>
    </row>
    <row r="89" ht="15">
      <c r="AG89" s="9" t="s">
        <v>1884</v>
      </c>
    </row>
    <row r="92" ht="15">
      <c r="AF92" s="34" t="s">
        <v>1820</v>
      </c>
    </row>
    <row r="93" ht="15">
      <c r="AG93" s="9" t="s">
        <v>260</v>
      </c>
    </row>
    <row r="94" ht="15">
      <c r="AG94" s="9" t="s">
        <v>554</v>
      </c>
    </row>
    <row r="97" ht="15">
      <c r="AF97" s="174" t="s">
        <v>555</v>
      </c>
    </row>
    <row r="99" ht="15">
      <c r="AG99" s="9" t="s">
        <v>844</v>
      </c>
    </row>
    <row r="103" ht="15">
      <c r="AF103" s="34" t="s">
        <v>472</v>
      </c>
    </row>
    <row r="104" spans="32:54" ht="15">
      <c r="AF104" s="9"/>
      <c r="AG104" s="226" t="s">
        <v>16</v>
      </c>
      <c r="AH104" s="227" t="s">
        <v>17</v>
      </c>
      <c r="AI104" s="227" t="s">
        <v>18</v>
      </c>
      <c r="AN104" s="227"/>
      <c r="AO104" s="227"/>
      <c r="AP104" s="227" t="s">
        <v>1812</v>
      </c>
      <c r="AQ104" s="227" t="s">
        <v>440</v>
      </c>
      <c r="AR104" s="227" t="s">
        <v>441</v>
      </c>
      <c r="AS104" s="227" t="s">
        <v>442</v>
      </c>
      <c r="AT104" s="227" t="s">
        <v>443</v>
      </c>
      <c r="AZ104" s="227" t="s">
        <v>449</v>
      </c>
      <c r="BA104" s="227" t="s">
        <v>450</v>
      </c>
      <c r="BB104" s="227" t="s">
        <v>147</v>
      </c>
    </row>
    <row r="105" spans="33:54" ht="15">
      <c r="AG105" s="226">
        <v>1</v>
      </c>
      <c r="AH105" s="227">
        <v>0</v>
      </c>
      <c r="AI105" s="227">
        <v>0</v>
      </c>
      <c r="AN105" s="227"/>
      <c r="AO105" s="227"/>
      <c r="AP105" s="227">
        <v>0</v>
      </c>
      <c r="AQ105" s="227">
        <v>0</v>
      </c>
      <c r="AR105" s="227">
        <v>0</v>
      </c>
      <c r="AS105" s="227">
        <v>0</v>
      </c>
      <c r="AT105" s="227">
        <v>0</v>
      </c>
      <c r="AZ105" s="227">
        <v>0</v>
      </c>
      <c r="BA105" s="227">
        <v>0</v>
      </c>
      <c r="BB105" s="227">
        <v>0</v>
      </c>
    </row>
    <row r="106" spans="33:54" ht="15">
      <c r="AG106" s="226" t="s">
        <v>1334</v>
      </c>
      <c r="AH106" s="227" t="s">
        <v>1335</v>
      </c>
      <c r="AI106" s="227" t="s">
        <v>1054</v>
      </c>
      <c r="AN106" s="227"/>
      <c r="AO106" s="227"/>
      <c r="AP106" s="227" t="s">
        <v>1055</v>
      </c>
      <c r="AQ106" s="227" t="s">
        <v>714</v>
      </c>
      <c r="AR106" s="227" t="s">
        <v>1087</v>
      </c>
      <c r="AS106" s="227" t="s">
        <v>1088</v>
      </c>
      <c r="AT106" s="227" t="s">
        <v>1089</v>
      </c>
      <c r="AZ106" s="227" t="s">
        <v>282</v>
      </c>
      <c r="BA106" s="227" t="s">
        <v>283</v>
      </c>
      <c r="BB106" s="227" t="s">
        <v>325</v>
      </c>
    </row>
    <row r="107" ht="15">
      <c r="AY107" s="227" t="s">
        <v>448</v>
      </c>
    </row>
    <row r="108" spans="32:51" ht="15">
      <c r="AF108" s="34" t="s">
        <v>275</v>
      </c>
      <c r="AY108" s="227">
        <v>0</v>
      </c>
    </row>
    <row r="109" spans="32:51" ht="15">
      <c r="AF109" s="9"/>
      <c r="AG109" s="228">
        <v>1</v>
      </c>
      <c r="AU109" s="227" t="s">
        <v>444</v>
      </c>
      <c r="AV109" s="227" t="s">
        <v>445</v>
      </c>
      <c r="AW109" s="227" t="s">
        <v>446</v>
      </c>
      <c r="AX109" s="227" t="s">
        <v>447</v>
      </c>
      <c r="AY109" s="227" t="s">
        <v>281</v>
      </c>
    </row>
    <row r="110" spans="47:50" ht="15">
      <c r="AU110" s="227">
        <v>0</v>
      </c>
      <c r="AV110" s="227">
        <v>0</v>
      </c>
      <c r="AW110" s="227">
        <v>0</v>
      </c>
      <c r="AX110" s="227">
        <v>0</v>
      </c>
    </row>
    <row r="111" spans="47:50" ht="15">
      <c r="AU111" s="227" t="s">
        <v>1090</v>
      </c>
      <c r="AV111" s="227" t="s">
        <v>686</v>
      </c>
      <c r="AW111" s="227" t="s">
        <v>687</v>
      </c>
      <c r="AX111" s="227" t="s">
        <v>688</v>
      </c>
    </row>
    <row r="113" ht="15">
      <c r="AF113" s="34" t="s">
        <v>855</v>
      </c>
    </row>
    <row r="114" ht="15">
      <c r="AG114" s="9" t="s">
        <v>1209</v>
      </c>
    </row>
    <row r="115" ht="15">
      <c r="AG115" s="9" t="s">
        <v>917</v>
      </c>
    </row>
    <row r="116" ht="15">
      <c r="AG116" s="9" t="s">
        <v>1247</v>
      </c>
    </row>
    <row r="117" ht="15">
      <c r="AG117" s="9" t="s">
        <v>143</v>
      </c>
    </row>
    <row r="118" ht="15">
      <c r="AG118" s="9" t="s">
        <v>144</v>
      </c>
    </row>
    <row r="119" ht="15">
      <c r="AG119" s="9" t="s">
        <v>1283</v>
      </c>
    </row>
    <row r="120" ht="15">
      <c r="AG120" s="9" t="s">
        <v>377</v>
      </c>
    </row>
    <row r="121" ht="15">
      <c r="AG121" s="9" t="s">
        <v>29</v>
      </c>
    </row>
    <row r="122" ht="15">
      <c r="AG122" s="9" t="s">
        <v>866</v>
      </c>
    </row>
    <row r="123" ht="15">
      <c r="AG123" s="9" t="s">
        <v>1915</v>
      </c>
    </row>
    <row r="124" ht="15">
      <c r="AG124" s="9" t="s">
        <v>566</v>
      </c>
    </row>
    <row r="125" ht="15">
      <c r="AG125" s="9" t="s">
        <v>1915</v>
      </c>
    </row>
    <row r="126" ht="15">
      <c r="AG126" s="9" t="s">
        <v>692</v>
      </c>
    </row>
    <row r="127" ht="15">
      <c r="AG127" s="9" t="s">
        <v>1915</v>
      </c>
    </row>
    <row r="128" ht="15">
      <c r="AG128" s="9" t="s">
        <v>1101</v>
      </c>
    </row>
    <row r="129" ht="15">
      <c r="AG129" s="9" t="s">
        <v>1915</v>
      </c>
    </row>
    <row r="130" ht="15">
      <c r="AG130" s="9" t="s">
        <v>1102</v>
      </c>
    </row>
    <row r="131" ht="15">
      <c r="AG131" s="9" t="s">
        <v>1915</v>
      </c>
    </row>
    <row r="132" ht="15">
      <c r="AG132" s="9" t="s">
        <v>1280</v>
      </c>
    </row>
    <row r="133" ht="15">
      <c r="AG133" s="9" t="s">
        <v>1915</v>
      </c>
    </row>
    <row r="134" ht="15">
      <c r="AG134" s="9" t="s">
        <v>1049</v>
      </c>
    </row>
    <row r="135" ht="15">
      <c r="AG135" s="9" t="s">
        <v>1915</v>
      </c>
    </row>
    <row r="136" ht="15">
      <c r="AG136" s="9" t="s">
        <v>59</v>
      </c>
    </row>
    <row r="137" ht="15">
      <c r="AG137" s="9" t="s">
        <v>1208</v>
      </c>
    </row>
    <row r="138" spans="33:34" ht="15">
      <c r="AG138" s="9" t="s">
        <v>332</v>
      </c>
      <c r="AH138" s="9" t="s">
        <v>1557</v>
      </c>
    </row>
    <row r="139" ht="15">
      <c r="AG139" s="9" t="s">
        <v>1915</v>
      </c>
    </row>
    <row r="140" ht="15">
      <c r="AG140" s="9" t="s">
        <v>333</v>
      </c>
    </row>
    <row r="141" ht="15">
      <c r="AG141" s="9" t="s">
        <v>1915</v>
      </c>
    </row>
    <row r="142" ht="15">
      <c r="AG142" s="9" t="s">
        <v>1440</v>
      </c>
    </row>
    <row r="143" ht="15">
      <c r="AG143" s="9" t="s">
        <v>1915</v>
      </c>
    </row>
    <row r="144" ht="15">
      <c r="AG144" s="9" t="s">
        <v>1407</v>
      </c>
    </row>
    <row r="145" ht="15">
      <c r="AG145" s="9" t="s">
        <v>1915</v>
      </c>
    </row>
    <row r="146" ht="15">
      <c r="AG146" s="9" t="s">
        <v>65</v>
      </c>
    </row>
    <row r="147" ht="15">
      <c r="AG147" s="9" t="s">
        <v>1915</v>
      </c>
    </row>
    <row r="148" ht="15">
      <c r="AG148" s="9" t="s">
        <v>1150</v>
      </c>
    </row>
    <row r="149" ht="15">
      <c r="AG149" s="9" t="s">
        <v>1915</v>
      </c>
    </row>
    <row r="150" ht="15">
      <c r="AG150" s="9" t="s">
        <v>504</v>
      </c>
    </row>
    <row r="151" ht="15">
      <c r="AG151" s="9" t="s">
        <v>1915</v>
      </c>
    </row>
    <row r="152" ht="15">
      <c r="AG152" s="9" t="s">
        <v>131</v>
      </c>
    </row>
    <row r="153" ht="15">
      <c r="AG153" s="9" t="s">
        <v>1915</v>
      </c>
    </row>
    <row r="154" ht="15">
      <c r="AG154" s="9" t="s">
        <v>1505</v>
      </c>
    </row>
    <row r="155" ht="15">
      <c r="AG155" s="9" t="s">
        <v>1915</v>
      </c>
    </row>
    <row r="156" ht="15">
      <c r="AG156" s="9" t="s">
        <v>1094</v>
      </c>
    </row>
    <row r="157" ht="15">
      <c r="AG157" s="9" t="s">
        <v>1915</v>
      </c>
    </row>
    <row r="158" ht="15">
      <c r="AG158" s="9" t="s">
        <v>1797</v>
      </c>
    </row>
    <row r="159" ht="15">
      <c r="AG159" s="9" t="s">
        <v>1915</v>
      </c>
    </row>
    <row r="160" ht="15">
      <c r="AG160" s="9" t="s">
        <v>1522</v>
      </c>
    </row>
    <row r="161" ht="15">
      <c r="AG161" s="9" t="s">
        <v>1915</v>
      </c>
    </row>
    <row r="162" ht="15">
      <c r="AG162" s="9" t="s">
        <v>1893</v>
      </c>
    </row>
    <row r="163" ht="15">
      <c r="AG163" s="9" t="s">
        <v>334</v>
      </c>
    </row>
    <row r="164" ht="15">
      <c r="AG164" s="9" t="s">
        <v>1208</v>
      </c>
    </row>
    <row r="165" ht="15">
      <c r="AG165" s="9" t="s">
        <v>1894</v>
      </c>
    </row>
    <row r="166" ht="15">
      <c r="AG166" s="9" t="s">
        <v>1096</v>
      </c>
    </row>
    <row r="167" ht="15">
      <c r="AG167" s="9" t="s">
        <v>1208</v>
      </c>
    </row>
    <row r="168" ht="15">
      <c r="AG168" s="9" t="s">
        <v>1884</v>
      </c>
    </row>
    <row r="170" spans="32:33" ht="15">
      <c r="AF170" s="34" t="s">
        <v>17</v>
      </c>
      <c r="AG170" s="9" t="s">
        <v>1209</v>
      </c>
    </row>
    <row r="171" ht="15">
      <c r="AG171" s="9" t="s">
        <v>917</v>
      </c>
    </row>
    <row r="172" ht="15">
      <c r="AG172" s="9" t="s">
        <v>1247</v>
      </c>
    </row>
    <row r="173" ht="15">
      <c r="AG173" s="9" t="s">
        <v>143</v>
      </c>
    </row>
    <row r="174" ht="15">
      <c r="AG174" s="9" t="s">
        <v>144</v>
      </c>
    </row>
    <row r="175" ht="15">
      <c r="AG175" s="9" t="s">
        <v>1283</v>
      </c>
    </row>
    <row r="176" ht="15">
      <c r="AG176" s="9" t="s">
        <v>377</v>
      </c>
    </row>
    <row r="177" ht="15">
      <c r="AG177" s="9" t="s">
        <v>29</v>
      </c>
    </row>
    <row r="178" ht="15">
      <c r="AG178" s="9" t="s">
        <v>692</v>
      </c>
    </row>
    <row r="179" ht="15">
      <c r="AG179" s="9" t="s">
        <v>1915</v>
      </c>
    </row>
    <row r="184" spans="32:33" ht="15">
      <c r="AF184" s="34" t="s">
        <v>18</v>
      </c>
      <c r="AG184" s="9" t="s">
        <v>377</v>
      </c>
    </row>
    <row r="185" spans="32:33" ht="15">
      <c r="AF185" s="34"/>
      <c r="AG185" s="9" t="s">
        <v>29</v>
      </c>
    </row>
    <row r="186" spans="32:33" ht="15">
      <c r="AF186" s="34"/>
      <c r="AG186" s="9" t="s">
        <v>1101</v>
      </c>
    </row>
    <row r="187" spans="32:33" ht="15">
      <c r="AF187" s="34"/>
      <c r="AG187" s="9" t="s">
        <v>1915</v>
      </c>
    </row>
    <row r="188" ht="15">
      <c r="AF188" s="34"/>
    </row>
    <row r="189" ht="15">
      <c r="AF189" s="34"/>
    </row>
    <row r="190" spans="32:33" ht="15">
      <c r="AF190" s="34" t="s">
        <v>1812</v>
      </c>
      <c r="AG190" s="9" t="s">
        <v>377</v>
      </c>
    </row>
    <row r="191" spans="32:33" ht="15">
      <c r="AF191" s="34"/>
      <c r="AG191" s="9" t="s">
        <v>29</v>
      </c>
    </row>
    <row r="192" spans="32:33" ht="15">
      <c r="AF192" s="34"/>
      <c r="AG192" s="9" t="s">
        <v>1102</v>
      </c>
    </row>
    <row r="193" spans="32:33" ht="15">
      <c r="AF193" s="34"/>
      <c r="AG193" s="9" t="s">
        <v>1915</v>
      </c>
    </row>
    <row r="194" ht="15">
      <c r="AF194" s="34"/>
    </row>
    <row r="195" ht="15">
      <c r="AF195" s="34"/>
    </row>
    <row r="196" spans="32:33" ht="15">
      <c r="AF196" s="34" t="s">
        <v>440</v>
      </c>
      <c r="AG196" s="9" t="s">
        <v>377</v>
      </c>
    </row>
    <row r="197" spans="32:33" ht="15">
      <c r="AF197" s="34"/>
      <c r="AG197" s="9" t="s">
        <v>29</v>
      </c>
    </row>
    <row r="198" spans="32:33" ht="15">
      <c r="AF198" s="34"/>
      <c r="AG198" s="9" t="s">
        <v>1280</v>
      </c>
    </row>
    <row r="199" spans="32:33" ht="15">
      <c r="AF199" s="34"/>
      <c r="AG199" s="9" t="s">
        <v>1915</v>
      </c>
    </row>
    <row r="200" ht="15">
      <c r="AF200" s="34"/>
    </row>
    <row r="201" ht="15">
      <c r="AF201" s="34"/>
    </row>
    <row r="202" spans="32:33" ht="15">
      <c r="AF202" s="34" t="s">
        <v>441</v>
      </c>
      <c r="AG202" s="9" t="s">
        <v>377</v>
      </c>
    </row>
    <row r="203" spans="32:33" ht="15">
      <c r="AF203" s="34"/>
      <c r="AG203" s="9" t="s">
        <v>29</v>
      </c>
    </row>
    <row r="204" spans="32:33" ht="15">
      <c r="AF204" s="34"/>
      <c r="AG204" s="9" t="s">
        <v>1049</v>
      </c>
    </row>
    <row r="205" spans="32:33" ht="15">
      <c r="AF205" s="34"/>
      <c r="AG205" s="9" t="s">
        <v>1915</v>
      </c>
    </row>
    <row r="206" ht="15">
      <c r="AF206" s="34"/>
    </row>
    <row r="207" ht="15">
      <c r="AF207" s="34"/>
    </row>
    <row r="208" spans="32:33" ht="15">
      <c r="AF208" s="34" t="s">
        <v>442</v>
      </c>
      <c r="AG208" s="9" t="s">
        <v>1339</v>
      </c>
    </row>
    <row r="209" spans="32:33" ht="15">
      <c r="AF209" s="34"/>
      <c r="AG209" s="9" t="s">
        <v>1883</v>
      </c>
    </row>
    <row r="210" spans="32:33" ht="15">
      <c r="AF210" s="34"/>
      <c r="AG210" s="9" t="s">
        <v>377</v>
      </c>
    </row>
    <row r="211" spans="32:33" ht="15">
      <c r="AF211" s="34"/>
      <c r="AG211" s="9" t="s">
        <v>29</v>
      </c>
    </row>
    <row r="212" spans="32:33" ht="15">
      <c r="AF212" s="103"/>
      <c r="AG212" s="9" t="s">
        <v>1450</v>
      </c>
    </row>
    <row r="213" spans="32:33" ht="15">
      <c r="AF213" s="34"/>
      <c r="AG213" s="9" t="s">
        <v>1915</v>
      </c>
    </row>
    <row r="214" ht="15">
      <c r="AF214" s="34"/>
    </row>
    <row r="215" ht="15">
      <c r="AF215" s="34"/>
    </row>
    <row r="216" spans="32:33" ht="15">
      <c r="AF216" s="34" t="s">
        <v>443</v>
      </c>
      <c r="AG216" s="9" t="s">
        <v>377</v>
      </c>
    </row>
    <row r="217" spans="32:33" ht="15">
      <c r="AF217" s="34"/>
      <c r="AG217" s="9" t="s">
        <v>29</v>
      </c>
    </row>
    <row r="218" spans="32:33" ht="15">
      <c r="AF218" s="34"/>
      <c r="AG218" s="9" t="s">
        <v>332</v>
      </c>
    </row>
    <row r="219" spans="32:33" ht="15">
      <c r="AF219" s="34"/>
      <c r="AG219" s="9" t="s">
        <v>1915</v>
      </c>
    </row>
    <row r="220" ht="15">
      <c r="AF220" s="34"/>
    </row>
    <row r="221" ht="15">
      <c r="AF221" s="34"/>
    </row>
    <row r="222" spans="32:33" ht="15">
      <c r="AF222" s="34" t="s">
        <v>444</v>
      </c>
      <c r="AG222" s="9" t="s">
        <v>377</v>
      </c>
    </row>
    <row r="223" spans="32:33" ht="15">
      <c r="AF223" s="34"/>
      <c r="AG223" s="9" t="s">
        <v>29</v>
      </c>
    </row>
    <row r="224" spans="32:33" ht="15">
      <c r="AF224" s="34"/>
      <c r="AG224" s="9" t="s">
        <v>333</v>
      </c>
    </row>
    <row r="225" spans="32:33" ht="15">
      <c r="AF225" s="34"/>
      <c r="AG225" s="9" t="s">
        <v>1915</v>
      </c>
    </row>
    <row r="226" ht="15">
      <c r="AF226" s="34"/>
    </row>
    <row r="227" ht="15">
      <c r="AF227" s="34" t="s">
        <v>445</v>
      </c>
    </row>
    <row r="228" spans="32:33" ht="15">
      <c r="AF228" s="9"/>
      <c r="AG228" s="9" t="s">
        <v>377</v>
      </c>
    </row>
    <row r="229" ht="15">
      <c r="AG229" s="9" t="s">
        <v>29</v>
      </c>
    </row>
    <row r="230" ht="15">
      <c r="AG230" s="9" t="s">
        <v>1440</v>
      </c>
    </row>
    <row r="231" ht="15">
      <c r="AG231" s="9" t="s">
        <v>1915</v>
      </c>
    </row>
    <row r="232" ht="15">
      <c r="AG232" s="9" t="s">
        <v>1407</v>
      </c>
    </row>
    <row r="233" ht="15">
      <c r="AG233" s="9" t="s">
        <v>1915</v>
      </c>
    </row>
    <row r="235" ht="15">
      <c r="AF235" s="34"/>
    </row>
    <row r="236" spans="32:33" ht="15">
      <c r="AF236" s="34" t="s">
        <v>446</v>
      </c>
      <c r="AG236" s="9" t="s">
        <v>377</v>
      </c>
    </row>
    <row r="237" spans="32:33" ht="15">
      <c r="AF237" s="34"/>
      <c r="AG237" s="9" t="s">
        <v>29</v>
      </c>
    </row>
    <row r="238" spans="32:33" ht="15">
      <c r="AF238" s="34"/>
      <c r="AG238" s="9" t="s">
        <v>65</v>
      </c>
    </row>
    <row r="239" spans="32:33" ht="15">
      <c r="AF239" s="34"/>
      <c r="AG239" s="9" t="s">
        <v>1915</v>
      </c>
    </row>
    <row r="240" ht="15">
      <c r="AF240" s="34"/>
    </row>
    <row r="241" ht="15">
      <c r="AF241" s="34" t="s">
        <v>447</v>
      </c>
    </row>
    <row r="242" spans="32:33" ht="15">
      <c r="AF242" s="103"/>
      <c r="AG242" s="9" t="s">
        <v>377</v>
      </c>
    </row>
    <row r="243" spans="32:33" ht="15">
      <c r="AF243" s="34"/>
      <c r="AG243" s="9" t="s">
        <v>29</v>
      </c>
    </row>
    <row r="244" spans="32:33" ht="15">
      <c r="AF244" s="34"/>
      <c r="AG244" s="9" t="s">
        <v>1150</v>
      </c>
    </row>
    <row r="245" spans="32:33" ht="15">
      <c r="AF245" s="34"/>
      <c r="AG245" s="9" t="s">
        <v>1915</v>
      </c>
    </row>
    <row r="246" spans="32:33" ht="15">
      <c r="AF246" s="34"/>
      <c r="AG246" s="9" t="s">
        <v>504</v>
      </c>
    </row>
    <row r="247" spans="32:33" ht="15">
      <c r="AF247" s="34"/>
      <c r="AG247" s="9" t="s">
        <v>1915</v>
      </c>
    </row>
    <row r="248" ht="15">
      <c r="AF248" s="34"/>
    </row>
    <row r="249" ht="15">
      <c r="AF249" s="34"/>
    </row>
    <row r="250" spans="32:33" ht="15">
      <c r="AF250" s="34" t="s">
        <v>448</v>
      </c>
      <c r="AG250" s="9" t="s">
        <v>377</v>
      </c>
    </row>
    <row r="251" spans="32:33" ht="15">
      <c r="AF251" s="34"/>
      <c r="AG251" s="9" t="s">
        <v>29</v>
      </c>
    </row>
    <row r="252" spans="32:33" ht="15">
      <c r="AF252" s="34"/>
      <c r="AG252" s="9" t="s">
        <v>131</v>
      </c>
    </row>
    <row r="253" spans="32:33" ht="15">
      <c r="AF253" s="34"/>
      <c r="AG253" s="9" t="s">
        <v>1915</v>
      </c>
    </row>
    <row r="254" ht="15">
      <c r="AF254" s="34"/>
    </row>
    <row r="255" ht="15">
      <c r="AF255" s="34"/>
    </row>
    <row r="256" spans="32:33" ht="15">
      <c r="AF256" s="34" t="s">
        <v>449</v>
      </c>
      <c r="AG256" s="9" t="s">
        <v>377</v>
      </c>
    </row>
    <row r="257" spans="32:33" ht="15">
      <c r="AF257" s="34"/>
      <c r="AG257" s="9" t="s">
        <v>29</v>
      </c>
    </row>
    <row r="258" spans="32:33" ht="15">
      <c r="AF258" s="34"/>
      <c r="AG258" s="9" t="s">
        <v>1505</v>
      </c>
    </row>
    <row r="259" spans="32:33" ht="15">
      <c r="AF259" s="34"/>
      <c r="AG259" s="9" t="s">
        <v>1915</v>
      </c>
    </row>
    <row r="260" ht="15">
      <c r="AF260" s="34"/>
    </row>
    <row r="261" ht="15">
      <c r="AF261" s="34" t="s">
        <v>450</v>
      </c>
    </row>
    <row r="262" spans="32:33" ht="15">
      <c r="AF262" s="103"/>
      <c r="AG262" s="9" t="s">
        <v>377</v>
      </c>
    </row>
    <row r="263" spans="32:33" ht="15">
      <c r="AF263" s="34"/>
      <c r="AG263" s="9" t="s">
        <v>29</v>
      </c>
    </row>
    <row r="264" spans="32:33" ht="15">
      <c r="AF264" s="34"/>
      <c r="AG264" s="9" t="s">
        <v>1094</v>
      </c>
    </row>
    <row r="265" spans="32:33" ht="15">
      <c r="AF265" s="34"/>
      <c r="AG265" s="9" t="s">
        <v>1915</v>
      </c>
    </row>
    <row r="266" spans="32:33" ht="15">
      <c r="AF266" s="34"/>
      <c r="AG266" s="9" t="s">
        <v>1797</v>
      </c>
    </row>
    <row r="267" spans="32:33" ht="15">
      <c r="AF267" s="34"/>
      <c r="AG267" s="9" t="s">
        <v>1915</v>
      </c>
    </row>
    <row r="268" ht="15">
      <c r="AF268" s="34"/>
    </row>
    <row r="269" ht="15">
      <c r="AF269" s="34"/>
    </row>
    <row r="270" spans="32:33" ht="15">
      <c r="AF270" s="34" t="s">
        <v>1451</v>
      </c>
      <c r="AG270" s="9" t="s">
        <v>377</v>
      </c>
    </row>
    <row r="271" ht="15">
      <c r="AG271" s="9" t="s">
        <v>29</v>
      </c>
    </row>
    <row r="272" ht="15">
      <c r="AG272" s="9" t="s">
        <v>1522</v>
      </c>
    </row>
    <row r="273" ht="15">
      <c r="AG273" s="9" t="s">
        <v>1915</v>
      </c>
    </row>
    <row r="274" spans="32:33" ht="15">
      <c r="AF274" s="34" t="s">
        <v>395</v>
      </c>
      <c r="AG274" s="9" t="s">
        <v>1893</v>
      </c>
    </row>
    <row r="275" ht="15">
      <c r="AG275" s="9" t="s">
        <v>334</v>
      </c>
    </row>
    <row r="276" ht="15">
      <c r="AG276" s="9" t="s">
        <v>1208</v>
      </c>
    </row>
    <row r="277" ht="15">
      <c r="AG277" s="9" t="s">
        <v>1894</v>
      </c>
    </row>
    <row r="278" ht="15">
      <c r="AG278" s="9" t="s">
        <v>1096</v>
      </c>
    </row>
    <row r="279" ht="15">
      <c r="AG279" s="9" t="s">
        <v>1208</v>
      </c>
    </row>
    <row r="280" ht="15">
      <c r="AG280" s="9" t="s">
        <v>1884</v>
      </c>
    </row>
    <row r="282" ht="15">
      <c r="AF282" s="43" t="s">
        <v>1452</v>
      </c>
    </row>
    <row r="283" spans="32:33" ht="15">
      <c r="AF283" s="43"/>
      <c r="AG283" s="9" t="s">
        <v>1444</v>
      </c>
    </row>
    <row r="284" spans="32:33" ht="15">
      <c r="AF284" s="43"/>
      <c r="AG284" s="9" t="s">
        <v>1883</v>
      </c>
    </row>
    <row r="285" spans="32:33" ht="15">
      <c r="AF285" s="43"/>
      <c r="AG285" s="9" t="s">
        <v>1339</v>
      </c>
    </row>
    <row r="286" spans="32:33" ht="15">
      <c r="AF286" s="43"/>
      <c r="AG286" s="9" t="s">
        <v>1883</v>
      </c>
    </row>
    <row r="287" spans="32:33" ht="15">
      <c r="AF287" s="9"/>
      <c r="AG287" s="9" t="s">
        <v>1420</v>
      </c>
    </row>
    <row r="288" spans="32:33" ht="15">
      <c r="AF288" s="9"/>
      <c r="AG288" s="9" t="s">
        <v>1472</v>
      </c>
    </row>
    <row r="289" spans="32:33" ht="15">
      <c r="AF289" s="9"/>
      <c r="AG289" s="9" t="s">
        <v>1885</v>
      </c>
    </row>
    <row r="290" spans="32:33" ht="15">
      <c r="AF290" s="9"/>
      <c r="AG290" s="9" t="s">
        <v>1473</v>
      </c>
    </row>
    <row r="291" spans="32:33" ht="15">
      <c r="AF291" s="9"/>
      <c r="AG291" s="9" t="s">
        <v>1457</v>
      </c>
    </row>
    <row r="292" spans="32:33" ht="15">
      <c r="AF292" s="9"/>
      <c r="AG292" s="9" t="s">
        <v>1387</v>
      </c>
    </row>
    <row r="293" spans="32:33" ht="15">
      <c r="AF293" s="9"/>
      <c r="AG293" s="9" t="s">
        <v>684</v>
      </c>
    </row>
    <row r="294" spans="32:33" ht="15">
      <c r="AF294" s="9"/>
      <c r="AG294" s="9" t="s">
        <v>1458</v>
      </c>
    </row>
    <row r="295" spans="32:33" ht="15">
      <c r="AF295" s="9"/>
      <c r="AG295" s="9" t="s">
        <v>1637</v>
      </c>
    </row>
    <row r="296" spans="32:33" ht="15">
      <c r="AF296" s="9"/>
      <c r="AG296" s="9" t="s">
        <v>1173</v>
      </c>
    </row>
    <row r="297" spans="32:33" ht="15">
      <c r="AF297" s="9"/>
      <c r="AG297" s="9" t="s">
        <v>28</v>
      </c>
    </row>
    <row r="298" spans="32:33" ht="15">
      <c r="AF298" s="9"/>
      <c r="AG298" s="9" t="s">
        <v>605</v>
      </c>
    </row>
    <row r="299" spans="32:33" ht="15">
      <c r="AF299" s="9"/>
      <c r="AG299" s="9" t="s">
        <v>1209</v>
      </c>
    </row>
    <row r="300" spans="32:33" ht="15">
      <c r="AF300" s="9"/>
      <c r="AG300" s="9" t="s">
        <v>917</v>
      </c>
    </row>
    <row r="301" spans="32:33" ht="15">
      <c r="AF301" s="9"/>
      <c r="AG301" s="9" t="s">
        <v>1247</v>
      </c>
    </row>
    <row r="302" spans="32:33" ht="15">
      <c r="AF302" s="9"/>
      <c r="AG302" s="9" t="s">
        <v>143</v>
      </c>
    </row>
    <row r="303" spans="32:33" ht="15">
      <c r="AF303" s="9"/>
      <c r="AG303" s="9" t="s">
        <v>144</v>
      </c>
    </row>
    <row r="304" spans="32:33" ht="15">
      <c r="AF304" s="9"/>
      <c r="AG304" s="9" t="s">
        <v>1283</v>
      </c>
    </row>
    <row r="305" spans="32:33" ht="15">
      <c r="AF305" s="9"/>
      <c r="AG305" s="9" t="s">
        <v>192</v>
      </c>
    </row>
    <row r="306" spans="32:33" ht="15">
      <c r="AF306" s="9"/>
      <c r="AG306" s="9" t="s">
        <v>1207</v>
      </c>
    </row>
    <row r="307" spans="32:33" ht="15">
      <c r="AF307" s="9"/>
      <c r="AG307" s="9" t="s">
        <v>1208</v>
      </c>
    </row>
    <row r="308" spans="32:33" ht="15">
      <c r="AF308" s="9"/>
      <c r="AG308" s="9" t="s">
        <v>603</v>
      </c>
    </row>
    <row r="309" spans="32:33" ht="15">
      <c r="AF309" s="9"/>
      <c r="AG309" s="9" t="s">
        <v>1209</v>
      </c>
    </row>
    <row r="310" spans="32:33" ht="15">
      <c r="AF310" s="9"/>
      <c r="AG310" s="9" t="s">
        <v>917</v>
      </c>
    </row>
    <row r="311" spans="32:33" ht="15">
      <c r="AF311" s="9"/>
      <c r="AG311" s="9" t="s">
        <v>1247</v>
      </c>
    </row>
    <row r="312" spans="32:33" ht="15">
      <c r="AF312" s="9"/>
      <c r="AG312" s="9" t="s">
        <v>143</v>
      </c>
    </row>
    <row r="313" spans="32:33" ht="15">
      <c r="AF313" s="9"/>
      <c r="AG313" s="9" t="s">
        <v>144</v>
      </c>
    </row>
    <row r="314" spans="32:33" ht="15">
      <c r="AF314" s="9"/>
      <c r="AG314" s="9" t="s">
        <v>1283</v>
      </c>
    </row>
    <row r="315" spans="32:33" ht="15">
      <c r="AF315" s="9"/>
      <c r="AG315" s="9" t="s">
        <v>377</v>
      </c>
    </row>
    <row r="316" spans="32:33" ht="15">
      <c r="AF316" s="9"/>
      <c r="AG316" s="9" t="s">
        <v>378</v>
      </c>
    </row>
    <row r="317" spans="32:33" ht="15">
      <c r="AF317" s="9"/>
      <c r="AG317" s="9" t="s">
        <v>1208</v>
      </c>
    </row>
    <row r="318" spans="32:33" ht="15">
      <c r="AF318" s="9"/>
      <c r="AG318" s="9" t="s">
        <v>1406</v>
      </c>
    </row>
    <row r="319" spans="32:33" ht="15">
      <c r="AF319" s="9"/>
      <c r="AG319" s="9" t="s">
        <v>1208</v>
      </c>
    </row>
    <row r="320" spans="32:33" ht="15">
      <c r="AF320" s="9"/>
      <c r="AG320" s="9" t="s">
        <v>956</v>
      </c>
    </row>
    <row r="321" spans="32:33" ht="15">
      <c r="AF321" s="9"/>
      <c r="AG321" s="9" t="s">
        <v>379</v>
      </c>
    </row>
    <row r="322" spans="32:33" ht="15">
      <c r="AF322" s="9"/>
      <c r="AG322" s="9" t="s">
        <v>957</v>
      </c>
    </row>
    <row r="323" spans="32:33" ht="15">
      <c r="AF323" s="9"/>
      <c r="AG323" s="9" t="s">
        <v>380</v>
      </c>
    </row>
    <row r="324" spans="32:33" ht="15">
      <c r="AF324" s="9"/>
      <c r="AG324" s="9" t="s">
        <v>548</v>
      </c>
    </row>
    <row r="325" spans="32:33" ht="15">
      <c r="AF325" s="9"/>
      <c r="AG325" s="9" t="s">
        <v>1208</v>
      </c>
    </row>
    <row r="326" spans="32:33" ht="15">
      <c r="AF326" s="9"/>
      <c r="AG326" s="9" t="s">
        <v>292</v>
      </c>
    </row>
    <row r="327" spans="32:33" ht="15">
      <c r="AF327" s="9"/>
      <c r="AG327" s="9" t="s">
        <v>1208</v>
      </c>
    </row>
    <row r="328" spans="32:33" ht="15">
      <c r="AF328" s="9"/>
      <c r="AG328" s="9" t="s">
        <v>1884</v>
      </c>
    </row>
    <row r="329" ht="15">
      <c r="AF329" s="9"/>
    </row>
    <row r="330" ht="15">
      <c r="AF330" s="9"/>
    </row>
    <row r="331" ht="15">
      <c r="AF331" s="43" t="s">
        <v>396</v>
      </c>
    </row>
    <row r="332" spans="32:33" ht="15">
      <c r="AF332" s="9"/>
      <c r="AG332" s="9" t="s">
        <v>1420</v>
      </c>
    </row>
    <row r="333" spans="32:33" ht="15">
      <c r="AF333" s="9"/>
      <c r="AG333" s="9" t="s">
        <v>1822</v>
      </c>
    </row>
    <row r="334" spans="32:33" ht="15">
      <c r="AF334" s="9"/>
      <c r="AG334" s="9" t="s">
        <v>1879</v>
      </c>
    </row>
    <row r="335" spans="32:33" ht="15">
      <c r="AF335" s="9"/>
      <c r="AG335" s="9" t="s">
        <v>1473</v>
      </c>
    </row>
    <row r="336" spans="32:33" ht="15">
      <c r="AF336" s="9"/>
      <c r="AG336" s="9" t="s">
        <v>1458</v>
      </c>
    </row>
    <row r="337" spans="32:33" ht="15">
      <c r="AF337" s="9"/>
      <c r="AG337" s="9" t="s">
        <v>1823</v>
      </c>
    </row>
    <row r="338" spans="32:33" ht="15">
      <c r="AF338" s="9"/>
      <c r="AG338" s="9" t="s">
        <v>1457</v>
      </c>
    </row>
    <row r="339" spans="32:33" ht="15">
      <c r="AF339" s="9"/>
      <c r="AG339" s="9" t="s">
        <v>1387</v>
      </c>
    </row>
    <row r="340" spans="32:33" ht="15">
      <c r="AF340" s="9"/>
      <c r="AG340" s="9" t="s">
        <v>1824</v>
      </c>
    </row>
    <row r="341" spans="32:33" ht="15">
      <c r="AF341" s="9"/>
      <c r="AG341" s="9" t="s">
        <v>1458</v>
      </c>
    </row>
    <row r="342" spans="32:33" ht="15">
      <c r="AF342" s="9"/>
      <c r="AG342" s="9" t="s">
        <v>1637</v>
      </c>
    </row>
    <row r="343" spans="32:33" ht="15">
      <c r="AF343" s="9"/>
      <c r="AG343" s="9" t="s">
        <v>1173</v>
      </c>
    </row>
    <row r="344" spans="32:33" ht="15">
      <c r="AF344" s="9"/>
      <c r="AG344" s="9" t="s">
        <v>28</v>
      </c>
    </row>
    <row r="345" spans="32:33" ht="15">
      <c r="AF345" s="9"/>
      <c r="AG345" s="9" t="s">
        <v>605</v>
      </c>
    </row>
    <row r="346" spans="32:33" ht="15">
      <c r="AF346" s="9"/>
      <c r="AG346" s="9" t="s">
        <v>1209</v>
      </c>
    </row>
    <row r="347" spans="32:33" ht="15">
      <c r="AF347" s="9"/>
      <c r="AG347" s="9" t="s">
        <v>917</v>
      </c>
    </row>
    <row r="348" spans="32:33" ht="15">
      <c r="AF348" s="9"/>
      <c r="AG348" s="9" t="s">
        <v>1247</v>
      </c>
    </row>
    <row r="349" spans="32:33" ht="15">
      <c r="AF349" s="9"/>
      <c r="AG349" s="9" t="s">
        <v>143</v>
      </c>
    </row>
    <row r="350" spans="32:33" ht="15">
      <c r="AF350" s="9"/>
      <c r="AG350" s="9" t="s">
        <v>144</v>
      </c>
    </row>
    <row r="351" spans="32:33" ht="15">
      <c r="AF351" s="9"/>
      <c r="AG351" s="9" t="s">
        <v>1283</v>
      </c>
    </row>
    <row r="352" spans="32:33" ht="15">
      <c r="AF352" s="9"/>
      <c r="AG352" s="9" t="s">
        <v>192</v>
      </c>
    </row>
    <row r="353" spans="32:33" ht="15">
      <c r="AF353" s="9"/>
      <c r="AG353" s="9" t="s">
        <v>1207</v>
      </c>
    </row>
    <row r="354" spans="32:33" ht="15">
      <c r="AF354" s="9"/>
      <c r="AG354" s="9" t="s">
        <v>1208</v>
      </c>
    </row>
    <row r="355" spans="32:33" ht="15">
      <c r="AF355" s="9"/>
      <c r="AG355" s="9" t="s">
        <v>603</v>
      </c>
    </row>
    <row r="356" spans="32:33" ht="15">
      <c r="AF356" s="9"/>
      <c r="AG356" s="9" t="s">
        <v>1209</v>
      </c>
    </row>
    <row r="357" spans="32:33" ht="15">
      <c r="AF357" s="9"/>
      <c r="AG357" s="9" t="s">
        <v>917</v>
      </c>
    </row>
    <row r="358" spans="32:33" ht="15">
      <c r="AF358" s="9"/>
      <c r="AG358" s="9" t="s">
        <v>1247</v>
      </c>
    </row>
    <row r="359" spans="32:33" ht="15">
      <c r="AF359" s="9"/>
      <c r="AG359" s="9" t="s">
        <v>143</v>
      </c>
    </row>
    <row r="360" spans="32:33" ht="15">
      <c r="AF360" s="9"/>
      <c r="AG360" s="9" t="s">
        <v>144</v>
      </c>
    </row>
    <row r="361" spans="32:33" ht="15">
      <c r="AF361" s="9"/>
      <c r="AG361" s="9" t="s">
        <v>1283</v>
      </c>
    </row>
    <row r="362" spans="32:33" ht="15">
      <c r="AF362" s="9"/>
      <c r="AG362" s="9" t="s">
        <v>377</v>
      </c>
    </row>
    <row r="363" spans="32:33" ht="15">
      <c r="AF363" s="9"/>
      <c r="AG363" s="9" t="s">
        <v>378</v>
      </c>
    </row>
    <row r="364" spans="32:33" ht="15">
      <c r="AF364" s="9"/>
      <c r="AG364" s="9" t="s">
        <v>1208</v>
      </c>
    </row>
    <row r="365" spans="32:33" ht="15">
      <c r="AF365" s="9"/>
      <c r="AG365" s="9" t="s">
        <v>1406</v>
      </c>
    </row>
    <row r="366" spans="32:33" ht="15">
      <c r="AF366" s="9"/>
      <c r="AG366" s="9" t="s">
        <v>1208</v>
      </c>
    </row>
    <row r="367" spans="32:34" ht="15">
      <c r="AF367" s="9"/>
      <c r="AG367" s="9" t="s">
        <v>1758</v>
      </c>
      <c r="AH367" s="9" t="s">
        <v>1557</v>
      </c>
    </row>
    <row r="368" spans="32:33" ht="15">
      <c r="AF368" s="9"/>
      <c r="AG368" s="9" t="s">
        <v>379</v>
      </c>
    </row>
    <row r="369" spans="32:33" ht="15">
      <c r="AF369" s="9"/>
      <c r="AG369" s="9" t="s">
        <v>1759</v>
      </c>
    </row>
    <row r="370" spans="32:33" ht="15">
      <c r="AF370" s="9"/>
      <c r="AG370" s="9" t="s">
        <v>380</v>
      </c>
    </row>
    <row r="371" spans="32:33" ht="15">
      <c r="AF371" s="9"/>
      <c r="AG371" s="9" t="s">
        <v>548</v>
      </c>
    </row>
    <row r="372" spans="32:33" ht="15">
      <c r="AF372" s="9"/>
      <c r="AG372" s="9" t="s">
        <v>1208</v>
      </c>
    </row>
    <row r="373" spans="32:33" ht="15">
      <c r="AF373" s="9"/>
      <c r="AG373" s="9" t="s">
        <v>292</v>
      </c>
    </row>
    <row r="374" spans="32:33" ht="15">
      <c r="AF374" s="9"/>
      <c r="AG374" s="9" t="s">
        <v>1208</v>
      </c>
    </row>
    <row r="375" spans="32:33" ht="15">
      <c r="AF375" s="9"/>
      <c r="AG375" s="9" t="s">
        <v>1884</v>
      </c>
    </row>
    <row r="376" ht="15">
      <c r="AF376" s="9"/>
    </row>
    <row r="8181" spans="57:58" ht="15">
      <c r="BE8181" s="9"/>
      <c r="BF8181" s="9"/>
    </row>
    <row r="8182" spans="23:105" ht="15">
      <c r="W8182" s="9"/>
      <c r="AA8182" s="9"/>
      <c r="AF8182" s="9"/>
      <c r="AJ8182" s="9"/>
      <c r="AK8182" s="9"/>
      <c r="AP8182" s="9"/>
      <c r="AQ8182" s="9"/>
      <c r="AZ8182" s="9"/>
      <c r="BA8182" s="9"/>
      <c r="BE8182" s="9"/>
      <c r="BF8182" s="9"/>
      <c r="BL8182" s="9"/>
      <c r="BM8182" s="9"/>
      <c r="BQ8182" s="9"/>
      <c r="BR8182" s="9"/>
      <c r="BV8182" s="9"/>
      <c r="BW8182" s="9"/>
      <c r="CA8182" s="9"/>
      <c r="CB8182" s="9"/>
      <c r="CG8182" s="9"/>
      <c r="CH8182" s="9"/>
      <c r="CL8182" s="9"/>
      <c r="CM8182" s="9"/>
      <c r="CQ8182" s="9"/>
      <c r="CV8182" s="9"/>
      <c r="DA8182" s="9"/>
    </row>
    <row r="8183" spans="23:105" ht="15">
      <c r="W8183" s="9"/>
      <c r="AA8183" s="9"/>
      <c r="AF8183" s="9"/>
      <c r="AJ8183" s="9"/>
      <c r="AK8183" s="9"/>
      <c r="AP8183" s="9"/>
      <c r="AQ8183" s="9"/>
      <c r="AZ8183" s="9"/>
      <c r="BA8183" s="9"/>
      <c r="BE8183" s="9"/>
      <c r="BF8183" s="9"/>
      <c r="BL8183" s="9"/>
      <c r="BM8183" s="9"/>
      <c r="BQ8183" s="9"/>
      <c r="BR8183" s="9"/>
      <c r="BV8183" s="9"/>
      <c r="BW8183" s="9"/>
      <c r="CA8183" s="9"/>
      <c r="CB8183" s="9"/>
      <c r="CG8183" s="9"/>
      <c r="CH8183" s="9"/>
      <c r="CL8183" s="9"/>
      <c r="CM8183" s="9"/>
      <c r="CQ8183" s="9"/>
      <c r="CV8183" s="9"/>
      <c r="DA8183" s="9"/>
    </row>
    <row r="8184" spans="15:105" ht="15">
      <c r="O8184" s="9"/>
      <c r="W8184" s="9"/>
      <c r="AA8184" s="9"/>
      <c r="AF8184" s="9"/>
      <c r="AJ8184" s="9"/>
      <c r="AK8184" s="9"/>
      <c r="AP8184" s="9"/>
      <c r="AQ8184" s="9"/>
      <c r="AZ8184" s="9"/>
      <c r="BA8184" s="9"/>
      <c r="BE8184" s="9"/>
      <c r="BF8184" s="9"/>
      <c r="BL8184" s="9"/>
      <c r="BM8184" s="9"/>
      <c r="BQ8184" s="9"/>
      <c r="BR8184" s="9"/>
      <c r="BV8184" s="9"/>
      <c r="BW8184" s="9"/>
      <c r="CA8184" s="9"/>
      <c r="CB8184" s="9"/>
      <c r="CG8184" s="9"/>
      <c r="CH8184" s="9"/>
      <c r="CL8184" s="9"/>
      <c r="CM8184" s="9"/>
      <c r="CQ8184" s="9"/>
      <c r="CV8184" s="9"/>
      <c r="DA8184" s="9"/>
    </row>
    <row r="8185" spans="15:105" ht="15">
      <c r="O8185" s="9"/>
      <c r="W8185" s="9"/>
      <c r="AA8185" s="9"/>
      <c r="AF8185" s="9"/>
      <c r="AJ8185" s="9"/>
      <c r="AK8185" s="9"/>
      <c r="AP8185" s="9"/>
      <c r="AQ8185" s="9"/>
      <c r="AZ8185" s="9"/>
      <c r="BA8185" s="9"/>
      <c r="BE8185" s="9"/>
      <c r="BF8185" s="9"/>
      <c r="BL8185" s="9"/>
      <c r="BM8185" s="9"/>
      <c r="BQ8185" s="9"/>
      <c r="BR8185" s="9"/>
      <c r="BV8185" s="9"/>
      <c r="BW8185" s="9"/>
      <c r="CA8185" s="9"/>
      <c r="CB8185" s="9"/>
      <c r="CG8185" s="9"/>
      <c r="CH8185" s="9"/>
      <c r="CL8185" s="9"/>
      <c r="CM8185" s="9"/>
      <c r="CQ8185" s="9"/>
      <c r="CV8185" s="9"/>
      <c r="DA8185" s="9"/>
    </row>
    <row r="8186" spans="15:105" ht="15">
      <c r="O8186" s="9"/>
      <c r="S8186" s="9"/>
      <c r="W8186" s="9"/>
      <c r="AA8186" s="9"/>
      <c r="AF8186" s="9"/>
      <c r="AJ8186" s="9"/>
      <c r="AK8186" s="9"/>
      <c r="AP8186" s="9"/>
      <c r="AQ8186" s="9"/>
      <c r="AZ8186" s="9"/>
      <c r="BA8186" s="9"/>
      <c r="BL8186" s="9"/>
      <c r="BM8186" s="9"/>
      <c r="BQ8186" s="9"/>
      <c r="BR8186" s="9"/>
      <c r="BV8186" s="9"/>
      <c r="BW8186" s="9"/>
      <c r="CA8186" s="9"/>
      <c r="CB8186" s="9"/>
      <c r="CG8186" s="9"/>
      <c r="CH8186" s="9"/>
      <c r="CL8186" s="9"/>
      <c r="CM8186" s="9"/>
      <c r="CQ8186" s="9"/>
      <c r="CV8186" s="9"/>
      <c r="DA8186" s="9"/>
    </row>
    <row r="8187" spans="15:48" ht="15">
      <c r="O8187" s="9"/>
      <c r="S8187" s="9"/>
      <c r="AU8187" s="9"/>
      <c r="AV8187" s="9"/>
    </row>
    <row r="8188" spans="15:48" ht="15">
      <c r="O8188" s="9"/>
      <c r="S8188" s="9"/>
      <c r="AU8188" s="9"/>
      <c r="AV8188" s="9"/>
    </row>
    <row r="8189" spans="19:48" ht="15">
      <c r="S8189" s="9"/>
      <c r="AU8189" s="9"/>
      <c r="AV8189" s="9"/>
    </row>
    <row r="8190" spans="19:48" ht="15">
      <c r="S8190" s="9"/>
      <c r="AU8190" s="9"/>
      <c r="AV8190" s="9"/>
    </row>
    <row r="8191" spans="47:48" ht="15">
      <c r="AU8191" s="9"/>
      <c r="AV8191" s="9"/>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I48"/>
  <sheetViews>
    <sheetView zoomScalePageLayoutView="0" workbookViewId="0" topLeftCell="A1">
      <selection activeCell="D26" sqref="D26"/>
    </sheetView>
  </sheetViews>
  <sheetFormatPr defaultColWidth="9.140625" defaultRowHeight="12.75"/>
  <cols>
    <col min="1" max="1" width="45.140625" style="41" bestFit="1" customWidth="1"/>
    <col min="2" max="2" width="16.57421875" style="41" bestFit="1" customWidth="1"/>
    <col min="3" max="3" width="13.7109375" style="41" customWidth="1"/>
    <col min="4" max="4" width="12.57421875" style="41" customWidth="1"/>
    <col min="5" max="5" width="14.8515625" style="41" customWidth="1"/>
    <col min="6" max="7" width="8.8515625" style="41" customWidth="1"/>
    <col min="8" max="8" width="12.8515625" style="41" bestFit="1" customWidth="1"/>
    <col min="9" max="16" width="8.8515625" style="41" customWidth="1"/>
  </cols>
  <sheetData>
    <row r="1" spans="1:2" ht="12.75">
      <c r="A1" s="229" t="s">
        <v>1107</v>
      </c>
      <c r="B1" s="87"/>
    </row>
    <row r="2" spans="1:2" ht="12.75">
      <c r="A2" s="230"/>
      <c r="B2" s="231" t="s">
        <v>1112</v>
      </c>
    </row>
    <row r="3" spans="1:2" ht="12.75">
      <c r="A3" s="230" t="s">
        <v>1108</v>
      </c>
      <c r="B3" s="232"/>
    </row>
    <row r="4" spans="1:2" ht="12.75">
      <c r="A4" s="233" t="s">
        <v>1109</v>
      </c>
      <c r="B4" s="234">
        <v>24969.4</v>
      </c>
    </row>
    <row r="5" spans="1:2" ht="12.75">
      <c r="A5" s="233" t="s">
        <v>1110</v>
      </c>
      <c r="B5" s="235">
        <v>334823.93</v>
      </c>
    </row>
    <row r="6" spans="1:2" ht="15">
      <c r="A6" s="233" t="s">
        <v>1111</v>
      </c>
      <c r="B6" s="236">
        <f>614574.61-324705.29</f>
        <v>289869.32</v>
      </c>
    </row>
    <row r="7" spans="1:2" ht="12.75">
      <c r="A7" s="88"/>
      <c r="B7" s="237">
        <f>B4+B5+B6</f>
        <v>649662.65</v>
      </c>
    </row>
    <row r="10" spans="1:4" ht="12.75">
      <c r="A10" s="85" t="s">
        <v>1114</v>
      </c>
      <c r="B10" s="86"/>
      <c r="C10" s="86"/>
      <c r="D10" s="87"/>
    </row>
    <row r="11" spans="1:4" ht="12.75">
      <c r="A11" s="230"/>
      <c r="B11" s="238"/>
      <c r="C11" s="238"/>
      <c r="D11" s="232"/>
    </row>
    <row r="12" spans="1:4" ht="12.75">
      <c r="A12" s="230" t="s">
        <v>1115</v>
      </c>
      <c r="B12" s="239">
        <f>B4</f>
        <v>24969.4</v>
      </c>
      <c r="C12" s="238"/>
      <c r="D12" s="232"/>
    </row>
    <row r="13" spans="1:4" ht="12.75">
      <c r="A13" s="230"/>
      <c r="B13" s="240"/>
      <c r="C13" s="238"/>
      <c r="D13" s="232"/>
    </row>
    <row r="14" spans="1:4" ht="12.75">
      <c r="A14" s="230"/>
      <c r="B14" s="238"/>
      <c r="C14" s="238" t="s">
        <v>1113</v>
      </c>
      <c r="D14" s="232" t="s">
        <v>1116</v>
      </c>
    </row>
    <row r="15" spans="1:4" ht="12.75">
      <c r="A15" s="233" t="s">
        <v>819</v>
      </c>
      <c r="B15" s="240">
        <f>B12/2</f>
        <v>12484.7</v>
      </c>
      <c r="C15" s="240">
        <f>B15*0.3</f>
        <v>3745.41</v>
      </c>
      <c r="D15" s="241">
        <f>B15*0.7</f>
        <v>8739.289999999999</v>
      </c>
    </row>
    <row r="16" spans="1:4" ht="13.5" thickBot="1">
      <c r="A16" s="242" t="s">
        <v>820</v>
      </c>
      <c r="B16" s="243">
        <f>B12/2</f>
        <v>12484.7</v>
      </c>
      <c r="C16" s="244">
        <f>B16*0.3</f>
        <v>3745.41</v>
      </c>
      <c r="D16" s="245">
        <f>B16*0.7</f>
        <v>8739.289999999999</v>
      </c>
    </row>
    <row r="17" ht="13.5" thickTop="1"/>
    <row r="18" ht="13.5" thickBot="1"/>
    <row r="19" spans="1:6" ht="13.5" thickTop="1">
      <c r="A19" s="246" t="s">
        <v>1117</v>
      </c>
      <c r="B19" s="247"/>
      <c r="C19" s="248" t="s">
        <v>1926</v>
      </c>
      <c r="D19" s="248"/>
      <c r="E19" s="249">
        <v>1025043.26</v>
      </c>
      <c r="F19" s="250"/>
    </row>
    <row r="20" spans="1:6" ht="12.75">
      <c r="A20" s="251"/>
      <c r="B20" s="238"/>
      <c r="C20" s="238"/>
      <c r="D20" s="238"/>
      <c r="E20" s="238"/>
      <c r="F20" s="252"/>
    </row>
    <row r="21" spans="1:6" ht="12.75">
      <c r="A21" s="251"/>
      <c r="B21" s="253" t="s">
        <v>1134</v>
      </c>
      <c r="C21" s="238"/>
      <c r="D21" s="238" t="s">
        <v>819</v>
      </c>
      <c r="E21" s="238" t="s">
        <v>820</v>
      </c>
      <c r="F21" s="252"/>
    </row>
    <row r="22" spans="1:9" ht="12.75">
      <c r="A22" s="251" t="s">
        <v>1118</v>
      </c>
      <c r="B22" s="124">
        <f>D22+E22</f>
        <v>1025043.2600000002</v>
      </c>
      <c r="C22" s="124"/>
      <c r="D22" s="124">
        <f>E19*G22</f>
        <v>1317115.5091783912</v>
      </c>
      <c r="E22" s="124">
        <f>E19*G23</f>
        <v>-292072.249178391</v>
      </c>
      <c r="F22" s="254"/>
      <c r="G22" s="41">
        <f>H22/H24</f>
        <v>1.284936510073137</v>
      </c>
      <c r="H22" s="255">
        <f>'UNIT 1 PWR BILL'!J55</f>
        <v>1431869</v>
      </c>
      <c r="I22" s="41" t="s">
        <v>1923</v>
      </c>
    </row>
    <row r="23" spans="1:9" ht="12.75">
      <c r="A23" s="251" t="s">
        <v>1119</v>
      </c>
      <c r="B23" s="124">
        <f>D23+E23</f>
        <v>618958.71</v>
      </c>
      <c r="C23" s="124"/>
      <c r="D23" s="124">
        <f>-'UNIT 1 PWR BILL'!J56</f>
        <v>267050.87999999995</v>
      </c>
      <c r="E23" s="124">
        <f>-'UNIT 2 PWR BILL'!J56</f>
        <v>351907.82999999996</v>
      </c>
      <c r="F23" s="254"/>
      <c r="G23" s="41">
        <f>H23/H24</f>
        <v>-0.2849365100731368</v>
      </c>
      <c r="H23" s="255">
        <f>'UNIT 2 PWR BILL'!J55</f>
        <v>-317519</v>
      </c>
      <c r="I23" s="41" t="s">
        <v>1924</v>
      </c>
    </row>
    <row r="24" spans="1:8" ht="12.75">
      <c r="A24" s="251"/>
      <c r="B24" s="124"/>
      <c r="C24" s="124"/>
      <c r="D24" s="124"/>
      <c r="E24" s="124"/>
      <c r="F24" s="254"/>
      <c r="H24" s="255">
        <f>SUM(H22:H23)</f>
        <v>1114350</v>
      </c>
    </row>
    <row r="25" spans="1:8" ht="12.75">
      <c r="A25" s="251" t="s">
        <v>1120</v>
      </c>
      <c r="B25" s="124">
        <f>D25+E25</f>
        <v>406084.5500000003</v>
      </c>
      <c r="C25" s="124"/>
      <c r="D25" s="124">
        <f>D22-D23</f>
        <v>1050064.6291783913</v>
      </c>
      <c r="E25" s="124">
        <f>E22-E23</f>
        <v>-643980.079178391</v>
      </c>
      <c r="F25" s="254"/>
      <c r="H25" s="255"/>
    </row>
    <row r="26" spans="1:6" ht="12.75">
      <c r="A26" s="251"/>
      <c r="B26" s="124"/>
      <c r="C26" s="124"/>
      <c r="D26" s="124"/>
      <c r="E26" s="124"/>
      <c r="F26" s="254"/>
    </row>
    <row r="27" spans="1:6" ht="12.75">
      <c r="A27" s="251" t="s">
        <v>1121</v>
      </c>
      <c r="B27" s="124">
        <f>D27+E27</f>
        <v>24969.4</v>
      </c>
      <c r="C27" s="124"/>
      <c r="D27" s="124">
        <f>B15</f>
        <v>12484.7</v>
      </c>
      <c r="E27" s="124">
        <f>B16</f>
        <v>12484.7</v>
      </c>
      <c r="F27" s="254"/>
    </row>
    <row r="28" spans="1:6" ht="12.75">
      <c r="A28" s="251"/>
      <c r="B28" s="124"/>
      <c r="C28" s="124"/>
      <c r="D28" s="124"/>
      <c r="E28" s="124"/>
      <c r="F28" s="254"/>
    </row>
    <row r="29" spans="1:6" ht="12.75">
      <c r="A29" s="251" t="s">
        <v>1122</v>
      </c>
      <c r="B29" s="124">
        <f>D29+E29</f>
        <v>381115.1500000004</v>
      </c>
      <c r="C29" s="124"/>
      <c r="D29" s="124">
        <f>D25-D27</f>
        <v>1037579.9291783914</v>
      </c>
      <c r="E29" s="124">
        <f>E25-E27</f>
        <v>-656464.779178391</v>
      </c>
      <c r="F29" s="254"/>
    </row>
    <row r="30" spans="1:6" ht="12.75">
      <c r="A30" s="251"/>
      <c r="B30" s="124"/>
      <c r="C30" s="124"/>
      <c r="D30" s="124"/>
      <c r="E30" s="124"/>
      <c r="F30" s="254"/>
    </row>
    <row r="31" spans="1:6" ht="12.75">
      <c r="A31" s="251" t="s">
        <v>1123</v>
      </c>
      <c r="B31" s="256">
        <v>0.35</v>
      </c>
      <c r="C31" s="124"/>
      <c r="D31" s="256">
        <v>0.35</v>
      </c>
      <c r="E31" s="256">
        <v>0.35</v>
      </c>
      <c r="F31" s="254"/>
    </row>
    <row r="32" spans="1:7" ht="12.75">
      <c r="A32" s="251"/>
      <c r="B32" s="124"/>
      <c r="C32" s="124"/>
      <c r="D32" s="124"/>
      <c r="E32" s="124"/>
      <c r="F32" s="254"/>
      <c r="G32" s="41" t="s">
        <v>1917</v>
      </c>
    </row>
    <row r="33" spans="1:8" ht="12.75">
      <c r="A33" s="251" t="s">
        <v>1124</v>
      </c>
      <c r="B33" s="124">
        <f>D33+E33</f>
        <v>133390.3025000001</v>
      </c>
      <c r="C33" s="124"/>
      <c r="D33" s="124">
        <f>D29*D31</f>
        <v>363152.9752124369</v>
      </c>
      <c r="E33" s="124">
        <f>E29*E31</f>
        <v>-229762.67271243682</v>
      </c>
      <c r="F33" s="254"/>
      <c r="G33" s="257">
        <f>D33/B33</f>
        <v>2.722484081722782</v>
      </c>
      <c r="H33" s="257">
        <f>E33/B33</f>
        <v>-1.7224840817227822</v>
      </c>
    </row>
    <row r="34" spans="1:6" ht="12.75">
      <c r="A34" s="251"/>
      <c r="B34" s="124"/>
      <c r="C34" s="124"/>
      <c r="D34" s="124"/>
      <c r="E34" s="124"/>
      <c r="F34" s="254"/>
    </row>
    <row r="35" spans="1:7" ht="12.75">
      <c r="A35" s="251" t="s">
        <v>1159</v>
      </c>
      <c r="B35" s="258">
        <v>21626</v>
      </c>
      <c r="C35" s="124"/>
      <c r="D35" s="124">
        <f>B35*G33</f>
        <v>58876.440751336886</v>
      </c>
      <c r="E35" s="124">
        <f>B35*H33</f>
        <v>-37250.440751336886</v>
      </c>
      <c r="F35" s="254"/>
      <c r="G35" s="41" t="s">
        <v>1927</v>
      </c>
    </row>
    <row r="36" spans="1:6" ht="12.75">
      <c r="A36" s="251"/>
      <c r="B36" s="124"/>
      <c r="C36" s="124"/>
      <c r="D36" s="124"/>
      <c r="E36" s="124"/>
      <c r="F36" s="254"/>
    </row>
    <row r="37" spans="1:6" ht="12.75">
      <c r="A37" s="251" t="s">
        <v>1125</v>
      </c>
      <c r="B37" s="259">
        <f>B33+B35</f>
        <v>155016.3025000001</v>
      </c>
      <c r="C37" s="124"/>
      <c r="D37" s="124">
        <f>D33+D35</f>
        <v>422029.4159637738</v>
      </c>
      <c r="E37" s="124">
        <f>E33+E35</f>
        <v>-267013.1134637737</v>
      </c>
      <c r="F37" s="254"/>
    </row>
    <row r="38" spans="1:6" ht="12.75">
      <c r="A38" s="251"/>
      <c r="B38" s="124"/>
      <c r="C38" s="124"/>
      <c r="D38" s="124"/>
      <c r="E38" s="124"/>
      <c r="F38" s="254"/>
    </row>
    <row r="39" spans="1:6" ht="12.75">
      <c r="A39" s="251" t="s">
        <v>1557</v>
      </c>
      <c r="B39" s="124"/>
      <c r="C39" s="260" t="s">
        <v>1113</v>
      </c>
      <c r="D39" s="261">
        <f>D37*0.3</f>
        <v>126608.82478913214</v>
      </c>
      <c r="E39" s="261">
        <f>E37*0.3</f>
        <v>-80103.9340391321</v>
      </c>
      <c r="F39" s="254"/>
    </row>
    <row r="40" spans="1:6" ht="12.75">
      <c r="A40" s="251"/>
      <c r="B40" s="238"/>
      <c r="C40" s="260" t="s">
        <v>1116</v>
      </c>
      <c r="D40" s="260">
        <f>D37*0.7</f>
        <v>295420.5911746416</v>
      </c>
      <c r="E40" s="260">
        <f>E37*0.7</f>
        <v>-186909.17942464157</v>
      </c>
      <c r="F40" s="252"/>
    </row>
    <row r="41" spans="1:6" ht="13.5" thickBot="1">
      <c r="A41" s="262"/>
      <c r="B41" s="263"/>
      <c r="C41" s="263"/>
      <c r="D41" s="263"/>
      <c r="E41" s="263"/>
      <c r="F41" s="264"/>
    </row>
    <row r="42" ht="14.25" thickBot="1" thickTop="1"/>
    <row r="43" spans="1:6" ht="13.5" thickTop="1">
      <c r="A43" s="246" t="s">
        <v>1126</v>
      </c>
      <c r="B43" s="247"/>
      <c r="C43" s="247"/>
      <c r="D43" s="247"/>
      <c r="E43" s="247"/>
      <c r="F43" s="250"/>
    </row>
    <row r="44" spans="1:6" ht="12.75">
      <c r="A44" s="251"/>
      <c r="B44" s="238"/>
      <c r="C44" s="238"/>
      <c r="D44" s="238"/>
      <c r="E44" s="238"/>
      <c r="F44" s="252"/>
    </row>
    <row r="45" spans="1:6" ht="12.75">
      <c r="A45" s="251" t="s">
        <v>1127</v>
      </c>
      <c r="B45" s="265">
        <f>B6</f>
        <v>289869.32</v>
      </c>
      <c r="C45" s="238"/>
      <c r="D45" s="238"/>
      <c r="E45" s="238"/>
      <c r="F45" s="252"/>
    </row>
    <row r="46" spans="1:6" ht="12.75">
      <c r="A46" s="251"/>
      <c r="B46" s="238"/>
      <c r="C46" s="238"/>
      <c r="D46" s="238" t="s">
        <v>1113</v>
      </c>
      <c r="E46" s="238" t="s">
        <v>1116</v>
      </c>
      <c r="F46" s="252"/>
    </row>
    <row r="47" spans="1:6" ht="12.75">
      <c r="A47" s="266" t="s">
        <v>819</v>
      </c>
      <c r="B47" s="161">
        <f>'UNIT 1 PWR BILL'!J61</f>
        <v>289523</v>
      </c>
      <c r="C47" s="238"/>
      <c r="D47" s="124">
        <f>B47*0.3</f>
        <v>86856.9</v>
      </c>
      <c r="E47" s="124">
        <f>B47*0.7</f>
        <v>202666.09999999998</v>
      </c>
      <c r="F47" s="252"/>
    </row>
    <row r="48" spans="1:6" ht="13.5" thickBot="1">
      <c r="A48" s="267" t="s">
        <v>820</v>
      </c>
      <c r="B48" s="162">
        <f>'UNIT 2 PWR BILL'!J61</f>
        <v>180002.98000000004</v>
      </c>
      <c r="C48" s="263"/>
      <c r="D48" s="268">
        <f>B48*0.3</f>
        <v>54000.89400000001</v>
      </c>
      <c r="E48" s="268">
        <f>B48*0.7</f>
        <v>126002.08600000002</v>
      </c>
      <c r="F48" s="264"/>
    </row>
    <row r="49" ht="13.5" thickTop="1"/>
  </sheetData>
  <sheetProtection/>
  <printOptions/>
  <pageMargins left="0.75" right="0.75" top="1" bottom="1" header="0.5" footer="0.5"/>
  <pageSetup fitToHeight="1" fitToWidth="1" horizontalDpi="600" verticalDpi="600" orientation="portrait" scale="54"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9" activePane="bottomLeft" state="frozen"/>
      <selection pane="topLeft" activeCell="B168" sqref="B168"/>
      <selection pane="bottomLeft" activeCell="L36" sqref="L36:M36"/>
    </sheetView>
  </sheetViews>
  <sheetFormatPr defaultColWidth="9.7109375" defaultRowHeight="12.75"/>
  <cols>
    <col min="1" max="1" width="8.7109375" style="41" customWidth="1"/>
    <col min="2" max="2" width="16.57421875" style="41" customWidth="1"/>
    <col min="3" max="3" width="11.7109375" style="41" customWidth="1"/>
    <col min="4" max="4" width="3.7109375" style="41" customWidth="1"/>
    <col min="5" max="5" width="14.00390625" style="41" customWidth="1"/>
    <col min="6" max="6" width="3.7109375" style="41" customWidth="1"/>
    <col min="7" max="7" width="14.57421875" style="41" customWidth="1"/>
    <col min="8" max="8" width="3.7109375" style="41" customWidth="1"/>
    <col min="9" max="9" width="14.28125" style="41" customWidth="1"/>
    <col min="10" max="10" width="4.7109375" style="41" customWidth="1"/>
    <col min="11" max="11" width="19.57421875" style="41" customWidth="1"/>
    <col min="12" max="12" width="19.8515625" style="41" customWidth="1"/>
    <col min="13" max="14" width="9.7109375" style="41" customWidth="1"/>
  </cols>
  <sheetData>
    <row r="1" spans="1:13" ht="12.75">
      <c r="A1" s="11"/>
      <c r="B1" s="11"/>
      <c r="C1" s="11"/>
      <c r="D1" s="11"/>
      <c r="E1" s="11"/>
      <c r="F1" s="11"/>
      <c r="G1" s="11"/>
      <c r="H1" s="11"/>
      <c r="I1" s="11"/>
      <c r="J1" s="11"/>
      <c r="K1" s="11"/>
      <c r="L1" s="11"/>
      <c r="M1" s="11"/>
    </row>
    <row r="2" spans="1:13" ht="15">
      <c r="A2" s="9"/>
      <c r="B2" s="9"/>
      <c r="C2" s="9"/>
      <c r="D2" s="9"/>
      <c r="E2" s="9"/>
      <c r="F2" s="9"/>
      <c r="G2" s="9"/>
      <c r="H2" s="9"/>
      <c r="I2" s="9"/>
      <c r="J2" s="9"/>
      <c r="K2" s="38"/>
      <c r="L2" s="11"/>
      <c r="M2" s="11"/>
    </row>
    <row r="3" spans="1:13" ht="15">
      <c r="A3" s="269" t="str">
        <f>INSTRUCTIONS!$L$29</f>
        <v>ESTIMATE</v>
      </c>
      <c r="B3" s="9"/>
      <c r="C3" s="270" t="s">
        <v>312</v>
      </c>
      <c r="D3" s="270"/>
      <c r="E3" s="270"/>
      <c r="F3" s="270"/>
      <c r="G3" s="270"/>
      <c r="H3" s="43"/>
      <c r="I3" s="43"/>
      <c r="J3" s="9"/>
      <c r="K3" s="38" t="s">
        <v>125</v>
      </c>
      <c r="L3" s="11"/>
      <c r="M3" s="11"/>
    </row>
    <row r="4" spans="1:13" ht="15">
      <c r="A4" s="9"/>
      <c r="B4" s="9"/>
      <c r="C4" s="271" t="str">
        <f>INSTRUCTIONS!L5&amp;" 2015 ESTIMATED VS. ACTUAL BILLS"</f>
        <v>April 2015 ESTIMATED VS. ACTUAL BILLS</v>
      </c>
      <c r="D4" s="43"/>
      <c r="E4" s="43"/>
      <c r="F4" s="43"/>
      <c r="G4" s="43"/>
      <c r="H4" s="43"/>
      <c r="I4" s="43"/>
      <c r="J4" s="9"/>
      <c r="K4" s="38" t="str">
        <f>INSTRUCTIONS!Q13</f>
        <v>JMJ</v>
      </c>
      <c r="L4" s="11"/>
      <c r="M4" s="11"/>
    </row>
    <row r="5" spans="1:13" ht="15">
      <c r="A5" s="9"/>
      <c r="B5" s="9"/>
      <c r="C5" s="271" t="str">
        <f>"RECORDED ON "&amp;INSTRUCTIONS!L7&amp;" ESTIMATED BILLS"</f>
        <v>RECORDED ON May, 2015 ESTIMATED BILLS</v>
      </c>
      <c r="D5" s="43"/>
      <c r="E5" s="43"/>
      <c r="F5" s="43"/>
      <c r="G5" s="43"/>
      <c r="H5" s="43"/>
      <c r="I5" s="43"/>
      <c r="J5" s="9"/>
      <c r="K5" s="178">
        <f ca="1">TODAY()</f>
        <v>42975</v>
      </c>
      <c r="L5" s="11"/>
      <c r="M5" s="11"/>
    </row>
    <row r="6" spans="1:13" ht="15">
      <c r="A6" s="9"/>
      <c r="B6" s="9"/>
      <c r="C6" s="9"/>
      <c r="D6" s="9"/>
      <c r="E6" s="9"/>
      <c r="F6" s="9"/>
      <c r="G6" s="9"/>
      <c r="H6" s="9"/>
      <c r="I6" s="9"/>
      <c r="J6" s="9"/>
      <c r="K6" s="9"/>
      <c r="L6" s="11"/>
      <c r="M6" s="11"/>
    </row>
    <row r="7" spans="1:13" ht="15">
      <c r="A7" s="272" t="s">
        <v>309</v>
      </c>
      <c r="B7" s="272"/>
      <c r="C7" s="9"/>
      <c r="D7" s="9"/>
      <c r="E7" s="9"/>
      <c r="F7" s="9"/>
      <c r="G7" s="9"/>
      <c r="H7" s="9"/>
      <c r="I7" s="9"/>
      <c r="J7" s="9"/>
      <c r="K7" s="9"/>
      <c r="L7" s="11"/>
      <c r="M7" s="11"/>
    </row>
    <row r="8" spans="1:13" ht="15">
      <c r="A8" s="9"/>
      <c r="B8" s="9"/>
      <c r="C8" s="9"/>
      <c r="D8" s="9"/>
      <c r="E8" s="34" t="s">
        <v>391</v>
      </c>
      <c r="F8" s="38"/>
      <c r="G8" s="34" t="s">
        <v>1344</v>
      </c>
      <c r="H8" s="38"/>
      <c r="I8" s="34" t="s">
        <v>306</v>
      </c>
      <c r="J8" s="38"/>
      <c r="K8" s="34" t="s">
        <v>126</v>
      </c>
      <c r="L8" s="38"/>
      <c r="M8" s="11"/>
    </row>
    <row r="9" spans="1:13" ht="15">
      <c r="A9" s="34" t="s">
        <v>795</v>
      </c>
      <c r="B9" s="9"/>
      <c r="C9" s="9"/>
      <c r="D9" s="9"/>
      <c r="E9" s="9"/>
      <c r="F9" s="9"/>
      <c r="G9" s="9"/>
      <c r="H9" s="9"/>
      <c r="I9" s="9"/>
      <c r="J9" s="9"/>
      <c r="K9" s="9"/>
      <c r="L9" s="11"/>
      <c r="M9" s="11"/>
    </row>
    <row r="10" spans="1:18" ht="15">
      <c r="A10" s="9"/>
      <c r="B10" s="9" t="s">
        <v>1521</v>
      </c>
      <c r="C10" s="9"/>
      <c r="D10" s="9"/>
      <c r="E10" s="13">
        <v>595332</v>
      </c>
      <c r="F10" s="13"/>
      <c r="G10" s="13">
        <v>2061478</v>
      </c>
      <c r="H10" s="13"/>
      <c r="I10" s="14">
        <f>+K10-E10-G10</f>
        <v>2777601</v>
      </c>
      <c r="J10" s="14"/>
      <c r="K10" s="13">
        <v>5434411</v>
      </c>
      <c r="L10" s="11"/>
      <c r="M10" s="11"/>
      <c r="N10" s="85"/>
      <c r="O10" s="86"/>
      <c r="P10" s="86"/>
      <c r="Q10" s="86"/>
      <c r="R10" s="87"/>
    </row>
    <row r="11" spans="1:18" ht="15">
      <c r="A11" s="9"/>
      <c r="B11" s="9" t="s">
        <v>1731</v>
      </c>
      <c r="C11" s="9"/>
      <c r="D11" s="9"/>
      <c r="E11" s="13">
        <v>595332</v>
      </c>
      <c r="F11" s="13"/>
      <c r="G11" s="13">
        <v>2061478</v>
      </c>
      <c r="H11" s="13"/>
      <c r="I11" s="14">
        <f>+K11-E11-G11</f>
        <v>2793480</v>
      </c>
      <c r="J11" s="14"/>
      <c r="K11" s="13">
        <v>5450290</v>
      </c>
      <c r="L11" s="11"/>
      <c r="M11" s="11"/>
      <c r="N11" s="88"/>
      <c r="O11" s="39"/>
      <c r="P11" s="39"/>
      <c r="Q11" s="39"/>
      <c r="R11" s="89"/>
    </row>
    <row r="12" spans="1:13" ht="15">
      <c r="A12" s="9"/>
      <c r="B12" s="9"/>
      <c r="C12" s="9"/>
      <c r="D12" s="9"/>
      <c r="E12" s="33" t="s">
        <v>1074</v>
      </c>
      <c r="F12" s="14"/>
      <c r="G12" s="33" t="s">
        <v>1074</v>
      </c>
      <c r="H12" s="14"/>
      <c r="I12" s="33" t="s">
        <v>1074</v>
      </c>
      <c r="J12" s="14"/>
      <c r="K12" s="33" t="s">
        <v>1074</v>
      </c>
      <c r="L12" s="11"/>
      <c r="M12" s="11"/>
    </row>
    <row r="13" spans="1:13" ht="15">
      <c r="A13" s="9"/>
      <c r="B13" s="35" t="s">
        <v>252</v>
      </c>
      <c r="C13" s="9"/>
      <c r="D13" s="9"/>
      <c r="E13" s="14">
        <f>E10-E11</f>
        <v>0</v>
      </c>
      <c r="F13" s="14"/>
      <c r="G13" s="14">
        <f>G10-G11</f>
        <v>0</v>
      </c>
      <c r="H13" s="14"/>
      <c r="I13" s="14">
        <f>I10-I11</f>
        <v>-15879</v>
      </c>
      <c r="J13" s="14"/>
      <c r="K13" s="14">
        <f>K10-K11</f>
        <v>-15879</v>
      </c>
      <c r="L13" s="273"/>
      <c r="M13" s="11"/>
    </row>
    <row r="14" spans="1:13" ht="15">
      <c r="A14" s="9"/>
      <c r="B14" s="9"/>
      <c r="C14" s="9"/>
      <c r="D14" s="9"/>
      <c r="E14" s="33" t="s">
        <v>1572</v>
      </c>
      <c r="F14" s="14"/>
      <c r="G14" s="33" t="s">
        <v>1572</v>
      </c>
      <c r="H14" s="14"/>
      <c r="I14" s="33" t="s">
        <v>1572</v>
      </c>
      <c r="J14" s="14"/>
      <c r="K14" s="33" t="s">
        <v>1572</v>
      </c>
      <c r="L14" s="273"/>
      <c r="M14" s="11"/>
    </row>
    <row r="15" spans="1:13" ht="15">
      <c r="A15" s="9"/>
      <c r="B15" s="9"/>
      <c r="C15" s="9"/>
      <c r="D15" s="9"/>
      <c r="E15" s="14"/>
      <c r="F15" s="14"/>
      <c r="G15" s="14"/>
      <c r="H15" s="14"/>
      <c r="I15" s="14"/>
      <c r="J15" s="14"/>
      <c r="K15" s="14"/>
      <c r="L15" s="273"/>
      <c r="M15" s="11"/>
    </row>
    <row r="16" spans="1:13" ht="15">
      <c r="A16" s="9"/>
      <c r="B16" s="9" t="s">
        <v>1461</v>
      </c>
      <c r="C16" s="9"/>
      <c r="D16" s="9"/>
      <c r="E16" s="13">
        <v>255142</v>
      </c>
      <c r="F16" s="13"/>
      <c r="G16" s="13">
        <v>883491</v>
      </c>
      <c r="H16" s="13"/>
      <c r="I16" s="14">
        <f>+K16-E16-G16</f>
        <v>1190401</v>
      </c>
      <c r="J16" s="14"/>
      <c r="K16" s="13">
        <v>2329034</v>
      </c>
      <c r="L16" s="273"/>
      <c r="M16" s="11"/>
    </row>
    <row r="17" spans="1:13" ht="15">
      <c r="A17" s="9"/>
      <c r="B17" s="9" t="s">
        <v>1731</v>
      </c>
      <c r="C17" s="9"/>
      <c r="D17" s="9"/>
      <c r="E17" s="13">
        <v>255142</v>
      </c>
      <c r="F17" s="13"/>
      <c r="G17" s="13">
        <v>883491</v>
      </c>
      <c r="H17" s="13"/>
      <c r="I17" s="14">
        <f>+K17-E17-G17</f>
        <v>1197207</v>
      </c>
      <c r="J17" s="14"/>
      <c r="K17" s="13">
        <v>2335840</v>
      </c>
      <c r="L17" s="273"/>
      <c r="M17" s="11"/>
    </row>
    <row r="18" spans="1:13" ht="15">
      <c r="A18" s="9"/>
      <c r="B18" s="9"/>
      <c r="C18" s="9"/>
      <c r="D18" s="9"/>
      <c r="E18" s="33" t="s">
        <v>1074</v>
      </c>
      <c r="F18" s="14"/>
      <c r="G18" s="33" t="s">
        <v>1074</v>
      </c>
      <c r="H18" s="14"/>
      <c r="I18" s="33" t="s">
        <v>1074</v>
      </c>
      <c r="J18" s="14"/>
      <c r="K18" s="33" t="s">
        <v>1074</v>
      </c>
      <c r="L18" s="273"/>
      <c r="M18" s="11"/>
    </row>
    <row r="19" spans="1:13" ht="15">
      <c r="A19" s="9"/>
      <c r="B19" s="35" t="s">
        <v>252</v>
      </c>
      <c r="C19" s="9"/>
      <c r="D19" s="9"/>
      <c r="E19" s="14">
        <f>E16-E17</f>
        <v>0</v>
      </c>
      <c r="F19" s="14"/>
      <c r="G19" s="14">
        <f>G16-G17</f>
        <v>0</v>
      </c>
      <c r="H19" s="14"/>
      <c r="I19" s="14">
        <f>I16-I17</f>
        <v>-6806</v>
      </c>
      <c r="J19" s="14"/>
      <c r="K19" s="14">
        <f>K16-K17</f>
        <v>-6806</v>
      </c>
      <c r="L19" s="273"/>
      <c r="M19" s="11"/>
    </row>
    <row r="20" spans="1:13" ht="15">
      <c r="A20" s="9"/>
      <c r="B20" s="9"/>
      <c r="C20" s="9"/>
      <c r="D20" s="9"/>
      <c r="E20" s="33" t="s">
        <v>1572</v>
      </c>
      <c r="F20" s="14"/>
      <c r="G20" s="33" t="s">
        <v>1572</v>
      </c>
      <c r="H20" s="14"/>
      <c r="I20" s="33" t="s">
        <v>1572</v>
      </c>
      <c r="J20" s="14"/>
      <c r="K20" s="33" t="s">
        <v>1572</v>
      </c>
      <c r="L20" s="11"/>
      <c r="M20" s="11"/>
    </row>
    <row r="21" spans="1:13" ht="15">
      <c r="A21" s="9"/>
      <c r="B21" s="9"/>
      <c r="C21" s="9"/>
      <c r="D21" s="9"/>
      <c r="E21" s="14"/>
      <c r="F21" s="14"/>
      <c r="G21" s="14"/>
      <c r="H21" s="14"/>
      <c r="I21" s="14"/>
      <c r="J21" s="14"/>
      <c r="K21" s="14"/>
      <c r="L21" s="11"/>
      <c r="M21" s="11"/>
    </row>
    <row r="22" spans="1:13" ht="15">
      <c r="A22" s="9"/>
      <c r="B22" s="9"/>
      <c r="C22" s="9"/>
      <c r="D22" s="9"/>
      <c r="E22" s="14"/>
      <c r="F22" s="14"/>
      <c r="G22" s="14"/>
      <c r="H22" s="14"/>
      <c r="I22" s="14"/>
      <c r="J22" s="14"/>
      <c r="K22" s="14"/>
      <c r="L22" s="11"/>
      <c r="M22" s="11"/>
    </row>
    <row r="23" spans="1:13" ht="15">
      <c r="A23" s="9"/>
      <c r="B23" s="35" t="s">
        <v>1770</v>
      </c>
      <c r="C23" s="9"/>
      <c r="D23" s="9"/>
      <c r="E23" s="14">
        <f>(E10+E16)</f>
        <v>850474</v>
      </c>
      <c r="F23" s="14"/>
      <c r="G23" s="14">
        <f>(G10+G16)</f>
        <v>2944969</v>
      </c>
      <c r="H23" s="14"/>
      <c r="I23" s="14">
        <f>+K23-E23-G23</f>
        <v>3968002</v>
      </c>
      <c r="J23" s="14"/>
      <c r="K23" s="14">
        <f>(K10+K16)</f>
        <v>7763445</v>
      </c>
      <c r="L23" s="11"/>
      <c r="M23" s="11"/>
    </row>
    <row r="24" spans="1:13" ht="15">
      <c r="A24" s="9"/>
      <c r="B24" s="9" t="s">
        <v>1731</v>
      </c>
      <c r="C24" s="9"/>
      <c r="D24" s="9"/>
      <c r="E24" s="14">
        <f>(E11+E17)</f>
        <v>850474</v>
      </c>
      <c r="F24" s="14"/>
      <c r="G24" s="14">
        <f>(G11+G17)</f>
        <v>2944969</v>
      </c>
      <c r="H24" s="14"/>
      <c r="I24" s="14">
        <f>+K24-E24-G24</f>
        <v>3990687</v>
      </c>
      <c r="J24" s="14"/>
      <c r="K24" s="14">
        <f>(K11+K17)</f>
        <v>7786130</v>
      </c>
      <c r="L24" s="11"/>
      <c r="M24" s="11"/>
    </row>
    <row r="25" spans="1:13" ht="15">
      <c r="A25" s="9"/>
      <c r="B25" s="9"/>
      <c r="C25" s="9"/>
      <c r="D25" s="9"/>
      <c r="E25" s="33" t="s">
        <v>1074</v>
      </c>
      <c r="F25" s="14"/>
      <c r="G25" s="33" t="s">
        <v>1074</v>
      </c>
      <c r="H25" s="14"/>
      <c r="I25" s="33" t="s">
        <v>1074</v>
      </c>
      <c r="J25" s="14"/>
      <c r="K25" s="33" t="s">
        <v>1074</v>
      </c>
      <c r="L25" s="11"/>
      <c r="M25" s="11"/>
    </row>
    <row r="26" spans="1:13" ht="15">
      <c r="A26" s="9"/>
      <c r="B26" s="35" t="s">
        <v>1771</v>
      </c>
      <c r="C26" s="9"/>
      <c r="D26" s="9"/>
      <c r="E26" s="14">
        <f>E23-E24</f>
        <v>0</v>
      </c>
      <c r="F26" s="14"/>
      <c r="G26" s="14">
        <f>G23-G24</f>
        <v>0</v>
      </c>
      <c r="H26" s="14"/>
      <c r="I26" s="14">
        <f>I23-I24</f>
        <v>-22685</v>
      </c>
      <c r="J26" s="14"/>
      <c r="K26" s="14">
        <f>K23-K24</f>
        <v>-22685</v>
      </c>
      <c r="L26" s="11"/>
      <c r="M26" s="11"/>
    </row>
    <row r="27" spans="1:13" ht="15">
      <c r="A27" s="9"/>
      <c r="B27" s="9"/>
      <c r="C27" s="9"/>
      <c r="D27" s="9"/>
      <c r="E27" s="33" t="s">
        <v>1572</v>
      </c>
      <c r="F27" s="14"/>
      <c r="G27" s="33" t="s">
        <v>1572</v>
      </c>
      <c r="H27" s="14"/>
      <c r="I27" s="33" t="s">
        <v>1572</v>
      </c>
      <c r="J27" s="14"/>
      <c r="K27" s="33" t="s">
        <v>1572</v>
      </c>
      <c r="L27" s="11"/>
      <c r="M27" s="11"/>
    </row>
    <row r="28" spans="1:13" ht="15">
      <c r="A28" s="9"/>
      <c r="B28" s="9"/>
      <c r="C28" s="9"/>
      <c r="D28" s="9"/>
      <c r="E28" s="14"/>
      <c r="F28" s="14"/>
      <c r="G28" s="14"/>
      <c r="H28" s="14"/>
      <c r="I28" s="14"/>
      <c r="J28" s="14"/>
      <c r="K28" s="14"/>
      <c r="L28" s="11"/>
      <c r="M28" s="11"/>
    </row>
    <row r="29" spans="1:13" ht="15">
      <c r="A29" s="9"/>
      <c r="B29" s="9"/>
      <c r="C29" s="9"/>
      <c r="D29" s="9"/>
      <c r="E29" s="14"/>
      <c r="F29" s="14"/>
      <c r="G29" s="14"/>
      <c r="H29" s="14"/>
      <c r="I29" s="14"/>
      <c r="J29" s="14"/>
      <c r="K29" s="14"/>
      <c r="L29" s="11"/>
      <c r="M29" s="11"/>
    </row>
    <row r="30" spans="1:13" ht="15">
      <c r="A30" s="9"/>
      <c r="B30" s="9"/>
      <c r="C30" s="9"/>
      <c r="D30" s="9"/>
      <c r="E30" s="14"/>
      <c r="F30" s="14"/>
      <c r="G30" s="14"/>
      <c r="H30" s="14"/>
      <c r="I30" s="14"/>
      <c r="J30" s="14"/>
      <c r="K30" s="14"/>
      <c r="L30" s="11"/>
      <c r="M30" s="11"/>
    </row>
    <row r="31" spans="1:13" ht="15">
      <c r="A31" s="34" t="s">
        <v>805</v>
      </c>
      <c r="B31" s="9"/>
      <c r="C31" s="9"/>
      <c r="D31" s="9"/>
      <c r="E31" s="14"/>
      <c r="F31" s="14"/>
      <c r="G31" s="14"/>
      <c r="H31" s="14"/>
      <c r="I31" s="14"/>
      <c r="J31" s="14"/>
      <c r="K31" s="14"/>
      <c r="L31" s="11"/>
      <c r="M31" s="11"/>
    </row>
    <row r="32" spans="1:13" ht="15">
      <c r="A32" s="9"/>
      <c r="B32" s="9" t="s">
        <v>1521</v>
      </c>
      <c r="C32" s="9"/>
      <c r="D32" s="9"/>
      <c r="E32" s="13">
        <v>-178604</v>
      </c>
      <c r="F32" s="13"/>
      <c r="G32" s="13">
        <v>6259609</v>
      </c>
      <c r="H32" s="13"/>
      <c r="I32" s="14">
        <f>+K32-E32-G32</f>
        <v>5707552</v>
      </c>
      <c r="J32" s="14"/>
      <c r="K32" s="13">
        <v>11788557</v>
      </c>
      <c r="L32" s="11"/>
      <c r="M32" s="11"/>
    </row>
    <row r="33" spans="1:13" ht="15">
      <c r="A33" s="9"/>
      <c r="B33" s="9" t="s">
        <v>1731</v>
      </c>
      <c r="C33" s="9"/>
      <c r="D33" s="9"/>
      <c r="E33" s="13">
        <v>-178604</v>
      </c>
      <c r="F33" s="13"/>
      <c r="G33" s="13">
        <v>6259609</v>
      </c>
      <c r="H33" s="13"/>
      <c r="I33" s="14">
        <f>+K33-E33-G33</f>
        <v>5707138</v>
      </c>
      <c r="J33" s="14"/>
      <c r="K33" s="13">
        <v>11788143</v>
      </c>
      <c r="L33" s="11"/>
      <c r="M33" s="11"/>
    </row>
    <row r="34" spans="1:13" ht="15">
      <c r="A34" s="9"/>
      <c r="B34" s="9"/>
      <c r="C34" s="9"/>
      <c r="D34" s="9"/>
      <c r="E34" s="33" t="s">
        <v>1074</v>
      </c>
      <c r="F34" s="14"/>
      <c r="G34" s="33" t="s">
        <v>1074</v>
      </c>
      <c r="H34" s="14"/>
      <c r="I34" s="33" t="s">
        <v>1074</v>
      </c>
      <c r="J34" s="14"/>
      <c r="K34" s="33" t="s">
        <v>1074</v>
      </c>
      <c r="L34" s="11"/>
      <c r="M34" s="11"/>
    </row>
    <row r="35" spans="1:13" ht="15">
      <c r="A35" s="9"/>
      <c r="B35" s="35" t="s">
        <v>252</v>
      </c>
      <c r="C35" s="9"/>
      <c r="D35" s="9"/>
      <c r="E35" s="14">
        <f>E32-E33</f>
        <v>0</v>
      </c>
      <c r="F35" s="14"/>
      <c r="G35" s="14">
        <f>G32-G33</f>
        <v>0</v>
      </c>
      <c r="H35" s="14"/>
      <c r="I35" s="14">
        <f>I32-I33</f>
        <v>414</v>
      </c>
      <c r="J35" s="14"/>
      <c r="K35" s="14">
        <f>K32-K33</f>
        <v>414</v>
      </c>
      <c r="L35" s="11"/>
      <c r="M35" s="11"/>
    </row>
    <row r="36" spans="1:13" ht="15.75" customHeight="1">
      <c r="A36" s="9"/>
      <c r="B36" s="9"/>
      <c r="C36" s="9"/>
      <c r="D36" s="9"/>
      <c r="E36" s="33" t="s">
        <v>1572</v>
      </c>
      <c r="F36" s="14"/>
      <c r="G36" s="33" t="s">
        <v>1572</v>
      </c>
      <c r="H36" s="14"/>
      <c r="I36" s="33" t="s">
        <v>1572</v>
      </c>
      <c r="J36" s="14"/>
      <c r="K36" s="33" t="s">
        <v>1572</v>
      </c>
      <c r="L36" s="11"/>
      <c r="M36" s="11"/>
    </row>
    <row r="37" spans="1:13" ht="15">
      <c r="A37" s="9"/>
      <c r="B37" s="9"/>
      <c r="C37" s="9"/>
      <c r="D37" s="9"/>
      <c r="E37" s="14"/>
      <c r="F37" s="14"/>
      <c r="G37" s="14"/>
      <c r="H37" s="14"/>
      <c r="I37" s="14"/>
      <c r="J37" s="14"/>
      <c r="K37" s="14"/>
      <c r="L37" s="11"/>
      <c r="M37" s="11"/>
    </row>
    <row r="38" spans="1:13" ht="15">
      <c r="A38" s="9"/>
      <c r="B38" s="9" t="s">
        <v>1461</v>
      </c>
      <c r="C38" s="9"/>
      <c r="D38" s="9"/>
      <c r="E38" s="13">
        <v>-76544</v>
      </c>
      <c r="F38" s="13"/>
      <c r="G38" s="13">
        <v>2682689</v>
      </c>
      <c r="H38" s="13"/>
      <c r="I38" s="14">
        <f>+K38-E38-G38</f>
        <v>2446096</v>
      </c>
      <c r="J38" s="14"/>
      <c r="K38" s="13">
        <v>5052241</v>
      </c>
      <c r="L38" s="11"/>
      <c r="M38" s="11"/>
    </row>
    <row r="39" spans="1:13" ht="15">
      <c r="A39" s="9"/>
      <c r="B39" s="9" t="s">
        <v>1731</v>
      </c>
      <c r="C39" s="9"/>
      <c r="D39" s="9"/>
      <c r="E39" s="13">
        <v>-76544</v>
      </c>
      <c r="F39" s="13"/>
      <c r="G39" s="13">
        <v>2682689</v>
      </c>
      <c r="H39" s="13"/>
      <c r="I39" s="14">
        <f>+K39-E39-G39</f>
        <v>2445918</v>
      </c>
      <c r="J39" s="14"/>
      <c r="K39" s="13">
        <v>5052063</v>
      </c>
      <c r="L39" s="11"/>
      <c r="M39" s="11"/>
    </row>
    <row r="40" spans="1:13" ht="15">
      <c r="A40" s="9"/>
      <c r="B40" s="9"/>
      <c r="C40" s="9"/>
      <c r="D40" s="9"/>
      <c r="E40" s="33" t="s">
        <v>1074</v>
      </c>
      <c r="F40" s="14"/>
      <c r="G40" s="33" t="s">
        <v>1074</v>
      </c>
      <c r="H40" s="14"/>
      <c r="I40" s="33" t="s">
        <v>1074</v>
      </c>
      <c r="J40" s="14"/>
      <c r="K40" s="33" t="s">
        <v>1074</v>
      </c>
      <c r="L40" s="11"/>
      <c r="M40" s="11"/>
    </row>
    <row r="41" spans="1:13" ht="15">
      <c r="A41" s="9"/>
      <c r="B41" s="35" t="s">
        <v>252</v>
      </c>
      <c r="C41" s="9"/>
      <c r="D41" s="9"/>
      <c r="E41" s="14">
        <f>E38-E39</f>
        <v>0</v>
      </c>
      <c r="F41" s="14"/>
      <c r="G41" s="14">
        <f>G38-G39</f>
        <v>0</v>
      </c>
      <c r="H41" s="14"/>
      <c r="I41" s="14">
        <f>I38-I39</f>
        <v>178</v>
      </c>
      <c r="J41" s="14"/>
      <c r="K41" s="14">
        <f>K38-K39</f>
        <v>178</v>
      </c>
      <c r="L41" s="11"/>
      <c r="M41" s="11"/>
    </row>
    <row r="42" spans="1:13" ht="15">
      <c r="A42" s="9"/>
      <c r="B42" s="9"/>
      <c r="C42" s="9"/>
      <c r="D42" s="9"/>
      <c r="E42" s="33" t="s">
        <v>1572</v>
      </c>
      <c r="F42" s="14"/>
      <c r="G42" s="33" t="s">
        <v>1572</v>
      </c>
      <c r="H42" s="14"/>
      <c r="I42" s="33" t="s">
        <v>1572</v>
      </c>
      <c r="J42" s="14"/>
      <c r="K42" s="33" t="s">
        <v>1572</v>
      </c>
      <c r="L42" s="11"/>
      <c r="M42" s="11"/>
    </row>
    <row r="43" spans="1:13" ht="15">
      <c r="A43" s="9"/>
      <c r="B43" s="9"/>
      <c r="C43" s="9"/>
      <c r="D43" s="9"/>
      <c r="E43" s="14"/>
      <c r="F43" s="14"/>
      <c r="G43" s="14"/>
      <c r="H43" s="14"/>
      <c r="I43" s="14"/>
      <c r="J43" s="14"/>
      <c r="K43" s="14"/>
      <c r="L43" s="11"/>
      <c r="M43" s="11"/>
    </row>
    <row r="44" spans="1:13" ht="15">
      <c r="A44" s="9"/>
      <c r="B44" s="9"/>
      <c r="C44" s="9"/>
      <c r="D44" s="9"/>
      <c r="E44" s="14"/>
      <c r="F44" s="14"/>
      <c r="G44" s="14"/>
      <c r="H44" s="14"/>
      <c r="I44" s="14"/>
      <c r="J44" s="14"/>
      <c r="K44" s="14"/>
      <c r="L44" s="11"/>
      <c r="M44" s="11"/>
    </row>
    <row r="45" spans="1:13" ht="15">
      <c r="A45" s="9"/>
      <c r="B45" s="35" t="s">
        <v>625</v>
      </c>
      <c r="C45" s="9"/>
      <c r="D45" s="9"/>
      <c r="E45" s="14">
        <f>E32+E38</f>
        <v>-255148</v>
      </c>
      <c r="F45" s="14"/>
      <c r="G45" s="14">
        <f>G32+G38</f>
        <v>8942298</v>
      </c>
      <c r="H45" s="14"/>
      <c r="I45" s="14">
        <f>I32+I38</f>
        <v>8153648</v>
      </c>
      <c r="J45" s="14"/>
      <c r="K45" s="14">
        <f>K32+K38</f>
        <v>16840798</v>
      </c>
      <c r="L45" s="11"/>
      <c r="M45" s="11"/>
    </row>
    <row r="46" spans="1:13" ht="15">
      <c r="A46" s="9"/>
      <c r="B46" s="9" t="s">
        <v>1731</v>
      </c>
      <c r="C46" s="9"/>
      <c r="D46" s="9"/>
      <c r="E46" s="14">
        <f>E33+E39</f>
        <v>-255148</v>
      </c>
      <c r="F46" s="14"/>
      <c r="G46" s="14">
        <f>G33+G39</f>
        <v>8942298</v>
      </c>
      <c r="H46" s="14"/>
      <c r="I46" s="14">
        <f>I33+I39</f>
        <v>8153056</v>
      </c>
      <c r="J46" s="14"/>
      <c r="K46" s="14">
        <f>K33+K39</f>
        <v>16840206</v>
      </c>
      <c r="L46" s="11"/>
      <c r="M46" s="11"/>
    </row>
    <row r="47" spans="1:13" ht="15">
      <c r="A47" s="9"/>
      <c r="B47" s="9"/>
      <c r="C47" s="9"/>
      <c r="D47" s="9"/>
      <c r="E47" s="33" t="s">
        <v>1074</v>
      </c>
      <c r="F47" s="14"/>
      <c r="G47" s="33" t="s">
        <v>1074</v>
      </c>
      <c r="H47" s="14"/>
      <c r="I47" s="33" t="s">
        <v>1074</v>
      </c>
      <c r="J47" s="14"/>
      <c r="K47" s="33" t="s">
        <v>1074</v>
      </c>
      <c r="L47" s="11"/>
      <c r="M47" s="11"/>
    </row>
    <row r="48" spans="1:13" ht="15">
      <c r="A48" s="9"/>
      <c r="B48" s="35" t="s">
        <v>626</v>
      </c>
      <c r="C48" s="9"/>
      <c r="D48" s="9"/>
      <c r="E48" s="14">
        <f>E45-E46</f>
        <v>0</v>
      </c>
      <c r="F48" s="14"/>
      <c r="G48" s="14">
        <f>G45-G46</f>
        <v>0</v>
      </c>
      <c r="H48" s="14"/>
      <c r="I48" s="14">
        <f>I45-I46</f>
        <v>592</v>
      </c>
      <c r="J48" s="14"/>
      <c r="K48" s="14">
        <f>K45-K46</f>
        <v>592</v>
      </c>
      <c r="L48" s="11"/>
      <c r="M48" s="11"/>
    </row>
    <row r="49" spans="1:13" ht="15">
      <c r="A49" s="9"/>
      <c r="B49" s="9"/>
      <c r="C49" s="9"/>
      <c r="D49" s="9"/>
      <c r="E49" s="33" t="s">
        <v>1572</v>
      </c>
      <c r="F49" s="14"/>
      <c r="G49" s="33" t="s">
        <v>1572</v>
      </c>
      <c r="H49" s="14"/>
      <c r="I49" s="33" t="s">
        <v>1572</v>
      </c>
      <c r="J49" s="14"/>
      <c r="K49" s="33" t="s">
        <v>1572</v>
      </c>
      <c r="L49" s="11"/>
      <c r="M49" s="11"/>
    </row>
    <row r="50" spans="1:13" ht="15">
      <c r="A50" s="9"/>
      <c r="B50" s="9"/>
      <c r="C50" s="9"/>
      <c r="D50" s="9"/>
      <c r="E50" s="14"/>
      <c r="F50" s="14"/>
      <c r="G50" s="14"/>
      <c r="H50" s="14"/>
      <c r="I50" s="14"/>
      <c r="J50" s="14"/>
      <c r="K50" s="14"/>
      <c r="L50" s="11"/>
      <c r="M50" s="11"/>
    </row>
    <row r="51" spans="1:13" ht="15">
      <c r="A51" s="205" t="s">
        <v>1712</v>
      </c>
      <c r="B51" s="9"/>
      <c r="C51" s="9"/>
      <c r="D51" s="9"/>
      <c r="E51" s="14"/>
      <c r="F51" s="14"/>
      <c r="G51" s="14"/>
      <c r="H51" s="14"/>
      <c r="I51" s="14"/>
      <c r="J51" s="14"/>
      <c r="K51" s="14"/>
      <c r="L51" s="11"/>
      <c r="M51" s="11"/>
    </row>
    <row r="52" spans="1:13" ht="15">
      <c r="A52" s="9"/>
      <c r="B52" s="35" t="s">
        <v>8</v>
      </c>
      <c r="C52" s="9"/>
      <c r="D52" s="9"/>
      <c r="E52" s="14">
        <f>E35+E13</f>
        <v>0</v>
      </c>
      <c r="F52" s="14"/>
      <c r="G52" s="14">
        <f>G35+G13</f>
        <v>0</v>
      </c>
      <c r="H52" s="14"/>
      <c r="I52" s="14">
        <f>I35+I13</f>
        <v>-15465</v>
      </c>
      <c r="J52" s="14"/>
      <c r="K52" s="14">
        <f>K35+K13</f>
        <v>-15465</v>
      </c>
      <c r="L52" s="11"/>
      <c r="M52" s="11"/>
    </row>
    <row r="53" spans="1:13" ht="15">
      <c r="A53" s="9"/>
      <c r="B53" s="35" t="s">
        <v>9</v>
      </c>
      <c r="C53" s="9"/>
      <c r="D53" s="9"/>
      <c r="E53" s="14">
        <f>E41+E19</f>
        <v>0</v>
      </c>
      <c r="F53" s="14"/>
      <c r="G53" s="14">
        <f>G41+G19</f>
        <v>0</v>
      </c>
      <c r="H53" s="14"/>
      <c r="I53" s="14">
        <f>I41+I19</f>
        <v>-6628</v>
      </c>
      <c r="J53" s="14"/>
      <c r="K53" s="14">
        <f>K41+K19</f>
        <v>-6628</v>
      </c>
      <c r="L53" s="11"/>
      <c r="M53" s="11"/>
    </row>
    <row r="54" spans="1:13" ht="15">
      <c r="A54" s="9"/>
      <c r="B54" s="9"/>
      <c r="C54" s="9"/>
      <c r="D54" s="9"/>
      <c r="E54" s="33" t="s">
        <v>1074</v>
      </c>
      <c r="F54" s="14"/>
      <c r="G54" s="33" t="s">
        <v>1074</v>
      </c>
      <c r="H54" s="14"/>
      <c r="I54" s="33" t="s">
        <v>1074</v>
      </c>
      <c r="J54" s="14"/>
      <c r="K54" s="33" t="s">
        <v>1074</v>
      </c>
      <c r="L54" s="11"/>
      <c r="M54" s="11"/>
    </row>
    <row r="55" spans="1:13" ht="15">
      <c r="A55" s="9"/>
      <c r="B55" s="35" t="s">
        <v>1804</v>
      </c>
      <c r="C55" s="9"/>
      <c r="D55" s="9"/>
      <c r="E55" s="14">
        <f>SUM(E52:E53)</f>
        <v>0</v>
      </c>
      <c r="F55" s="14"/>
      <c r="G55" s="14">
        <f>SUM(G52:G53)</f>
        <v>0</v>
      </c>
      <c r="H55" s="14"/>
      <c r="I55" s="14">
        <f>SUM(I52:I53)</f>
        <v>-22093</v>
      </c>
      <c r="J55" s="14"/>
      <c r="K55" s="14">
        <f>SUM(K52:K53)</f>
        <v>-22093</v>
      </c>
      <c r="L55" s="11"/>
      <c r="M55" s="11"/>
    </row>
    <row r="56" spans="1:13" ht="15">
      <c r="A56" s="9"/>
      <c r="B56" s="9"/>
      <c r="C56" s="9"/>
      <c r="D56" s="9"/>
      <c r="E56" s="33" t="s">
        <v>1572</v>
      </c>
      <c r="F56" s="14"/>
      <c r="G56" s="33" t="s">
        <v>1572</v>
      </c>
      <c r="H56" s="14"/>
      <c r="I56" s="33" t="s">
        <v>1572</v>
      </c>
      <c r="J56" s="14"/>
      <c r="K56" s="33" t="s">
        <v>1572</v>
      </c>
      <c r="L56" s="11"/>
      <c r="M56" s="11"/>
    </row>
    <row r="57" spans="1:13" ht="15">
      <c r="A57" s="52" t="s">
        <v>1895</v>
      </c>
      <c r="B57" s="9"/>
      <c r="C57" s="9"/>
      <c r="D57" s="9"/>
      <c r="E57" s="14"/>
      <c r="F57" s="14"/>
      <c r="G57" s="14"/>
      <c r="H57" s="14"/>
      <c r="I57" s="14"/>
      <c r="J57" s="14"/>
      <c r="K57" s="14"/>
      <c r="L57" s="11"/>
      <c r="M57" s="11"/>
    </row>
    <row r="58" spans="1:13" ht="15">
      <c r="A58" s="9"/>
      <c r="B58" s="9"/>
      <c r="C58" s="9"/>
      <c r="D58" s="9"/>
      <c r="E58" s="14"/>
      <c r="F58" s="14"/>
      <c r="G58" s="14"/>
      <c r="H58" s="14"/>
      <c r="I58" s="14"/>
      <c r="J58" s="14"/>
      <c r="K58" s="14"/>
      <c r="L58" s="11"/>
      <c r="M58" s="11"/>
    </row>
    <row r="59" spans="1:13" ht="15">
      <c r="A59" s="9"/>
      <c r="B59" s="35" t="s">
        <v>463</v>
      </c>
      <c r="C59" s="9"/>
      <c r="D59" s="9"/>
      <c r="E59" s="14">
        <f>E48+E26</f>
        <v>0</v>
      </c>
      <c r="F59" s="14"/>
      <c r="G59" s="14">
        <f>G48+G26</f>
        <v>0</v>
      </c>
      <c r="H59" s="14"/>
      <c r="I59" s="14">
        <f>I48+I26</f>
        <v>-22093</v>
      </c>
      <c r="J59" s="14"/>
      <c r="K59" s="14">
        <f>K48+K26</f>
        <v>-22093</v>
      </c>
      <c r="L59" s="11"/>
      <c r="M59" s="11"/>
    </row>
    <row r="60" spans="1:13" ht="15">
      <c r="A60" s="9"/>
      <c r="B60" s="9"/>
      <c r="C60" s="9"/>
      <c r="D60" s="9"/>
      <c r="E60" s="33" t="s">
        <v>1572</v>
      </c>
      <c r="F60" s="14"/>
      <c r="G60" s="33" t="s">
        <v>1572</v>
      </c>
      <c r="H60" s="14"/>
      <c r="I60" s="33" t="s">
        <v>1572</v>
      </c>
      <c r="J60" s="14"/>
      <c r="K60" s="33" t="s">
        <v>1572</v>
      </c>
      <c r="L60" s="11"/>
      <c r="M60" s="11"/>
    </row>
    <row r="61" spans="1:13" ht="15">
      <c r="A61" s="9"/>
      <c r="B61" s="9"/>
      <c r="C61" s="9"/>
      <c r="D61" s="9"/>
      <c r="E61" s="33"/>
      <c r="F61" s="14"/>
      <c r="G61" s="33"/>
      <c r="H61" s="14"/>
      <c r="I61" s="33"/>
      <c r="J61" s="14"/>
      <c r="K61" s="33"/>
      <c r="L61" s="11"/>
      <c r="M61" s="11"/>
    </row>
    <row r="62" spans="1:13" ht="15">
      <c r="A62" s="9"/>
      <c r="B62" s="9"/>
      <c r="C62" s="9"/>
      <c r="D62" s="9"/>
      <c r="E62" s="33"/>
      <c r="F62" s="14"/>
      <c r="G62" s="33"/>
      <c r="H62" s="14"/>
      <c r="I62" s="33"/>
      <c r="J62" s="14"/>
      <c r="K62" s="33"/>
      <c r="L62" s="11"/>
      <c r="M62" s="11"/>
    </row>
    <row r="63" spans="1:13" ht="15">
      <c r="A63" s="9"/>
      <c r="B63" s="274"/>
      <c r="C63" s="274"/>
      <c r="D63" s="9"/>
      <c r="E63" s="275"/>
      <c r="F63" s="275"/>
      <c r="G63" s="275"/>
      <c r="H63" s="14"/>
      <c r="I63" s="275"/>
      <c r="J63" s="275"/>
      <c r="K63" s="33"/>
      <c r="L63" s="11"/>
      <c r="M63" s="11"/>
    </row>
    <row r="64" spans="1:13" ht="15">
      <c r="A64" s="9"/>
      <c r="B64" s="274"/>
      <c r="C64" s="274"/>
      <c r="D64" s="9"/>
      <c r="E64" s="275"/>
      <c r="F64" s="275"/>
      <c r="G64" s="275"/>
      <c r="H64" s="14"/>
      <c r="I64" s="275"/>
      <c r="J64" s="275"/>
      <c r="K64" s="33"/>
      <c r="L64" s="11"/>
      <c r="M64" s="11"/>
    </row>
    <row r="65" spans="1:13" ht="15">
      <c r="A65" s="9"/>
      <c r="B65" s="9"/>
      <c r="C65" s="9"/>
      <c r="D65" s="9"/>
      <c r="E65" s="33"/>
      <c r="F65" s="14"/>
      <c r="G65" s="33"/>
      <c r="H65" s="14"/>
      <c r="I65" s="33"/>
      <c r="J65" s="14"/>
      <c r="K65" s="33"/>
      <c r="L65" s="11"/>
      <c r="M65" s="11"/>
    </row>
    <row r="66" spans="1:13" ht="15">
      <c r="A66" s="9"/>
      <c r="B66" s="9"/>
      <c r="C66" s="9"/>
      <c r="D66" s="9"/>
      <c r="E66" s="9"/>
      <c r="F66" s="9"/>
      <c r="G66" s="9"/>
      <c r="H66" s="9"/>
      <c r="I66" s="9"/>
      <c r="J66" s="9"/>
      <c r="K66" s="9"/>
      <c r="L66" s="11"/>
      <c r="M66" s="11"/>
    </row>
    <row r="67" spans="1:13" ht="15">
      <c r="A67" s="9"/>
      <c r="B67" s="9"/>
      <c r="C67" s="276"/>
      <c r="D67" s="276"/>
      <c r="E67" s="276"/>
      <c r="F67" s="276"/>
      <c r="G67" s="276"/>
      <c r="H67" s="276"/>
      <c r="I67" s="276"/>
      <c r="J67" s="276"/>
      <c r="K67" s="276"/>
      <c r="L67" s="11"/>
      <c r="M67" s="11"/>
    </row>
    <row r="68" spans="1:13" ht="15">
      <c r="A68" s="9"/>
      <c r="B68" s="9"/>
      <c r="C68" s="276"/>
      <c r="D68" s="276"/>
      <c r="E68" s="276"/>
      <c r="F68" s="276"/>
      <c r="G68" s="276"/>
      <c r="H68" s="276"/>
      <c r="I68" s="276"/>
      <c r="J68" s="276"/>
      <c r="K68" s="276"/>
      <c r="L68" s="11"/>
      <c r="M68" s="11"/>
    </row>
    <row r="69" spans="1:13" ht="15">
      <c r="A69" s="11"/>
      <c r="B69" s="9"/>
      <c r="C69" s="276"/>
      <c r="D69" s="276"/>
      <c r="E69" s="276"/>
      <c r="F69" s="276"/>
      <c r="G69" s="276"/>
      <c r="H69" s="276"/>
      <c r="I69" s="276"/>
      <c r="J69" s="276"/>
      <c r="K69" s="276"/>
      <c r="L69" s="11"/>
      <c r="M69" s="11"/>
    </row>
    <row r="70" spans="1:13" ht="15">
      <c r="A70" s="11"/>
      <c r="B70" s="9"/>
      <c r="C70" s="276"/>
      <c r="D70" s="276"/>
      <c r="E70" s="276"/>
      <c r="F70" s="276"/>
      <c r="G70" s="276"/>
      <c r="H70" s="276"/>
      <c r="I70" s="276"/>
      <c r="J70" s="276"/>
      <c r="K70" s="276"/>
      <c r="L70" s="11"/>
      <c r="M70" s="11"/>
    </row>
    <row r="71" spans="1:13" ht="12.75">
      <c r="A71" s="11"/>
      <c r="B71" s="11"/>
      <c r="C71" s="11"/>
      <c r="D71" s="11"/>
      <c r="E71" s="11"/>
      <c r="F71" s="11"/>
      <c r="G71" s="11"/>
      <c r="H71" s="11"/>
      <c r="I71" s="11"/>
      <c r="J71" s="11"/>
      <c r="K71" s="277"/>
      <c r="L71" s="11"/>
      <c r="M71" s="11"/>
    </row>
    <row r="72" spans="1:13" ht="12.75">
      <c r="A72" s="11"/>
      <c r="B72" s="11"/>
      <c r="C72" s="11"/>
      <c r="D72" s="11"/>
      <c r="E72" s="11"/>
      <c r="F72" s="11"/>
      <c r="G72" s="11"/>
      <c r="H72" s="11"/>
      <c r="I72" s="11"/>
      <c r="J72" s="11"/>
      <c r="K72" s="11"/>
      <c r="L72" s="11"/>
      <c r="M72" s="11"/>
    </row>
    <row r="73" spans="1:13" ht="15">
      <c r="A73" s="43" t="s">
        <v>536</v>
      </c>
      <c r="B73" s="11"/>
      <c r="C73" s="11"/>
      <c r="D73" s="11"/>
      <c r="E73" s="11"/>
      <c r="F73" s="11"/>
      <c r="G73" s="11"/>
      <c r="H73" s="11"/>
      <c r="I73" s="11"/>
      <c r="J73" s="11"/>
      <c r="K73" s="11"/>
      <c r="L73" s="11"/>
      <c r="M73" s="11"/>
    </row>
    <row r="74" spans="1:13" ht="15">
      <c r="A74" s="43"/>
      <c r="B74" s="11" t="s">
        <v>1173</v>
      </c>
      <c r="C74" s="11"/>
      <c r="D74" s="11"/>
      <c r="E74" s="11"/>
      <c r="F74" s="11"/>
      <c r="G74" s="11"/>
      <c r="H74" s="11"/>
      <c r="I74" s="11"/>
      <c r="J74" s="11"/>
      <c r="K74" s="11"/>
      <c r="L74" s="11"/>
      <c r="M74" s="11"/>
    </row>
    <row r="75" spans="1:13" ht="15">
      <c r="A75" s="43"/>
      <c r="B75" s="11" t="s">
        <v>28</v>
      </c>
      <c r="C75" s="11"/>
      <c r="D75" s="11"/>
      <c r="E75" s="11"/>
      <c r="F75" s="11"/>
      <c r="G75" s="11"/>
      <c r="H75" s="11"/>
      <c r="I75" s="11"/>
      <c r="J75" s="11"/>
      <c r="K75" s="11"/>
      <c r="L75" s="11"/>
      <c r="M75" s="11"/>
    </row>
    <row r="76" spans="1:13" ht="15">
      <c r="A76" s="43"/>
      <c r="B76" s="11" t="s">
        <v>1209</v>
      </c>
      <c r="C76" s="11"/>
      <c r="D76" s="11"/>
      <c r="E76" s="11"/>
      <c r="F76" s="11"/>
      <c r="G76" s="11"/>
      <c r="H76" s="11"/>
      <c r="I76" s="11"/>
      <c r="J76" s="11"/>
      <c r="K76" s="11"/>
      <c r="L76" s="11"/>
      <c r="M76" s="11"/>
    </row>
    <row r="77" spans="1:13" ht="15">
      <c r="A77" s="43"/>
      <c r="B77" s="11" t="s">
        <v>917</v>
      </c>
      <c r="C77" s="11"/>
      <c r="D77" s="11"/>
      <c r="E77" s="11"/>
      <c r="F77" s="11"/>
      <c r="G77" s="11"/>
      <c r="H77" s="11"/>
      <c r="I77" s="11"/>
      <c r="J77" s="11"/>
      <c r="K77" s="11"/>
      <c r="L77" s="11"/>
      <c r="M77" s="11"/>
    </row>
    <row r="78" spans="1:13" ht="15">
      <c r="A78" s="43"/>
      <c r="B78" s="11" t="s">
        <v>1247</v>
      </c>
      <c r="C78" s="11"/>
      <c r="D78" s="11"/>
      <c r="E78" s="11"/>
      <c r="F78" s="11"/>
      <c r="G78" s="11"/>
      <c r="H78" s="11"/>
      <c r="I78" s="11"/>
      <c r="J78" s="11"/>
      <c r="K78" s="11"/>
      <c r="L78" s="11"/>
      <c r="M78" s="11"/>
    </row>
    <row r="79" spans="1:13" ht="15">
      <c r="A79" s="43"/>
      <c r="B79" s="11" t="s">
        <v>143</v>
      </c>
      <c r="C79" s="11"/>
      <c r="D79" s="11"/>
      <c r="E79" s="11"/>
      <c r="F79" s="11"/>
      <c r="G79" s="11"/>
      <c r="H79" s="11"/>
      <c r="I79" s="11"/>
      <c r="J79" s="11"/>
      <c r="K79" s="11"/>
      <c r="L79" s="11"/>
      <c r="M79" s="11"/>
    </row>
    <row r="80" spans="1:13" ht="15">
      <c r="A80" s="43"/>
      <c r="B80" s="11" t="s">
        <v>144</v>
      </c>
      <c r="C80" s="11"/>
      <c r="D80" s="11"/>
      <c r="E80" s="11"/>
      <c r="F80" s="11"/>
      <c r="G80" s="11"/>
      <c r="H80" s="11"/>
      <c r="I80" s="11"/>
      <c r="J80" s="11"/>
      <c r="K80" s="11"/>
      <c r="L80" s="11"/>
      <c r="M80" s="11"/>
    </row>
    <row r="81" spans="1:13" ht="15">
      <c r="A81" s="43"/>
      <c r="B81" s="11" t="s">
        <v>1283</v>
      </c>
      <c r="C81" s="11"/>
      <c r="D81" s="11"/>
      <c r="E81" s="11"/>
      <c r="F81" s="11"/>
      <c r="G81" s="11"/>
      <c r="H81" s="11"/>
      <c r="I81" s="11"/>
      <c r="J81" s="11"/>
      <c r="K81" s="11"/>
      <c r="L81" s="11"/>
      <c r="M81" s="11"/>
    </row>
    <row r="82" spans="1:13" ht="15">
      <c r="A82" s="43"/>
      <c r="B82" s="11" t="s">
        <v>192</v>
      </c>
      <c r="C82" s="11"/>
      <c r="D82" s="11"/>
      <c r="E82" s="11"/>
      <c r="F82" s="11"/>
      <c r="G82" s="11"/>
      <c r="H82" s="11"/>
      <c r="I82" s="11"/>
      <c r="J82" s="11"/>
      <c r="K82" s="11"/>
      <c r="L82" s="11"/>
      <c r="M82" s="11"/>
    </row>
    <row r="83" spans="1:13" ht="12.75">
      <c r="A83" s="11"/>
      <c r="B83" s="11" t="s">
        <v>537</v>
      </c>
      <c r="C83" s="11"/>
      <c r="D83" s="11"/>
      <c r="E83" s="11"/>
      <c r="F83" s="11"/>
      <c r="G83" s="11"/>
      <c r="H83" s="11"/>
      <c r="I83" s="11"/>
      <c r="J83" s="11"/>
      <c r="K83" s="11"/>
      <c r="L83" s="11"/>
      <c r="M83" s="11"/>
    </row>
    <row r="84" spans="1:13" ht="12.75">
      <c r="A84" s="11"/>
      <c r="B84" s="11" t="s">
        <v>1208</v>
      </c>
      <c r="C84" s="11"/>
      <c r="D84" s="11"/>
      <c r="E84" s="11"/>
      <c r="F84" s="11"/>
      <c r="G84" s="11"/>
      <c r="H84" s="11"/>
      <c r="I84" s="11"/>
      <c r="J84" s="11"/>
      <c r="K84" s="11"/>
      <c r="L84" s="11"/>
      <c r="M84" s="11"/>
    </row>
    <row r="85" spans="1:13" ht="12.75">
      <c r="A85" s="11"/>
      <c r="B85" s="11" t="s">
        <v>1884</v>
      </c>
      <c r="C85" s="11"/>
      <c r="D85" s="11"/>
      <c r="E85" s="11"/>
      <c r="F85" s="11"/>
      <c r="G85" s="11"/>
      <c r="H85" s="11"/>
      <c r="I85" s="11"/>
      <c r="J85" s="11"/>
      <c r="K85" s="11"/>
      <c r="L85" s="11"/>
      <c r="M85" s="11"/>
    </row>
    <row r="86" spans="1:13" ht="12.75">
      <c r="A86" s="11"/>
      <c r="B86" s="11"/>
      <c r="C86" s="11"/>
      <c r="D86" s="11"/>
      <c r="E86" s="11"/>
      <c r="F86" s="11"/>
      <c r="G86" s="11"/>
      <c r="H86" s="11"/>
      <c r="I86" s="11"/>
      <c r="J86" s="11"/>
      <c r="K86" s="11"/>
      <c r="L86" s="11"/>
      <c r="M86" s="11"/>
    </row>
    <row r="87" spans="1:13" ht="12.75">
      <c r="A87" s="11"/>
      <c r="B87" s="11"/>
      <c r="C87" s="11"/>
      <c r="D87" s="11"/>
      <c r="E87" s="11"/>
      <c r="F87" s="11"/>
      <c r="G87" s="11"/>
      <c r="H87" s="11"/>
      <c r="I87" s="11"/>
      <c r="J87" s="11"/>
      <c r="K87" s="11"/>
      <c r="L87" s="11"/>
      <c r="M87" s="11"/>
    </row>
    <row r="88" spans="1:13" ht="12.75">
      <c r="A88" s="11"/>
      <c r="B88" s="11"/>
      <c r="C88" s="11"/>
      <c r="D88" s="11"/>
      <c r="E88" s="11"/>
      <c r="F88" s="11"/>
      <c r="G88" s="11"/>
      <c r="H88" s="11"/>
      <c r="I88" s="11"/>
      <c r="J88" s="11"/>
      <c r="K88" s="11"/>
      <c r="L88" s="11"/>
      <c r="M88" s="11"/>
    </row>
    <row r="89" spans="1:13" ht="15">
      <c r="A89" s="43"/>
      <c r="B89" s="11"/>
      <c r="C89" s="11"/>
      <c r="D89" s="11"/>
      <c r="E89" s="11"/>
      <c r="F89" s="11"/>
      <c r="G89" s="11"/>
      <c r="H89" s="11"/>
      <c r="I89" s="11"/>
      <c r="J89" s="11"/>
      <c r="K89" s="11"/>
      <c r="L89" s="11"/>
      <c r="M89" s="11"/>
    </row>
    <row r="90" spans="1:13" ht="12.75">
      <c r="A90" s="11"/>
      <c r="B90" s="11"/>
      <c r="C90" s="11"/>
      <c r="D90" s="11"/>
      <c r="E90" s="11"/>
      <c r="F90" s="11"/>
      <c r="G90" s="11"/>
      <c r="H90" s="11"/>
      <c r="I90" s="11"/>
      <c r="J90" s="11"/>
      <c r="K90" s="11"/>
      <c r="L90" s="11"/>
      <c r="M90" s="11"/>
    </row>
    <row r="91" spans="1:13" ht="12.75">
      <c r="A91" s="11"/>
      <c r="B91" s="11"/>
      <c r="C91" s="11"/>
      <c r="D91" s="11"/>
      <c r="E91" s="11"/>
      <c r="F91" s="11"/>
      <c r="G91" s="11"/>
      <c r="H91" s="11"/>
      <c r="I91" s="11"/>
      <c r="J91" s="11"/>
      <c r="K91" s="11"/>
      <c r="L91" s="11"/>
      <c r="M91" s="11"/>
    </row>
    <row r="92" spans="1:13" ht="12.75">
      <c r="A92" s="11"/>
      <c r="B92" s="11"/>
      <c r="C92" s="11"/>
      <c r="D92" s="11"/>
      <c r="E92" s="11"/>
      <c r="F92" s="11"/>
      <c r="G92" s="11"/>
      <c r="H92" s="11"/>
      <c r="I92" s="11"/>
      <c r="J92" s="11"/>
      <c r="K92" s="11"/>
      <c r="L92" s="11"/>
      <c r="M92" s="11"/>
    </row>
    <row r="93" spans="1:13" ht="12.75">
      <c r="A93" s="11"/>
      <c r="B93" s="11"/>
      <c r="C93" s="11"/>
      <c r="D93" s="11"/>
      <c r="E93" s="11"/>
      <c r="F93" s="11"/>
      <c r="G93" s="11"/>
      <c r="H93" s="11"/>
      <c r="I93" s="11"/>
      <c r="J93" s="11"/>
      <c r="K93" s="11"/>
      <c r="L93" s="11"/>
      <c r="M93" s="11"/>
    </row>
    <row r="94" spans="1:13" ht="12.75">
      <c r="A94" s="11"/>
      <c r="B94" s="11"/>
      <c r="C94" s="11"/>
      <c r="D94" s="11"/>
      <c r="E94" s="11"/>
      <c r="F94" s="11"/>
      <c r="G94" s="11"/>
      <c r="H94" s="11"/>
      <c r="I94" s="11"/>
      <c r="J94" s="11"/>
      <c r="K94" s="11"/>
      <c r="L94" s="11"/>
      <c r="M94" s="11"/>
    </row>
    <row r="95" spans="1:13" ht="12.75">
      <c r="A95" s="11"/>
      <c r="B95" s="11"/>
      <c r="C95" s="11"/>
      <c r="D95" s="11"/>
      <c r="E95" s="11"/>
      <c r="F95" s="11"/>
      <c r="G95" s="11"/>
      <c r="H95" s="11"/>
      <c r="I95" s="11"/>
      <c r="J95" s="11"/>
      <c r="K95" s="11"/>
      <c r="L95" s="11"/>
      <c r="M95" s="11"/>
    </row>
    <row r="96" spans="1:13" ht="12.75">
      <c r="A96" s="11"/>
      <c r="B96" s="11"/>
      <c r="C96" s="11"/>
      <c r="D96" s="11"/>
      <c r="E96" s="11"/>
      <c r="F96" s="11"/>
      <c r="G96" s="11"/>
      <c r="H96" s="11"/>
      <c r="I96" s="11"/>
      <c r="J96" s="11"/>
      <c r="K96" s="11"/>
      <c r="L96" s="11"/>
      <c r="M96" s="11"/>
    </row>
    <row r="97" spans="1:13" ht="12.75">
      <c r="A97" s="11"/>
      <c r="B97" s="11"/>
      <c r="C97" s="11"/>
      <c r="D97" s="11"/>
      <c r="E97" s="11"/>
      <c r="F97" s="11"/>
      <c r="G97" s="11"/>
      <c r="H97" s="11"/>
      <c r="I97" s="11"/>
      <c r="J97" s="11"/>
      <c r="K97" s="11"/>
      <c r="L97" s="11"/>
      <c r="M97" s="11"/>
    </row>
    <row r="98" spans="1:13" ht="12.75">
      <c r="A98" s="11"/>
      <c r="B98" s="11"/>
      <c r="C98" s="11"/>
      <c r="D98" s="11"/>
      <c r="E98" s="11"/>
      <c r="F98" s="11"/>
      <c r="G98" s="11"/>
      <c r="H98" s="11"/>
      <c r="I98" s="11"/>
      <c r="J98" s="11"/>
      <c r="K98" s="11"/>
      <c r="L98" s="11"/>
      <c r="M98" s="11"/>
    </row>
    <row r="99" spans="1:13" ht="12.75">
      <c r="A99" s="11"/>
      <c r="B99" s="11"/>
      <c r="C99" s="11"/>
      <c r="D99" s="11"/>
      <c r="E99" s="11"/>
      <c r="F99" s="11"/>
      <c r="G99" s="11"/>
      <c r="H99" s="11"/>
      <c r="I99" s="11"/>
      <c r="J99" s="11"/>
      <c r="K99" s="11"/>
      <c r="L99" s="11"/>
      <c r="M99" s="11"/>
    </row>
    <row r="100" spans="1:13" ht="12.75">
      <c r="A100" s="11"/>
      <c r="B100" s="11"/>
      <c r="C100" s="11"/>
      <c r="D100" s="11"/>
      <c r="E100" s="11"/>
      <c r="F100" s="11"/>
      <c r="G100" s="11"/>
      <c r="H100" s="11"/>
      <c r="I100" s="11"/>
      <c r="J100" s="11"/>
      <c r="K100" s="11"/>
      <c r="L100" s="11"/>
      <c r="M100" s="11"/>
    </row>
    <row r="101" spans="1:13" ht="12.75">
      <c r="A101" s="11"/>
      <c r="B101" s="11"/>
      <c r="C101" s="11"/>
      <c r="D101" s="11"/>
      <c r="E101" s="11"/>
      <c r="F101" s="11"/>
      <c r="G101" s="11"/>
      <c r="H101" s="11"/>
      <c r="I101" s="11"/>
      <c r="J101" s="11"/>
      <c r="K101" s="11"/>
      <c r="L101" s="11"/>
      <c r="M101" s="11"/>
    </row>
    <row r="102" spans="1:13" ht="12.75">
      <c r="A102" s="11"/>
      <c r="B102" s="11"/>
      <c r="C102" s="11"/>
      <c r="D102" s="11"/>
      <c r="E102" s="11"/>
      <c r="F102" s="11"/>
      <c r="G102" s="11"/>
      <c r="H102" s="11"/>
      <c r="I102" s="11"/>
      <c r="J102" s="11"/>
      <c r="K102" s="11"/>
      <c r="L102" s="11"/>
      <c r="M102" s="11"/>
    </row>
    <row r="103" spans="1:13" ht="12.75">
      <c r="A103" s="11"/>
      <c r="B103" s="11"/>
      <c r="C103" s="11"/>
      <c r="D103" s="11"/>
      <c r="E103" s="11"/>
      <c r="F103" s="11"/>
      <c r="G103" s="11"/>
      <c r="H103" s="11"/>
      <c r="I103" s="11"/>
      <c r="J103" s="11"/>
      <c r="K103" s="11"/>
      <c r="L103" s="11"/>
      <c r="M103" s="11"/>
    </row>
    <row r="104" spans="1:13" ht="12.75">
      <c r="A104" s="11"/>
      <c r="B104" s="11"/>
      <c r="C104" s="11"/>
      <c r="D104" s="11"/>
      <c r="E104" s="11"/>
      <c r="F104" s="11"/>
      <c r="G104" s="11"/>
      <c r="H104" s="11"/>
      <c r="I104" s="11"/>
      <c r="J104" s="11"/>
      <c r="K104" s="11"/>
      <c r="L104" s="11"/>
      <c r="M104" s="11"/>
    </row>
    <row r="105" spans="1:13" ht="12.75">
      <c r="A105" s="11"/>
      <c r="B105" s="11"/>
      <c r="C105" s="11"/>
      <c r="D105" s="11"/>
      <c r="E105" s="11"/>
      <c r="F105" s="11"/>
      <c r="G105" s="11"/>
      <c r="H105" s="11"/>
      <c r="I105" s="11"/>
      <c r="J105" s="11"/>
      <c r="K105" s="11"/>
      <c r="L105" s="11"/>
      <c r="M105" s="11"/>
    </row>
    <row r="106" spans="1:13" ht="12.75">
      <c r="A106" s="11"/>
      <c r="B106" s="11"/>
      <c r="C106" s="11"/>
      <c r="D106" s="11"/>
      <c r="E106" s="11"/>
      <c r="F106" s="11"/>
      <c r="G106" s="11"/>
      <c r="H106" s="11"/>
      <c r="I106" s="11"/>
      <c r="J106" s="11"/>
      <c r="K106" s="11"/>
      <c r="L106" s="11"/>
      <c r="M106" s="11"/>
    </row>
    <row r="107" spans="1:13" ht="12.75">
      <c r="A107" s="11"/>
      <c r="B107" s="11"/>
      <c r="C107" s="11"/>
      <c r="D107" s="11"/>
      <c r="E107" s="11"/>
      <c r="F107" s="11"/>
      <c r="G107" s="11"/>
      <c r="H107" s="11"/>
      <c r="I107" s="11"/>
      <c r="J107" s="11"/>
      <c r="K107" s="11"/>
      <c r="L107" s="11"/>
      <c r="M107" s="11"/>
    </row>
    <row r="108" spans="1:13" ht="12.75">
      <c r="A108" s="11"/>
      <c r="B108" s="11"/>
      <c r="C108" s="11"/>
      <c r="D108" s="11"/>
      <c r="E108" s="11"/>
      <c r="F108" s="11"/>
      <c r="G108" s="11"/>
      <c r="H108" s="11"/>
      <c r="I108" s="11"/>
      <c r="J108" s="11"/>
      <c r="K108" s="11"/>
      <c r="L108" s="11"/>
      <c r="M108" s="11"/>
    </row>
    <row r="109" spans="1:13" ht="12.75">
      <c r="A109" s="11"/>
      <c r="B109" s="11"/>
      <c r="C109" s="11"/>
      <c r="D109" s="11"/>
      <c r="E109" s="11"/>
      <c r="F109" s="11"/>
      <c r="G109" s="11"/>
      <c r="H109" s="11"/>
      <c r="I109" s="11"/>
      <c r="J109" s="11"/>
      <c r="K109" s="11"/>
      <c r="L109" s="11"/>
      <c r="M109" s="11"/>
    </row>
    <row r="110" spans="1:13" ht="12.75">
      <c r="A110" s="11"/>
      <c r="B110" s="11"/>
      <c r="C110" s="11"/>
      <c r="D110" s="11"/>
      <c r="E110" s="11"/>
      <c r="F110" s="11"/>
      <c r="G110" s="11"/>
      <c r="H110" s="11"/>
      <c r="I110" s="11"/>
      <c r="J110" s="11"/>
      <c r="K110" s="11"/>
      <c r="L110" s="11"/>
      <c r="M110" s="11"/>
    </row>
    <row r="111" spans="1:13" ht="12.75">
      <c r="A111" s="11"/>
      <c r="B111" s="11"/>
      <c r="C111" s="11"/>
      <c r="D111" s="11"/>
      <c r="E111" s="11"/>
      <c r="F111" s="11"/>
      <c r="G111" s="11"/>
      <c r="H111" s="11"/>
      <c r="I111" s="11"/>
      <c r="J111" s="11"/>
      <c r="K111" s="11"/>
      <c r="L111" s="11"/>
      <c r="M111" s="11"/>
    </row>
    <row r="112" spans="1:13" ht="12.75">
      <c r="A112" s="11"/>
      <c r="B112" s="11"/>
      <c r="C112" s="11"/>
      <c r="D112" s="11"/>
      <c r="E112" s="11"/>
      <c r="F112" s="11"/>
      <c r="G112" s="11"/>
      <c r="H112" s="11"/>
      <c r="I112" s="11"/>
      <c r="J112" s="11"/>
      <c r="K112" s="11"/>
      <c r="L112" s="11"/>
      <c r="M112" s="11"/>
    </row>
    <row r="113" spans="1:13" ht="12.75">
      <c r="A113" s="11"/>
      <c r="B113" s="11"/>
      <c r="C113" s="11"/>
      <c r="D113" s="11"/>
      <c r="E113" s="11"/>
      <c r="F113" s="11"/>
      <c r="G113" s="11"/>
      <c r="H113" s="11"/>
      <c r="I113" s="11"/>
      <c r="J113" s="11"/>
      <c r="K113" s="11"/>
      <c r="L113" s="11"/>
      <c r="M113" s="11"/>
    </row>
    <row r="114" spans="1:13" ht="12.75">
      <c r="A114" s="11"/>
      <c r="B114" s="11"/>
      <c r="C114" s="11"/>
      <c r="D114" s="11"/>
      <c r="E114" s="11"/>
      <c r="F114" s="11"/>
      <c r="G114" s="11"/>
      <c r="H114" s="11"/>
      <c r="I114" s="11"/>
      <c r="J114" s="11"/>
      <c r="K114" s="11"/>
      <c r="L114" s="11"/>
      <c r="M114" s="11"/>
    </row>
    <row r="115" spans="1:13" ht="12.75">
      <c r="A115" s="11"/>
      <c r="B115" s="11"/>
      <c r="C115" s="11"/>
      <c r="D115" s="11"/>
      <c r="E115" s="11"/>
      <c r="F115" s="11"/>
      <c r="G115" s="11"/>
      <c r="H115" s="11"/>
      <c r="I115" s="11"/>
      <c r="J115" s="11"/>
      <c r="K115" s="11"/>
      <c r="L115" s="11"/>
      <c r="M115" s="11"/>
    </row>
    <row r="116" spans="1:13" ht="12.75">
      <c r="A116" s="11"/>
      <c r="B116" s="11"/>
      <c r="C116" s="11"/>
      <c r="D116" s="11"/>
      <c r="E116" s="11"/>
      <c r="F116" s="11"/>
      <c r="G116" s="11"/>
      <c r="H116" s="11"/>
      <c r="I116" s="11"/>
      <c r="J116" s="11"/>
      <c r="K116" s="11"/>
      <c r="L116" s="11"/>
      <c r="M116" s="11"/>
    </row>
    <row r="117" spans="1:13" ht="12.75">
      <c r="A117" s="11"/>
      <c r="B117" s="11"/>
      <c r="C117" s="11"/>
      <c r="D117" s="11"/>
      <c r="E117" s="11"/>
      <c r="F117" s="11"/>
      <c r="G117" s="11"/>
      <c r="H117" s="11"/>
      <c r="I117" s="11"/>
      <c r="J117" s="11"/>
      <c r="K117" s="11"/>
      <c r="L117" s="11"/>
      <c r="M117" s="11"/>
    </row>
    <row r="118" spans="1:13" ht="12.75">
      <c r="A118" s="11"/>
      <c r="B118" s="11"/>
      <c r="C118" s="11"/>
      <c r="D118" s="11"/>
      <c r="E118" s="11"/>
      <c r="F118" s="11"/>
      <c r="G118" s="11"/>
      <c r="H118" s="11"/>
      <c r="I118" s="11"/>
      <c r="J118" s="11"/>
      <c r="K118" s="11"/>
      <c r="L118" s="11"/>
      <c r="M118" s="11"/>
    </row>
    <row r="119" spans="1:13" ht="12.75">
      <c r="A119" s="11"/>
      <c r="B119" s="11"/>
      <c r="C119" s="11"/>
      <c r="D119" s="11"/>
      <c r="E119" s="11"/>
      <c r="F119" s="11"/>
      <c r="G119" s="11"/>
      <c r="H119" s="11"/>
      <c r="I119" s="11"/>
      <c r="J119" s="11"/>
      <c r="K119" s="11"/>
      <c r="L119" s="11"/>
      <c r="M119" s="11"/>
    </row>
    <row r="120" spans="1:13" ht="12.75">
      <c r="A120" s="11"/>
      <c r="B120" s="11"/>
      <c r="C120" s="11"/>
      <c r="D120" s="11"/>
      <c r="E120" s="11"/>
      <c r="F120" s="11"/>
      <c r="G120" s="11"/>
      <c r="H120" s="11"/>
      <c r="I120" s="11"/>
      <c r="J120" s="11"/>
      <c r="K120" s="11"/>
      <c r="L120" s="11"/>
      <c r="M120" s="11"/>
    </row>
    <row r="121" spans="1:13" ht="12.75">
      <c r="A121" s="11"/>
      <c r="B121" s="11"/>
      <c r="C121" s="11"/>
      <c r="D121" s="11"/>
      <c r="E121" s="11"/>
      <c r="F121" s="11"/>
      <c r="G121" s="11"/>
      <c r="H121" s="11"/>
      <c r="I121" s="11"/>
      <c r="J121" s="11"/>
      <c r="K121" s="11"/>
      <c r="L121" s="11"/>
      <c r="M121" s="11"/>
    </row>
    <row r="122" spans="1:13" ht="12.75">
      <c r="A122" s="11"/>
      <c r="B122" s="11"/>
      <c r="C122" s="11"/>
      <c r="D122" s="11"/>
      <c r="E122" s="11"/>
      <c r="F122" s="11"/>
      <c r="G122" s="11"/>
      <c r="H122" s="11"/>
      <c r="I122" s="11"/>
      <c r="J122" s="11"/>
      <c r="K122" s="11"/>
      <c r="L122" s="11"/>
      <c r="M122" s="11"/>
    </row>
    <row r="123" spans="1:13" ht="12.75">
      <c r="A123" s="11"/>
      <c r="B123" s="11"/>
      <c r="C123" s="11"/>
      <c r="D123" s="11"/>
      <c r="E123" s="11"/>
      <c r="F123" s="11"/>
      <c r="G123" s="11"/>
      <c r="H123" s="11"/>
      <c r="I123" s="11"/>
      <c r="J123" s="11"/>
      <c r="K123" s="11"/>
      <c r="L123" s="11"/>
      <c r="M123" s="11"/>
    </row>
    <row r="124" spans="1:13" ht="12.75">
      <c r="A124" s="11"/>
      <c r="B124" s="11"/>
      <c r="C124" s="11"/>
      <c r="D124" s="11"/>
      <c r="E124" s="11"/>
      <c r="F124" s="11"/>
      <c r="G124" s="11"/>
      <c r="H124" s="11"/>
      <c r="I124" s="11"/>
      <c r="J124" s="11"/>
      <c r="K124" s="11"/>
      <c r="L124" s="11"/>
      <c r="M124" s="11"/>
    </row>
    <row r="125" spans="1:13" ht="12.75">
      <c r="A125" s="11"/>
      <c r="B125" s="11"/>
      <c r="C125" s="11"/>
      <c r="D125" s="11"/>
      <c r="E125" s="11"/>
      <c r="F125" s="11"/>
      <c r="G125" s="11"/>
      <c r="H125" s="11"/>
      <c r="I125" s="11"/>
      <c r="J125" s="11"/>
      <c r="K125" s="11"/>
      <c r="L125" s="11"/>
      <c r="M125" s="11"/>
    </row>
    <row r="126" spans="1:13" ht="12.75">
      <c r="A126" s="11"/>
      <c r="B126" s="11"/>
      <c r="C126" s="11"/>
      <c r="D126" s="11"/>
      <c r="E126" s="11"/>
      <c r="F126" s="11"/>
      <c r="G126" s="11"/>
      <c r="H126" s="11"/>
      <c r="I126" s="11"/>
      <c r="J126" s="11"/>
      <c r="K126" s="11"/>
      <c r="L126" s="11"/>
      <c r="M126" s="11"/>
    </row>
    <row r="127" spans="1:13" ht="12.75">
      <c r="A127" s="11"/>
      <c r="B127" s="11"/>
      <c r="C127" s="11"/>
      <c r="D127" s="11"/>
      <c r="E127" s="11"/>
      <c r="F127" s="11"/>
      <c r="G127" s="11"/>
      <c r="H127" s="11"/>
      <c r="I127" s="11"/>
      <c r="J127" s="11"/>
      <c r="K127" s="11"/>
      <c r="L127" s="11"/>
      <c r="M127" s="11"/>
    </row>
    <row r="128" spans="1:13" ht="12.75">
      <c r="A128" s="11"/>
      <c r="B128" s="11"/>
      <c r="C128" s="11"/>
      <c r="D128" s="11"/>
      <c r="E128" s="11"/>
      <c r="F128" s="11"/>
      <c r="G128" s="11"/>
      <c r="H128" s="11"/>
      <c r="I128" s="11"/>
      <c r="J128" s="11"/>
      <c r="K128" s="11"/>
      <c r="L128" s="11"/>
      <c r="M128" s="11"/>
    </row>
    <row r="129" spans="1:13" ht="12.75">
      <c r="A129" s="11"/>
      <c r="B129" s="11"/>
      <c r="C129" s="11"/>
      <c r="D129" s="11"/>
      <c r="E129" s="11"/>
      <c r="F129" s="11"/>
      <c r="G129" s="11"/>
      <c r="H129" s="11"/>
      <c r="I129" s="11"/>
      <c r="J129" s="11"/>
      <c r="K129" s="11"/>
      <c r="L129" s="11"/>
      <c r="M129" s="11"/>
    </row>
    <row r="130" spans="1:13" ht="12.75">
      <c r="A130" s="11"/>
      <c r="B130" s="11"/>
      <c r="C130" s="11"/>
      <c r="D130" s="11"/>
      <c r="E130" s="11"/>
      <c r="F130" s="11"/>
      <c r="G130" s="11"/>
      <c r="H130" s="11"/>
      <c r="I130" s="11"/>
      <c r="J130" s="11"/>
      <c r="K130" s="11"/>
      <c r="L130" s="11"/>
      <c r="M130" s="11"/>
    </row>
    <row r="131" spans="1:13" ht="12.75">
      <c r="A131" s="11"/>
      <c r="B131" s="11"/>
      <c r="C131" s="11"/>
      <c r="D131" s="11"/>
      <c r="E131" s="11"/>
      <c r="F131" s="11"/>
      <c r="G131" s="11"/>
      <c r="H131" s="11"/>
      <c r="I131" s="11"/>
      <c r="J131" s="11"/>
      <c r="K131" s="11"/>
      <c r="L131" s="11"/>
      <c r="M131" s="11"/>
    </row>
    <row r="132" spans="1:13" ht="12.75">
      <c r="A132" s="11"/>
      <c r="B132" s="11"/>
      <c r="C132" s="11"/>
      <c r="D132" s="11"/>
      <c r="E132" s="11"/>
      <c r="F132" s="11"/>
      <c r="G132" s="11"/>
      <c r="H132" s="11"/>
      <c r="I132" s="11"/>
      <c r="J132" s="11"/>
      <c r="K132" s="11"/>
      <c r="L132" s="11"/>
      <c r="M132" s="11"/>
    </row>
    <row r="133" spans="1:13" ht="12.75">
      <c r="A133" s="11"/>
      <c r="B133" s="11"/>
      <c r="C133" s="11"/>
      <c r="D133" s="11"/>
      <c r="E133" s="11"/>
      <c r="F133" s="11"/>
      <c r="G133" s="11"/>
      <c r="H133" s="11"/>
      <c r="I133" s="11"/>
      <c r="J133" s="11"/>
      <c r="K133" s="11"/>
      <c r="L133" s="11"/>
      <c r="M133" s="11"/>
    </row>
    <row r="134" spans="1:13" ht="12.75">
      <c r="A134" s="11"/>
      <c r="B134" s="11"/>
      <c r="C134" s="11"/>
      <c r="D134" s="11"/>
      <c r="E134" s="11"/>
      <c r="F134" s="11"/>
      <c r="G134" s="11"/>
      <c r="H134" s="11"/>
      <c r="I134" s="11"/>
      <c r="J134" s="11"/>
      <c r="K134" s="11"/>
      <c r="L134" s="11"/>
      <c r="M134" s="11"/>
    </row>
    <row r="135" spans="1:13" ht="12.75">
      <c r="A135" s="11"/>
      <c r="B135" s="11"/>
      <c r="C135" s="11"/>
      <c r="D135" s="11"/>
      <c r="E135" s="11"/>
      <c r="F135" s="11"/>
      <c r="G135" s="11"/>
      <c r="H135" s="11"/>
      <c r="I135" s="11"/>
      <c r="J135" s="11"/>
      <c r="K135" s="11"/>
      <c r="L135" s="11"/>
      <c r="M135" s="11"/>
    </row>
    <row r="136" spans="1:13" ht="12.75">
      <c r="A136" s="11"/>
      <c r="B136" s="11"/>
      <c r="C136" s="11"/>
      <c r="D136" s="11"/>
      <c r="E136" s="11"/>
      <c r="F136" s="11"/>
      <c r="G136" s="11"/>
      <c r="H136" s="11"/>
      <c r="I136" s="11"/>
      <c r="J136" s="11"/>
      <c r="K136" s="11"/>
      <c r="L136" s="11"/>
      <c r="M136" s="11"/>
    </row>
    <row r="137" spans="1:13" ht="12.75">
      <c r="A137" s="11"/>
      <c r="B137" s="11"/>
      <c r="C137" s="11"/>
      <c r="D137" s="11"/>
      <c r="E137" s="11"/>
      <c r="F137" s="11"/>
      <c r="G137" s="11"/>
      <c r="H137" s="11"/>
      <c r="I137" s="11"/>
      <c r="J137" s="11"/>
      <c r="K137" s="11"/>
      <c r="L137" s="11"/>
      <c r="M137" s="11"/>
    </row>
    <row r="138" spans="1:13" ht="12.75">
      <c r="A138" s="11"/>
      <c r="B138" s="11"/>
      <c r="C138" s="11"/>
      <c r="D138" s="11"/>
      <c r="E138" s="11"/>
      <c r="F138" s="11"/>
      <c r="G138" s="11"/>
      <c r="H138" s="11"/>
      <c r="I138" s="11"/>
      <c r="J138" s="11"/>
      <c r="K138" s="11"/>
      <c r="L138" s="11"/>
      <c r="M138" s="11"/>
    </row>
    <row r="139" spans="1:13" ht="12.75">
      <c r="A139" s="11"/>
      <c r="B139" s="11"/>
      <c r="C139" s="11"/>
      <c r="D139" s="11"/>
      <c r="E139" s="11"/>
      <c r="F139" s="11"/>
      <c r="G139" s="11"/>
      <c r="H139" s="11"/>
      <c r="I139" s="11"/>
      <c r="J139" s="11"/>
      <c r="K139" s="11"/>
      <c r="L139" s="11"/>
      <c r="M139" s="11"/>
    </row>
    <row r="140" spans="1:13" ht="12.75">
      <c r="A140" s="11"/>
      <c r="B140" s="11"/>
      <c r="C140" s="11"/>
      <c r="D140" s="11"/>
      <c r="E140" s="11"/>
      <c r="F140" s="11"/>
      <c r="G140" s="11"/>
      <c r="H140" s="11"/>
      <c r="I140" s="11"/>
      <c r="J140" s="11"/>
      <c r="K140" s="11"/>
      <c r="L140" s="11"/>
      <c r="M140" s="11"/>
    </row>
    <row r="141" spans="1:13" ht="12.75">
      <c r="A141" s="11"/>
      <c r="B141" s="11"/>
      <c r="C141" s="11"/>
      <c r="D141" s="11"/>
      <c r="E141" s="11"/>
      <c r="F141" s="11"/>
      <c r="G141" s="11"/>
      <c r="H141" s="11"/>
      <c r="I141" s="11"/>
      <c r="J141" s="11"/>
      <c r="K141" s="11"/>
      <c r="L141" s="11"/>
      <c r="M141" s="11"/>
    </row>
    <row r="142" spans="1:13" ht="12.75">
      <c r="A142" s="11"/>
      <c r="B142" s="11"/>
      <c r="C142" s="11"/>
      <c r="D142" s="11"/>
      <c r="E142" s="11"/>
      <c r="F142" s="11"/>
      <c r="G142" s="11"/>
      <c r="H142" s="11"/>
      <c r="I142" s="11"/>
      <c r="J142" s="11"/>
      <c r="K142" s="11"/>
      <c r="L142" s="11"/>
      <c r="M142" s="11"/>
    </row>
    <row r="143" spans="1:13" ht="12.75">
      <c r="A143" s="11"/>
      <c r="B143" s="11"/>
      <c r="C143" s="11"/>
      <c r="D143" s="11"/>
      <c r="E143" s="11"/>
      <c r="F143" s="11"/>
      <c r="G143" s="11"/>
      <c r="H143" s="11"/>
      <c r="I143" s="11"/>
      <c r="J143" s="11"/>
      <c r="K143" s="11"/>
      <c r="L143" s="11"/>
      <c r="M143" s="11"/>
    </row>
    <row r="144" spans="1:13" ht="12.75">
      <c r="A144" s="11"/>
      <c r="B144" s="11"/>
      <c r="C144" s="11"/>
      <c r="D144" s="11"/>
      <c r="E144" s="11"/>
      <c r="F144" s="11"/>
      <c r="G144" s="11"/>
      <c r="H144" s="11"/>
      <c r="I144" s="11"/>
      <c r="J144" s="11"/>
      <c r="K144" s="11"/>
      <c r="L144" s="11"/>
      <c r="M144" s="11"/>
    </row>
    <row r="145" spans="1:13" ht="12.75">
      <c r="A145" s="11"/>
      <c r="B145" s="11"/>
      <c r="C145" s="11"/>
      <c r="D145" s="11"/>
      <c r="E145" s="11"/>
      <c r="F145" s="11"/>
      <c r="G145" s="11"/>
      <c r="H145" s="11"/>
      <c r="I145" s="11"/>
      <c r="J145" s="11"/>
      <c r="K145" s="11"/>
      <c r="L145" s="11"/>
      <c r="M145" s="11"/>
    </row>
    <row r="146" spans="1:13" ht="12.75">
      <c r="A146" s="11"/>
      <c r="B146" s="11"/>
      <c r="C146" s="11"/>
      <c r="D146" s="11"/>
      <c r="E146" s="11"/>
      <c r="F146" s="11"/>
      <c r="G146" s="11"/>
      <c r="H146" s="11"/>
      <c r="I146" s="11"/>
      <c r="J146" s="11"/>
      <c r="K146" s="11"/>
      <c r="L146" s="11"/>
      <c r="M146" s="11"/>
    </row>
    <row r="147" spans="1:13" ht="12.75">
      <c r="A147" s="11"/>
      <c r="B147" s="11"/>
      <c r="C147" s="11"/>
      <c r="D147" s="11"/>
      <c r="E147" s="11"/>
      <c r="F147" s="11"/>
      <c r="G147" s="11"/>
      <c r="H147" s="11"/>
      <c r="I147" s="11"/>
      <c r="J147" s="11"/>
      <c r="K147" s="11"/>
      <c r="L147" s="11"/>
      <c r="M147" s="11"/>
    </row>
    <row r="148" spans="1:13" ht="12.75">
      <c r="A148" s="11"/>
      <c r="B148" s="11"/>
      <c r="C148" s="11"/>
      <c r="D148" s="11"/>
      <c r="E148" s="11"/>
      <c r="F148" s="11"/>
      <c r="G148" s="11"/>
      <c r="H148" s="11"/>
      <c r="I148" s="11"/>
      <c r="J148" s="11"/>
      <c r="K148" s="11"/>
      <c r="L148" s="11"/>
      <c r="M148" s="11"/>
    </row>
    <row r="149" spans="1:13" ht="12.75">
      <c r="A149" s="11"/>
      <c r="B149" s="11"/>
      <c r="C149" s="11"/>
      <c r="D149" s="11"/>
      <c r="E149" s="11"/>
      <c r="F149" s="11"/>
      <c r="G149" s="11"/>
      <c r="H149" s="11"/>
      <c r="I149" s="11"/>
      <c r="J149" s="11"/>
      <c r="K149" s="11"/>
      <c r="L149" s="11"/>
      <c r="M149" s="11"/>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6"/>
  <sheetViews>
    <sheetView defaultGridColor="0" zoomScale="70" zoomScaleNormal="70" zoomScalePageLayoutView="0" colorId="22" workbookViewId="0" topLeftCell="A1">
      <pane ySplit="4" topLeftCell="A5" activePane="bottomLeft" state="frozen"/>
      <selection pane="topLeft" activeCell="B168" sqref="B168"/>
      <selection pane="bottomLeft" activeCell="A1" sqref="A1:S16384"/>
    </sheetView>
  </sheetViews>
  <sheetFormatPr defaultColWidth="9.7109375" defaultRowHeight="12.75"/>
  <cols>
    <col min="1" max="1" width="22.57421875" style="9" customWidth="1"/>
    <col min="2" max="2" width="21.8515625" style="28" customWidth="1"/>
    <col min="3" max="3" width="2.7109375" style="9" customWidth="1"/>
    <col min="4" max="4" width="21.57421875" style="28" customWidth="1"/>
    <col min="5" max="5" width="23.140625" style="28" customWidth="1"/>
    <col min="6" max="6" width="22.8515625" style="28" customWidth="1"/>
    <col min="7" max="7" width="2.7109375" style="9" customWidth="1"/>
    <col min="8" max="8" width="21.28125" style="28" customWidth="1"/>
    <col min="9" max="9" width="16.00390625" style="28" customWidth="1"/>
    <col min="10" max="10" width="19.57421875" style="28" customWidth="1"/>
    <col min="11" max="11" width="16.57421875" style="9" customWidth="1"/>
    <col min="12" max="12" width="15.7109375" style="9" customWidth="1"/>
    <col min="13" max="19" width="9.7109375" style="9" customWidth="1"/>
    <col min="20" max="16384" width="9.7109375" style="1" customWidth="1"/>
  </cols>
  <sheetData>
    <row r="1" ht="15"/>
    <row r="2" spans="1:12" ht="15.75">
      <c r="A2" s="272" t="s">
        <v>309</v>
      </c>
      <c r="B2" s="272"/>
      <c r="C2" s="43"/>
      <c r="D2" s="270" t="s">
        <v>312</v>
      </c>
      <c r="E2" s="270"/>
      <c r="F2" s="270"/>
      <c r="G2" s="270"/>
      <c r="H2" s="270"/>
      <c r="J2" s="28" t="s">
        <v>1557</v>
      </c>
      <c r="L2" s="176">
        <f ca="1">TODAY()</f>
        <v>42975</v>
      </c>
    </row>
    <row r="3" spans="4:12" ht="15.75">
      <c r="D3" s="169" t="s">
        <v>1760</v>
      </c>
      <c r="E3" s="169"/>
      <c r="F3" s="169"/>
      <c r="G3" s="169"/>
      <c r="H3" s="169"/>
      <c r="L3" s="35" t="s">
        <v>1761</v>
      </c>
    </row>
    <row r="4" spans="1:12" ht="15.75">
      <c r="A4" s="189"/>
      <c r="C4" s="43"/>
      <c r="D4" s="278" t="str">
        <f>"At Month End "&amp;INSTRUCTIONS!L5</f>
        <v>At Month End April</v>
      </c>
      <c r="E4" s="278"/>
      <c r="F4" s="278"/>
      <c r="G4" s="278"/>
      <c r="H4" s="278"/>
      <c r="L4" s="35" t="s">
        <v>1762</v>
      </c>
    </row>
    <row r="5" spans="4:12" ht="15.75">
      <c r="D5" s="270" t="s">
        <v>856</v>
      </c>
      <c r="E5" s="270"/>
      <c r="F5" s="270"/>
      <c r="G5" s="270"/>
      <c r="H5" s="270"/>
      <c r="L5" s="35" t="str">
        <f>INSTRUCTIONS!Q13</f>
        <v>JMJ</v>
      </c>
    </row>
    <row r="6" spans="5:9" ht="15.75">
      <c r="E6" s="279" t="s">
        <v>271</v>
      </c>
      <c r="I6" s="279" t="s">
        <v>1230</v>
      </c>
    </row>
    <row r="7" spans="4:15" ht="15.75">
      <c r="D7" s="280" t="s">
        <v>567</v>
      </c>
      <c r="E7" s="280" t="s">
        <v>350</v>
      </c>
      <c r="F7" s="280" t="s">
        <v>1524</v>
      </c>
      <c r="H7" s="280" t="s">
        <v>1074</v>
      </c>
      <c r="I7" s="280" t="s">
        <v>1074</v>
      </c>
      <c r="J7" s="280" t="s">
        <v>1074</v>
      </c>
      <c r="L7" s="35" t="s">
        <v>1866</v>
      </c>
      <c r="O7" s="43"/>
    </row>
    <row r="8" spans="1:15" ht="15.75">
      <c r="A8" s="71" t="s">
        <v>1348</v>
      </c>
      <c r="B8" s="279" t="s">
        <v>1338</v>
      </c>
      <c r="C8" s="43"/>
      <c r="D8" s="279" t="s">
        <v>488</v>
      </c>
      <c r="E8" s="281"/>
      <c r="F8" s="282"/>
      <c r="G8" s="43"/>
      <c r="H8" s="279" t="s">
        <v>488</v>
      </c>
      <c r="I8" s="281"/>
      <c r="J8" s="279"/>
      <c r="L8" s="283" t="s">
        <v>1072</v>
      </c>
      <c r="O8" s="43"/>
    </row>
    <row r="9" spans="1:10" ht="15.75">
      <c r="A9" s="177" t="s">
        <v>1073</v>
      </c>
      <c r="B9" s="284" t="s">
        <v>1134</v>
      </c>
      <c r="C9" s="43"/>
      <c r="D9" s="284" t="s">
        <v>1135</v>
      </c>
      <c r="E9" s="284" t="s">
        <v>1136</v>
      </c>
      <c r="F9" s="284" t="s">
        <v>1137</v>
      </c>
      <c r="G9" s="43"/>
      <c r="H9" s="284" t="s">
        <v>1135</v>
      </c>
      <c r="I9" s="284" t="s">
        <v>1136</v>
      </c>
      <c r="J9" s="284" t="s">
        <v>1137</v>
      </c>
    </row>
    <row r="10" ht="15"/>
    <row r="11" spans="1:12" ht="15.75">
      <c r="A11" s="43">
        <v>1010</v>
      </c>
      <c r="B11" s="28">
        <f>+F11+J11</f>
        <v>800866771.6</v>
      </c>
      <c r="D11" s="27">
        <v>663039713.25</v>
      </c>
      <c r="E11" s="28">
        <v>0</v>
      </c>
      <c r="F11" s="28">
        <f>D11+E11</f>
        <v>663039713.25</v>
      </c>
      <c r="H11" s="27">
        <v>137827058.35</v>
      </c>
      <c r="I11" s="28">
        <v>0</v>
      </c>
      <c r="J11" s="28">
        <f>+H11+I11</f>
        <v>137827058.35</v>
      </c>
      <c r="K11" s="11" t="s">
        <v>1459</v>
      </c>
      <c r="L11" s="35" t="s">
        <v>222</v>
      </c>
    </row>
    <row r="12" spans="1:12" ht="15.75">
      <c r="A12" s="43">
        <v>1060</v>
      </c>
      <c r="B12" s="28">
        <f>+F12+J12</f>
        <v>6411634.82</v>
      </c>
      <c r="D12" s="27">
        <v>5050775.79</v>
      </c>
      <c r="E12" s="28">
        <v>0</v>
      </c>
      <c r="F12" s="28">
        <f>D12+E12</f>
        <v>5050775.79</v>
      </c>
      <c r="H12" s="27">
        <v>1360859.03</v>
      </c>
      <c r="I12" s="28">
        <v>0</v>
      </c>
      <c r="J12" s="28">
        <f>+H12+I12</f>
        <v>1360859.03</v>
      </c>
      <c r="L12" s="35" t="s">
        <v>223</v>
      </c>
    </row>
    <row r="13" spans="1:12" ht="15.75">
      <c r="A13" s="43">
        <v>1080</v>
      </c>
      <c r="B13" s="28">
        <f>+F13+J13</f>
        <v>-574762472.54</v>
      </c>
      <c r="D13" s="27">
        <f>-455891093.41-1228140.15</f>
        <v>-457119233.56</v>
      </c>
      <c r="E13" s="28">
        <v>0</v>
      </c>
      <c r="F13" s="28">
        <f>D13+E13</f>
        <v>-457119233.56</v>
      </c>
      <c r="H13" s="27">
        <v>-117643238.98</v>
      </c>
      <c r="I13" s="28">
        <v>0</v>
      </c>
      <c r="J13" s="28">
        <f>+H13+I13</f>
        <v>-117643238.98</v>
      </c>
      <c r="K13" s="11" t="s">
        <v>1133</v>
      </c>
      <c r="L13" s="35" t="s">
        <v>223</v>
      </c>
    </row>
    <row r="14" spans="1:12" ht="15.75">
      <c r="A14" s="43">
        <v>1110</v>
      </c>
      <c r="B14" s="28">
        <f>+F14+J14</f>
        <v>-30968348.330000002</v>
      </c>
      <c r="D14" s="27">
        <v>-482384.78</v>
      </c>
      <c r="E14" s="28">
        <v>0</v>
      </c>
      <c r="F14" s="28">
        <f>D14+E14</f>
        <v>-482384.78</v>
      </c>
      <c r="H14" s="27">
        <v>-30485963.55</v>
      </c>
      <c r="I14" s="28">
        <v>0</v>
      </c>
      <c r="J14" s="28">
        <f>+H14+I14</f>
        <v>-30485963.55</v>
      </c>
      <c r="K14" s="11" t="s">
        <v>1133</v>
      </c>
      <c r="L14" s="35" t="s">
        <v>627</v>
      </c>
    </row>
    <row r="15" ht="16.5" thickBot="1">
      <c r="A15" s="43" t="s">
        <v>315</v>
      </c>
    </row>
    <row r="16" spans="10:12" ht="15">
      <c r="J16" s="285"/>
      <c r="K16" s="286"/>
      <c r="L16" s="287" t="s">
        <v>1166</v>
      </c>
    </row>
    <row r="17" spans="1:12" ht="15">
      <c r="A17" s="116" t="s">
        <v>1821</v>
      </c>
      <c r="J17" s="288"/>
      <c r="K17" s="289" t="s">
        <v>1167</v>
      </c>
      <c r="L17" s="290">
        <f>B11</f>
        <v>800866771.6</v>
      </c>
    </row>
    <row r="18" spans="3:12" ht="15">
      <c r="C18" s="159" t="s">
        <v>1730</v>
      </c>
      <c r="F18" s="28">
        <f>+B11</f>
        <v>800866771.6</v>
      </c>
      <c r="J18" s="291" t="s">
        <v>1168</v>
      </c>
      <c r="K18" s="292" t="s">
        <v>1169</v>
      </c>
      <c r="L18" s="293">
        <v>0</v>
      </c>
    </row>
    <row r="19" spans="3:13" ht="15.75" thickBot="1">
      <c r="C19" s="159" t="s">
        <v>628</v>
      </c>
      <c r="F19" s="28">
        <f>B12</f>
        <v>6411634.82</v>
      </c>
      <c r="J19" s="81"/>
      <c r="K19" s="82" t="s">
        <v>1037</v>
      </c>
      <c r="L19" s="83">
        <f>SUM(L17:L18)</f>
        <v>800866771.6</v>
      </c>
      <c r="M19" s="294" t="s">
        <v>182</v>
      </c>
    </row>
    <row r="20" spans="3:12" ht="15">
      <c r="C20" s="159" t="s">
        <v>127</v>
      </c>
      <c r="F20" s="28">
        <f>+B13</f>
        <v>-574762472.54</v>
      </c>
      <c r="J20" s="285"/>
      <c r="K20" s="286"/>
      <c r="L20" s="287" t="s">
        <v>1166</v>
      </c>
    </row>
    <row r="21" spans="4:12" ht="15">
      <c r="D21" s="28" t="s">
        <v>1649</v>
      </c>
      <c r="F21" s="280" t="s">
        <v>1074</v>
      </c>
      <c r="J21" s="288"/>
      <c r="K21" s="289" t="s">
        <v>1171</v>
      </c>
      <c r="L21" s="290">
        <f>B13</f>
        <v>-574762472.54</v>
      </c>
    </row>
    <row r="22" spans="3:12" ht="15">
      <c r="C22" s="159" t="s">
        <v>629</v>
      </c>
      <c r="F22" s="28">
        <f>SUM(F18:F20)</f>
        <v>232515933.8800001</v>
      </c>
      <c r="J22" s="291" t="s">
        <v>1168</v>
      </c>
      <c r="K22" s="292" t="s">
        <v>1169</v>
      </c>
      <c r="L22" s="293">
        <v>0</v>
      </c>
    </row>
    <row r="23" spans="10:13" ht="15.75" thickBot="1">
      <c r="J23" s="81"/>
      <c r="K23" s="82" t="s">
        <v>401</v>
      </c>
      <c r="L23" s="83">
        <f>SUM(L21:L22)</f>
        <v>-574762472.54</v>
      </c>
      <c r="M23" s="294" t="s">
        <v>182</v>
      </c>
    </row>
    <row r="24" spans="3:12" ht="15">
      <c r="C24" s="14" t="s">
        <v>630</v>
      </c>
      <c r="F24" s="28">
        <f>F22*0.01</f>
        <v>2325159.3388000014</v>
      </c>
      <c r="L24" s="51"/>
    </row>
    <row r="25" ht="15">
      <c r="K25" s="108"/>
    </row>
    <row r="26" spans="3:8" ht="15">
      <c r="C26" s="159" t="s">
        <v>631</v>
      </c>
      <c r="F26" s="295"/>
      <c r="H26" s="295"/>
    </row>
    <row r="27" ht="15">
      <c r="J27" s="28" t="s">
        <v>1557</v>
      </c>
    </row>
    <row r="28" ht="15">
      <c r="A28" s="9" t="s">
        <v>251</v>
      </c>
    </row>
    <row r="29" spans="2:5" ht="15">
      <c r="B29" s="65" t="s">
        <v>1033</v>
      </c>
      <c r="E29" s="296"/>
    </row>
    <row r="30" ht="15"/>
    <row r="31" spans="1:12" ht="15.75">
      <c r="A31" s="43">
        <v>1650</v>
      </c>
      <c r="B31" s="28">
        <f aca="true" t="shared" si="0" ref="B31:B46">+F31+J31</f>
        <v>30087.708</v>
      </c>
      <c r="D31" s="27">
        <v>15043.858</v>
      </c>
      <c r="E31" s="28">
        <v>0</v>
      </c>
      <c r="F31" s="28">
        <f aca="true" t="shared" si="1" ref="F31:F46">D31+E31</f>
        <v>15043.858</v>
      </c>
      <c r="H31" s="27">
        <v>15043.85</v>
      </c>
      <c r="I31" s="28">
        <v>0</v>
      </c>
      <c r="J31" s="28">
        <f aca="true" t="shared" si="2" ref="J31:J46">+H31+I31</f>
        <v>15043.85</v>
      </c>
      <c r="L31" s="35" t="s">
        <v>1677</v>
      </c>
    </row>
    <row r="32" spans="1:12" ht="15.75">
      <c r="A32" s="71" t="s">
        <v>323</v>
      </c>
      <c r="B32" s="28">
        <f t="shared" si="0"/>
        <v>0</v>
      </c>
      <c r="D32" s="27">
        <v>0</v>
      </c>
      <c r="E32" s="28">
        <v>0</v>
      </c>
      <c r="F32" s="28">
        <f t="shared" si="1"/>
        <v>0</v>
      </c>
      <c r="H32" s="27">
        <v>0</v>
      </c>
      <c r="I32" s="28">
        <v>0</v>
      </c>
      <c r="J32" s="28">
        <f t="shared" si="2"/>
        <v>0</v>
      </c>
      <c r="L32" s="35" t="s">
        <v>1678</v>
      </c>
    </row>
    <row r="33" spans="1:12" ht="15.75">
      <c r="A33" s="71" t="s">
        <v>247</v>
      </c>
      <c r="B33" s="28">
        <f t="shared" si="0"/>
        <v>0</v>
      </c>
      <c r="D33" s="27">
        <v>0</v>
      </c>
      <c r="E33" s="28">
        <v>0</v>
      </c>
      <c r="F33" s="28">
        <f t="shared" si="1"/>
        <v>0</v>
      </c>
      <c r="H33" s="27">
        <v>0</v>
      </c>
      <c r="I33" s="28">
        <v>0</v>
      </c>
      <c r="J33" s="28">
        <f t="shared" si="2"/>
        <v>0</v>
      </c>
      <c r="L33" s="35" t="s">
        <v>1679</v>
      </c>
    </row>
    <row r="34" spans="1:12" ht="15.75">
      <c r="A34" s="71" t="s">
        <v>337</v>
      </c>
      <c r="B34" s="28">
        <f t="shared" si="0"/>
        <v>0</v>
      </c>
      <c r="D34" s="27">
        <v>0</v>
      </c>
      <c r="E34" s="28">
        <v>0</v>
      </c>
      <c r="F34" s="28">
        <f t="shared" si="1"/>
        <v>0</v>
      </c>
      <c r="H34" s="27">
        <v>0</v>
      </c>
      <c r="I34" s="28">
        <v>0</v>
      </c>
      <c r="J34" s="28">
        <f t="shared" si="2"/>
        <v>0</v>
      </c>
      <c r="L34" s="35" t="s">
        <v>1680</v>
      </c>
    </row>
    <row r="35" spans="1:12" ht="15.75">
      <c r="A35" s="71" t="s">
        <v>338</v>
      </c>
      <c r="B35" s="28">
        <f t="shared" si="0"/>
        <v>0</v>
      </c>
      <c r="D35" s="27">
        <v>0</v>
      </c>
      <c r="E35" s="28">
        <v>0</v>
      </c>
      <c r="F35" s="28">
        <f t="shared" si="1"/>
        <v>0</v>
      </c>
      <c r="H35" s="27">
        <v>0</v>
      </c>
      <c r="I35" s="28">
        <v>0</v>
      </c>
      <c r="J35" s="28">
        <f t="shared" si="2"/>
        <v>0</v>
      </c>
      <c r="L35" s="35" t="s">
        <v>1722</v>
      </c>
    </row>
    <row r="36" spans="1:12" ht="15.75">
      <c r="A36" s="71" t="s">
        <v>339</v>
      </c>
      <c r="B36" s="28">
        <f t="shared" si="0"/>
        <v>23816436.38</v>
      </c>
      <c r="D36" s="27">
        <v>11747305.69</v>
      </c>
      <c r="E36" s="28">
        <v>0</v>
      </c>
      <c r="F36" s="28">
        <f t="shared" si="1"/>
        <v>11747305.69</v>
      </c>
      <c r="H36" s="27">
        <v>12069130.69</v>
      </c>
      <c r="I36" s="28">
        <v>0</v>
      </c>
      <c r="J36" s="28">
        <f t="shared" si="2"/>
        <v>12069130.69</v>
      </c>
      <c r="L36" s="35" t="s">
        <v>1723</v>
      </c>
    </row>
    <row r="37" spans="1:12" ht="15.75">
      <c r="A37" s="71" t="s">
        <v>340</v>
      </c>
      <c r="B37" s="28">
        <f t="shared" si="0"/>
        <v>0</v>
      </c>
      <c r="D37" s="27">
        <v>0</v>
      </c>
      <c r="E37" s="28">
        <v>0</v>
      </c>
      <c r="F37" s="28">
        <f t="shared" si="1"/>
        <v>0</v>
      </c>
      <c r="H37" s="27">
        <v>0</v>
      </c>
      <c r="I37" s="28">
        <v>0</v>
      </c>
      <c r="J37" s="28">
        <f t="shared" si="2"/>
        <v>0</v>
      </c>
      <c r="L37" s="35" t="s">
        <v>1724</v>
      </c>
    </row>
    <row r="38" spans="1:12" ht="15.75">
      <c r="A38" s="71" t="s">
        <v>341</v>
      </c>
      <c r="B38" s="28">
        <f t="shared" si="0"/>
        <v>0</v>
      </c>
      <c r="D38" s="27">
        <v>0</v>
      </c>
      <c r="E38" s="28">
        <v>0</v>
      </c>
      <c r="F38" s="28">
        <f>D38+E38</f>
        <v>0</v>
      </c>
      <c r="H38" s="27">
        <v>0</v>
      </c>
      <c r="I38" s="28">
        <v>0</v>
      </c>
      <c r="J38" s="28">
        <f t="shared" si="2"/>
        <v>0</v>
      </c>
      <c r="L38" s="35" t="s">
        <v>1725</v>
      </c>
    </row>
    <row r="39" spans="1:12" ht="15.75">
      <c r="A39" s="71" t="s">
        <v>342</v>
      </c>
      <c r="B39" s="28">
        <f t="shared" si="0"/>
        <v>-17464811.12</v>
      </c>
      <c r="D39" s="27">
        <v>-8762406.3</v>
      </c>
      <c r="E39" s="28">
        <v>0</v>
      </c>
      <c r="F39" s="28">
        <f>D39+E39</f>
        <v>-8762406.3</v>
      </c>
      <c r="H39" s="27">
        <v>-8702404.82</v>
      </c>
      <c r="I39" s="28">
        <v>0</v>
      </c>
      <c r="J39" s="28">
        <f t="shared" si="2"/>
        <v>-8702404.82</v>
      </c>
      <c r="L39" s="35" t="s">
        <v>1694</v>
      </c>
    </row>
    <row r="40" spans="1:12" ht="15.75">
      <c r="A40" s="71" t="s">
        <v>343</v>
      </c>
      <c r="B40" s="28">
        <f t="shared" si="0"/>
        <v>-22477608.75</v>
      </c>
      <c r="D40" s="27">
        <v>-12429016.19</v>
      </c>
      <c r="E40" s="28">
        <v>0</v>
      </c>
      <c r="F40" s="28">
        <f t="shared" si="1"/>
        <v>-12429016.19</v>
      </c>
      <c r="H40" s="27">
        <v>-10048592.56</v>
      </c>
      <c r="I40" s="28">
        <v>0</v>
      </c>
      <c r="J40" s="28">
        <f t="shared" si="2"/>
        <v>-10048592.56</v>
      </c>
      <c r="L40" s="35" t="s">
        <v>892</v>
      </c>
    </row>
    <row r="41" spans="1:12" ht="15.75">
      <c r="A41" s="71" t="s">
        <v>539</v>
      </c>
      <c r="B41" s="28">
        <f t="shared" si="0"/>
        <v>-340551.56</v>
      </c>
      <c r="D41" s="27">
        <v>-170275.83</v>
      </c>
      <c r="E41" s="28">
        <v>0</v>
      </c>
      <c r="F41" s="28">
        <f t="shared" si="1"/>
        <v>-170275.83</v>
      </c>
      <c r="H41" s="27">
        <v>-170275.73</v>
      </c>
      <c r="I41" s="28">
        <v>0</v>
      </c>
      <c r="J41" s="28">
        <f t="shared" si="2"/>
        <v>-170275.73</v>
      </c>
      <c r="L41" s="35" t="s">
        <v>893</v>
      </c>
    </row>
    <row r="42" spans="1:12" ht="15.75">
      <c r="A42" s="71" t="s">
        <v>540</v>
      </c>
      <c r="B42" s="28">
        <f t="shared" si="0"/>
        <v>0</v>
      </c>
      <c r="D42" s="27">
        <v>0</v>
      </c>
      <c r="E42" s="28">
        <v>0</v>
      </c>
      <c r="F42" s="28">
        <f t="shared" si="1"/>
        <v>0</v>
      </c>
      <c r="H42" s="27">
        <v>0</v>
      </c>
      <c r="I42" s="28">
        <v>0</v>
      </c>
      <c r="J42" s="28">
        <f t="shared" si="2"/>
        <v>0</v>
      </c>
      <c r="L42" s="35" t="s">
        <v>895</v>
      </c>
    </row>
    <row r="43" spans="1:12" ht="15.75">
      <c r="A43" s="71" t="s">
        <v>541</v>
      </c>
      <c r="B43" s="28">
        <f t="shared" si="0"/>
        <v>0</v>
      </c>
      <c r="D43" s="27">
        <v>0</v>
      </c>
      <c r="E43" s="28">
        <v>0</v>
      </c>
      <c r="F43" s="28">
        <f t="shared" si="1"/>
        <v>0</v>
      </c>
      <c r="H43" s="27">
        <v>0</v>
      </c>
      <c r="I43" s="28">
        <v>0</v>
      </c>
      <c r="J43" s="28">
        <f t="shared" si="2"/>
        <v>0</v>
      </c>
      <c r="L43" s="35" t="s">
        <v>896</v>
      </c>
    </row>
    <row r="44" spans="1:12" ht="15.75">
      <c r="A44" s="71" t="s">
        <v>542</v>
      </c>
      <c r="B44" s="28">
        <f t="shared" si="0"/>
        <v>-29746223.73</v>
      </c>
      <c r="D44" s="27">
        <v>-3187102.2</v>
      </c>
      <c r="E44" s="28">
        <v>0</v>
      </c>
      <c r="F44" s="28">
        <f t="shared" si="1"/>
        <v>-3187102.2</v>
      </c>
      <c r="H44" s="27">
        <v>-26559121.53</v>
      </c>
      <c r="I44" s="28">
        <v>0</v>
      </c>
      <c r="J44" s="28">
        <f t="shared" si="2"/>
        <v>-26559121.53</v>
      </c>
      <c r="L44" s="35" t="s">
        <v>897</v>
      </c>
    </row>
    <row r="45" spans="1:12" ht="15.75">
      <c r="A45" s="71" t="s">
        <v>543</v>
      </c>
      <c r="B45" s="28">
        <f>+F45+J45</f>
        <v>-786546.02</v>
      </c>
      <c r="D45" s="27">
        <v>-393273.01</v>
      </c>
      <c r="E45" s="28">
        <v>0</v>
      </c>
      <c r="F45" s="28">
        <f>D45+E45</f>
        <v>-393273.01</v>
      </c>
      <c r="H45" s="27">
        <v>-393273.01</v>
      </c>
      <c r="I45" s="28">
        <v>0</v>
      </c>
      <c r="J45" s="28">
        <f>+H45+I45</f>
        <v>-393273.01</v>
      </c>
      <c r="L45" s="35"/>
    </row>
    <row r="46" spans="1:12" ht="15.75">
      <c r="A46" s="71">
        <v>1810</v>
      </c>
      <c r="B46" s="28">
        <f t="shared" si="0"/>
        <v>81392.9</v>
      </c>
      <c r="D46" s="27">
        <v>40696.45</v>
      </c>
      <c r="E46" s="28">
        <v>0</v>
      </c>
      <c r="F46" s="28">
        <f t="shared" si="1"/>
        <v>40696.45</v>
      </c>
      <c r="H46" s="27">
        <v>40696.45</v>
      </c>
      <c r="I46" s="28">
        <v>0</v>
      </c>
      <c r="J46" s="28">
        <f t="shared" si="2"/>
        <v>40696.45</v>
      </c>
      <c r="L46" s="35" t="s">
        <v>898</v>
      </c>
    </row>
    <row r="47" ht="15">
      <c r="B47" s="76"/>
    </row>
    <row r="48" spans="1:12" ht="15.75">
      <c r="A48" s="43">
        <v>2530</v>
      </c>
      <c r="B48" s="28">
        <f>+F48+J48</f>
        <v>-42337966</v>
      </c>
      <c r="D48" s="27">
        <v>0</v>
      </c>
      <c r="E48" s="28">
        <v>0</v>
      </c>
      <c r="F48" s="28">
        <f>D48+E48</f>
        <v>0</v>
      </c>
      <c r="H48" s="27">
        <v>-42337966</v>
      </c>
      <c r="I48" s="28">
        <v>0</v>
      </c>
      <c r="J48" s="28">
        <f>+H48+I48</f>
        <v>-42337966</v>
      </c>
      <c r="L48" s="35" t="s">
        <v>462</v>
      </c>
    </row>
    <row r="49" spans="1:10" ht="15.75">
      <c r="A49" s="297" t="s">
        <v>293</v>
      </c>
      <c r="B49" s="28">
        <f>+F49+J49</f>
        <v>-8669580.959999999</v>
      </c>
      <c r="D49" s="27">
        <f>-4019528.42-315262.06</f>
        <v>-4334790.4799999995</v>
      </c>
      <c r="E49" s="28">
        <v>0</v>
      </c>
      <c r="F49" s="28">
        <f>D49+E49</f>
        <v>-4334790.4799999995</v>
      </c>
      <c r="H49" s="27">
        <f>-4019528.42-315262.06</f>
        <v>-4334790.4799999995</v>
      </c>
      <c r="I49" s="28">
        <v>0</v>
      </c>
      <c r="J49" s="28">
        <f>+H49+I49</f>
        <v>-4334790.4799999995</v>
      </c>
    </row>
    <row r="50" spans="2:12" ht="15">
      <c r="B50" s="280" t="s">
        <v>1074</v>
      </c>
      <c r="D50" s="280" t="s">
        <v>1074</v>
      </c>
      <c r="E50" s="30" t="s">
        <v>220</v>
      </c>
      <c r="F50" s="30" t="s">
        <v>220</v>
      </c>
      <c r="G50" s="14" t="s">
        <v>1557</v>
      </c>
      <c r="H50" s="30" t="s">
        <v>220</v>
      </c>
      <c r="I50" s="30" t="s">
        <v>221</v>
      </c>
      <c r="J50" s="30" t="s">
        <v>220</v>
      </c>
      <c r="K50" s="11"/>
      <c r="L50" s="35" t="s">
        <v>590</v>
      </c>
    </row>
    <row r="51" spans="1:12" ht="15">
      <c r="A51" s="9" t="s">
        <v>899</v>
      </c>
      <c r="B51" s="28">
        <f>SUM(B48:B49)</f>
        <v>-51007546.96</v>
      </c>
      <c r="D51" s="28">
        <f>SUM(D48:D49)</f>
        <v>-4334790.4799999995</v>
      </c>
      <c r="E51" s="28">
        <f>SUM(E48:E49)</f>
        <v>0</v>
      </c>
      <c r="F51" s="28">
        <f>SUM(F48:F49)</f>
        <v>-4334790.4799999995</v>
      </c>
      <c r="H51" s="28">
        <f>SUM(H48:H49)</f>
        <v>-46672756.48</v>
      </c>
      <c r="I51" s="28">
        <f>SUM(I48:I49)</f>
        <v>0</v>
      </c>
      <c r="J51" s="28">
        <f>SUM(J48:J49)</f>
        <v>-46672756.48</v>
      </c>
      <c r="L51" s="35" t="s">
        <v>1663</v>
      </c>
    </row>
    <row r="52" spans="1:10" ht="15">
      <c r="A52" s="9" t="s">
        <v>1855</v>
      </c>
      <c r="B52" s="28">
        <f>+B49</f>
        <v>-8669580.959999999</v>
      </c>
      <c r="D52" s="28">
        <f>+D49</f>
        <v>-4334790.4799999995</v>
      </c>
      <c r="E52" s="28">
        <f>+E49</f>
        <v>0</v>
      </c>
      <c r="F52" s="28">
        <f>+F49</f>
        <v>-4334790.4799999995</v>
      </c>
      <c r="H52" s="28">
        <f>+H49</f>
        <v>-4334790.4799999995</v>
      </c>
      <c r="I52" s="28">
        <f>+I49</f>
        <v>0</v>
      </c>
      <c r="J52" s="28">
        <f>+J49</f>
        <v>-4334790.4799999995</v>
      </c>
    </row>
    <row r="53" spans="2:10" ht="15">
      <c r="B53" s="280" t="s">
        <v>1074</v>
      </c>
      <c r="D53" s="280" t="s">
        <v>1074</v>
      </c>
      <c r="E53" s="30" t="s">
        <v>220</v>
      </c>
      <c r="F53" s="30" t="s">
        <v>220</v>
      </c>
      <c r="G53" s="14" t="s">
        <v>1557</v>
      </c>
      <c r="H53" s="30" t="s">
        <v>220</v>
      </c>
      <c r="I53" s="30" t="s">
        <v>221</v>
      </c>
      <c r="J53" s="30" t="s">
        <v>220</v>
      </c>
    </row>
    <row r="54" spans="1:12" ht="15.75">
      <c r="A54" s="38" t="s">
        <v>1664</v>
      </c>
      <c r="B54" s="28">
        <f>B51-B52</f>
        <v>-42337966</v>
      </c>
      <c r="D54" s="28">
        <f>D51-D52</f>
        <v>0</v>
      </c>
      <c r="E54" s="28">
        <f>E51-E52</f>
        <v>0</v>
      </c>
      <c r="F54" s="28">
        <f>F51-F52</f>
        <v>0</v>
      </c>
      <c r="H54" s="28">
        <f>H51-H52</f>
        <v>-42337966</v>
      </c>
      <c r="I54" s="28">
        <f>I51-I52</f>
        <v>0</v>
      </c>
      <c r="J54" s="28">
        <f>J51-J52</f>
        <v>-42337966</v>
      </c>
      <c r="K54" s="14">
        <f>+B49</f>
        <v>-8669580.959999999</v>
      </c>
      <c r="L54" s="35" t="s">
        <v>1665</v>
      </c>
    </row>
    <row r="55" ht="15"/>
    <row r="56" spans="1:2" ht="15.75">
      <c r="A56" s="38" t="s">
        <v>545</v>
      </c>
      <c r="B56" s="28" t="s">
        <v>1557</v>
      </c>
    </row>
    <row r="57" spans="1:12" ht="15.75">
      <c r="A57" s="38" t="s">
        <v>544</v>
      </c>
      <c r="B57" s="28">
        <f>SUM(B32:B45)</f>
        <v>-46999304.800000004</v>
      </c>
      <c r="D57" s="28">
        <f>SUM(D32:D45)</f>
        <v>-13194767.840000002</v>
      </c>
      <c r="E57" s="28">
        <f>SUM(E32:E45)</f>
        <v>0</v>
      </c>
      <c r="F57" s="28">
        <f>SUM(F32:F45)</f>
        <v>-13194767.840000002</v>
      </c>
      <c r="H57" s="28">
        <f>SUM(H32:H45)</f>
        <v>-33804536.96</v>
      </c>
      <c r="I57" s="28">
        <f>SUM(I32:I45)</f>
        <v>0</v>
      </c>
      <c r="J57" s="28">
        <f>SUM(J32:J45)</f>
        <v>-33804536.96</v>
      </c>
      <c r="L57" s="9" t="s">
        <v>1676</v>
      </c>
    </row>
    <row r="58" ht="15"/>
    <row r="59" ht="15">
      <c r="A59" s="189"/>
    </row>
    <row r="60" ht="15"/>
    <row r="61" spans="1:10" ht="15.75">
      <c r="A61" s="28"/>
      <c r="B61" s="270" t="s">
        <v>1655</v>
      </c>
      <c r="C61" s="270"/>
      <c r="D61" s="270"/>
      <c r="E61" s="270"/>
      <c r="F61" s="270"/>
      <c r="G61" s="270"/>
      <c r="H61" s="270"/>
      <c r="J61" s="298">
        <f>+L2</f>
        <v>42975</v>
      </c>
    </row>
    <row r="62" spans="2:10" ht="15.75">
      <c r="B62" s="270" t="s">
        <v>1760</v>
      </c>
      <c r="C62" s="270"/>
      <c r="D62" s="270"/>
      <c r="E62" s="270"/>
      <c r="F62" s="270"/>
      <c r="G62" s="270"/>
      <c r="H62" s="270"/>
      <c r="J62" s="28" t="str">
        <f>+L3</f>
        <v>SCHEDULE I</v>
      </c>
    </row>
    <row r="63" spans="2:10" ht="15.75">
      <c r="B63" s="270" t="str">
        <f>+D4</f>
        <v>At Month End April</v>
      </c>
      <c r="C63" s="270"/>
      <c r="D63" s="270"/>
      <c r="E63" s="270"/>
      <c r="F63" s="270"/>
      <c r="G63" s="270"/>
      <c r="H63" s="270"/>
      <c r="J63" s="28" t="str">
        <f>+L4</f>
        <v>TAB:AEGBS</v>
      </c>
    </row>
    <row r="64" ht="15">
      <c r="J64" s="65" t="str">
        <f>+L5</f>
        <v>JMJ</v>
      </c>
    </row>
    <row r="65" ht="15">
      <c r="D65" s="65" t="s">
        <v>700</v>
      </c>
    </row>
    <row r="66" spans="1:10" ht="15.75">
      <c r="A66" s="35" t="s">
        <v>1348</v>
      </c>
      <c r="B66" s="281" t="s">
        <v>1576</v>
      </c>
      <c r="D66" s="65" t="s">
        <v>580</v>
      </c>
      <c r="E66" s="28">
        <f>30064831.3-1471476.9</f>
        <v>28593354.400000002</v>
      </c>
      <c r="F66" s="279"/>
      <c r="G66" s="43"/>
      <c r="H66" s="279"/>
      <c r="J66" s="65" t="s">
        <v>1519</v>
      </c>
    </row>
    <row r="67" spans="1:10" ht="16.5" thickBot="1">
      <c r="A67" s="283" t="s">
        <v>1073</v>
      </c>
      <c r="B67" s="299" t="s">
        <v>581</v>
      </c>
      <c r="C67" s="116"/>
      <c r="D67" s="299"/>
      <c r="E67" s="300"/>
      <c r="F67" s="284" t="s">
        <v>1859</v>
      </c>
      <c r="G67" s="103"/>
      <c r="H67" s="284" t="s">
        <v>1262</v>
      </c>
      <c r="J67" s="281" t="s">
        <v>414</v>
      </c>
    </row>
    <row r="68" spans="1:12" ht="15.75">
      <c r="A68" s="9">
        <v>190.1</v>
      </c>
      <c r="B68" s="65" t="s">
        <v>470</v>
      </c>
      <c r="D68" s="27">
        <f>2256209.51-572385</f>
        <v>1683824.5099999998</v>
      </c>
      <c r="E68" s="72"/>
      <c r="F68" s="28">
        <f>+D68</f>
        <v>1683824.5099999998</v>
      </c>
      <c r="H68" s="28">
        <v>0</v>
      </c>
      <c r="J68" s="301" t="s">
        <v>1815</v>
      </c>
      <c r="K68" s="302" t="s">
        <v>1305</v>
      </c>
      <c r="L68" s="303"/>
    </row>
    <row r="69" spans="1:12" ht="15.75">
      <c r="A69" s="32" t="s">
        <v>469</v>
      </c>
      <c r="B69" s="65" t="s">
        <v>994</v>
      </c>
      <c r="D69" s="27">
        <f>39182.15-37551</f>
        <v>1631.1500000000015</v>
      </c>
      <c r="E69" s="72"/>
      <c r="F69" s="28">
        <f>ROUND((D69/2),2)</f>
        <v>815.58</v>
      </c>
      <c r="H69" s="28">
        <f>D69-F69</f>
        <v>815.5700000000014</v>
      </c>
      <c r="J69" s="304" t="s">
        <v>172</v>
      </c>
      <c r="K69" s="305" t="s">
        <v>1856</v>
      </c>
      <c r="L69" s="306" t="s">
        <v>1857</v>
      </c>
    </row>
    <row r="70" spans="2:12" ht="15.75" thickBot="1">
      <c r="B70" s="65" t="s">
        <v>995</v>
      </c>
      <c r="D70" s="27">
        <v>395842.39</v>
      </c>
      <c r="E70" s="72"/>
      <c r="F70" s="307">
        <f>D70*K70</f>
        <v>190796.03198</v>
      </c>
      <c r="G70" s="12"/>
      <c r="H70" s="307">
        <f>D70*L70</f>
        <v>205046.35802</v>
      </c>
      <c r="J70" s="28" t="s">
        <v>1858</v>
      </c>
      <c r="K70" s="308">
        <v>0.482</v>
      </c>
      <c r="L70" s="309">
        <v>0.518</v>
      </c>
    </row>
    <row r="71" spans="1:10" ht="15">
      <c r="A71" s="28"/>
      <c r="B71" s="65" t="s">
        <v>1190</v>
      </c>
      <c r="D71" s="27">
        <f>54955.3+27768+1719014.5+5786</f>
        <v>1807523.8</v>
      </c>
      <c r="E71" s="72"/>
      <c r="F71" s="28">
        <f>ROUND((D71/2),0)</f>
        <v>903762</v>
      </c>
      <c r="H71" s="28">
        <f>D71-F71</f>
        <v>903761.8</v>
      </c>
      <c r="J71" s="304" t="s">
        <v>172</v>
      </c>
    </row>
    <row r="72" spans="2:10" ht="15">
      <c r="B72" s="65" t="s">
        <v>996</v>
      </c>
      <c r="D72" s="27">
        <f>14818288.34-423379.67</f>
        <v>14394908.67</v>
      </c>
      <c r="E72" s="72"/>
      <c r="F72" s="28">
        <v>0</v>
      </c>
      <c r="H72" s="28">
        <f>+D72</f>
        <v>14394908.67</v>
      </c>
      <c r="J72" s="28" t="s">
        <v>1814</v>
      </c>
    </row>
    <row r="73" spans="2:10" ht="15">
      <c r="B73" s="65" t="s">
        <v>668</v>
      </c>
      <c r="D73" s="27">
        <v>0</v>
      </c>
      <c r="E73" s="72"/>
      <c r="F73" s="28">
        <f>ROUND((D73/2),0)</f>
        <v>0</v>
      </c>
      <c r="H73" s="28">
        <f>F73</f>
        <v>0</v>
      </c>
      <c r="J73" s="310" t="s">
        <v>172</v>
      </c>
    </row>
    <row r="74" spans="2:10" ht="15">
      <c r="B74" s="65" t="s">
        <v>1222</v>
      </c>
      <c r="D74" s="27">
        <v>0</v>
      </c>
      <c r="E74" s="72"/>
      <c r="F74" s="28">
        <f>ROUND((D74/2),2)</f>
        <v>0</v>
      </c>
      <c r="H74" s="28">
        <f>D74-F74</f>
        <v>0</v>
      </c>
      <c r="J74" s="310" t="s">
        <v>172</v>
      </c>
    </row>
    <row r="75" spans="2:10" ht="15">
      <c r="B75" s="65" t="s">
        <v>911</v>
      </c>
      <c r="D75" s="27">
        <v>899850</v>
      </c>
      <c r="E75" s="72"/>
      <c r="F75" s="28">
        <f>ROUND((D75/2),2)</f>
        <v>449925</v>
      </c>
      <c r="H75" s="28">
        <f>D75-F75</f>
        <v>449925</v>
      </c>
      <c r="J75" s="304" t="s">
        <v>172</v>
      </c>
    </row>
    <row r="76" spans="2:10" ht="15">
      <c r="B76" s="65" t="s">
        <v>997</v>
      </c>
      <c r="D76" s="27">
        <v>2870209</v>
      </c>
      <c r="E76" s="72"/>
      <c r="F76" s="28">
        <v>0</v>
      </c>
      <c r="H76" s="28">
        <f>+D76</f>
        <v>2870209</v>
      </c>
      <c r="J76" s="28" t="s">
        <v>1814</v>
      </c>
    </row>
    <row r="77" spans="2:10" ht="15">
      <c r="B77" s="65" t="s">
        <v>1104</v>
      </c>
      <c r="D77" s="27">
        <v>1675064.38</v>
      </c>
      <c r="E77" s="72"/>
      <c r="F77" s="28">
        <f>ROUND((D77/2),2)</f>
        <v>837532.19</v>
      </c>
      <c r="H77" s="28">
        <f>D77-F77</f>
        <v>837532.19</v>
      </c>
      <c r="J77" s="304" t="s">
        <v>172</v>
      </c>
    </row>
    <row r="78" spans="2:10" ht="15">
      <c r="B78" s="65" t="s">
        <v>1240</v>
      </c>
      <c r="D78" s="27">
        <v>0</v>
      </c>
      <c r="E78" s="72"/>
      <c r="F78" s="28">
        <f>ROUND((D78/2),2)</f>
        <v>0</v>
      </c>
      <c r="H78" s="28">
        <f>D78-F78</f>
        <v>0</v>
      </c>
      <c r="J78" s="304" t="s">
        <v>172</v>
      </c>
    </row>
    <row r="79" spans="2:10" ht="15">
      <c r="B79" s="65" t="s">
        <v>1410</v>
      </c>
      <c r="D79" s="27">
        <v>-245793.38</v>
      </c>
      <c r="E79" s="72"/>
      <c r="F79" s="28">
        <f>ROUND((D79/2),2)</f>
        <v>-122896.69</v>
      </c>
      <c r="H79" s="28">
        <f>D79-F79</f>
        <v>-122896.69</v>
      </c>
      <c r="J79" s="310" t="s">
        <v>172</v>
      </c>
    </row>
    <row r="80" spans="1:10" ht="15">
      <c r="A80" s="9">
        <v>190.3</v>
      </c>
      <c r="B80" s="65" t="s">
        <v>998</v>
      </c>
      <c r="D80" s="27">
        <v>5975462.07</v>
      </c>
      <c r="E80" s="72"/>
      <c r="F80" s="72"/>
      <c r="H80" s="72"/>
      <c r="J80" s="28" t="s">
        <v>336</v>
      </c>
    </row>
    <row r="81" spans="1:10" ht="15">
      <c r="A81" s="9">
        <v>190.4</v>
      </c>
      <c r="B81" s="65" t="s">
        <v>999</v>
      </c>
      <c r="D81" s="27">
        <v>644063.11</v>
      </c>
      <c r="E81" s="72"/>
      <c r="J81" s="28" t="s">
        <v>336</v>
      </c>
    </row>
    <row r="82" spans="2:10" ht="15.75">
      <c r="B82" s="65" t="s">
        <v>286</v>
      </c>
      <c r="D82" s="27"/>
      <c r="J82" s="281" t="s">
        <v>287</v>
      </c>
    </row>
    <row r="83" spans="2:5" ht="15">
      <c r="B83" s="65" t="s">
        <v>1000</v>
      </c>
      <c r="D83" s="28">
        <f>SUM(D68:D82)</f>
        <v>30102585.7</v>
      </c>
      <c r="E83" s="73"/>
    </row>
    <row r="84" spans="2:4" ht="15.75" thickBot="1">
      <c r="B84" s="65" t="s">
        <v>1001</v>
      </c>
      <c r="D84" s="28">
        <f>D81+D80</f>
        <v>6619525.180000001</v>
      </c>
    </row>
    <row r="85" spans="4:12" ht="15">
      <c r="D85" s="280" t="s">
        <v>1074</v>
      </c>
      <c r="J85" s="285"/>
      <c r="K85" s="286"/>
      <c r="L85" s="287" t="s">
        <v>1166</v>
      </c>
    </row>
    <row r="86" spans="2:12" ht="15">
      <c r="B86" s="65" t="s">
        <v>1002</v>
      </c>
      <c r="D86" s="28">
        <f>D83-D84</f>
        <v>23483060.52</v>
      </c>
      <c r="J86" s="288"/>
      <c r="K86" s="289" t="s">
        <v>402</v>
      </c>
      <c r="L86" s="290">
        <f>D93</f>
        <v>23483060.52</v>
      </c>
    </row>
    <row r="87" spans="1:12" ht="15">
      <c r="A87" s="35" t="s">
        <v>1003</v>
      </c>
      <c r="J87" s="291" t="s">
        <v>1168</v>
      </c>
      <c r="K87" s="292" t="s">
        <v>1169</v>
      </c>
      <c r="L87" s="293">
        <v>0</v>
      </c>
    </row>
    <row r="88" spans="1:13" ht="15.75" thickBot="1">
      <c r="A88" s="35">
        <v>1860000</v>
      </c>
      <c r="B88" s="311" t="s">
        <v>1783</v>
      </c>
      <c r="D88" s="27">
        <v>0</v>
      </c>
      <c r="E88" s="28" t="s">
        <v>1183</v>
      </c>
      <c r="F88" s="28">
        <f>D88</f>
        <v>0</v>
      </c>
      <c r="H88" s="28">
        <f>+D88</f>
        <v>0</v>
      </c>
      <c r="J88" s="81"/>
      <c r="K88" s="82" t="s">
        <v>1170</v>
      </c>
      <c r="L88" s="83">
        <f>SUM(L86:L87)</f>
        <v>23483060.52</v>
      </c>
      <c r="M88" s="294" t="s">
        <v>182</v>
      </c>
    </row>
    <row r="89" spans="1:8" ht="15">
      <c r="A89" s="35">
        <v>1860000</v>
      </c>
      <c r="B89" s="311" t="s">
        <v>1573</v>
      </c>
      <c r="D89" s="27">
        <v>0</v>
      </c>
      <c r="E89" s="28" t="s">
        <v>1183</v>
      </c>
      <c r="F89" s="28">
        <f>D89</f>
        <v>0</v>
      </c>
      <c r="H89" s="28">
        <f>+D89</f>
        <v>0</v>
      </c>
    </row>
    <row r="90" spans="1:8" ht="15">
      <c r="A90" s="35">
        <v>1860000</v>
      </c>
      <c r="B90" s="311" t="s">
        <v>1784</v>
      </c>
      <c r="D90" s="27">
        <v>0</v>
      </c>
      <c r="E90" s="28" t="s">
        <v>1183</v>
      </c>
      <c r="F90" s="28">
        <f>D90</f>
        <v>0</v>
      </c>
      <c r="H90" s="28">
        <f>+D90</f>
        <v>0</v>
      </c>
    </row>
    <row r="91" spans="1:10" ht="15">
      <c r="A91" s="35">
        <v>1901000</v>
      </c>
      <c r="B91" s="311" t="s">
        <v>1563</v>
      </c>
      <c r="D91" s="27">
        <v>0</v>
      </c>
      <c r="E91" s="28" t="s">
        <v>1183</v>
      </c>
      <c r="F91" s="28">
        <f>D91</f>
        <v>0</v>
      </c>
      <c r="H91" s="28">
        <f>+D91</f>
        <v>0</v>
      </c>
      <c r="J91" s="28" t="s">
        <v>219</v>
      </c>
    </row>
    <row r="92" spans="4:8" ht="15">
      <c r="D92" s="280" t="s">
        <v>1074</v>
      </c>
      <c r="F92" s="280" t="s">
        <v>1074</v>
      </c>
      <c r="H92" s="280" t="s">
        <v>1074</v>
      </c>
    </row>
    <row r="93" spans="1:10" ht="15">
      <c r="A93" s="9" t="s">
        <v>591</v>
      </c>
      <c r="D93" s="28">
        <f>D86+D88+D89+D90+D91</f>
        <v>23483060.52</v>
      </c>
      <c r="E93" s="28">
        <f>(F93+H93)-D93</f>
        <v>0</v>
      </c>
      <c r="F93" s="28">
        <f>SUM(F68:F79)+F88+F89+F90+F91</f>
        <v>3943758.62198</v>
      </c>
      <c r="H93" s="28">
        <f>SUM(H68:H79)+H88+H89+H90+H91</f>
        <v>19539301.89802</v>
      </c>
      <c r="J93" s="28" t="s">
        <v>592</v>
      </c>
    </row>
    <row r="94" ht="15"/>
    <row r="95" spans="2:10" ht="15.75">
      <c r="B95" s="65"/>
      <c r="D95" s="27"/>
      <c r="F95" s="284" t="s">
        <v>1859</v>
      </c>
      <c r="G95" s="103"/>
      <c r="H95" s="284" t="s">
        <v>1262</v>
      </c>
      <c r="J95" s="281" t="s">
        <v>414</v>
      </c>
    </row>
    <row r="96" spans="1:10" ht="15">
      <c r="A96" s="9">
        <v>255</v>
      </c>
      <c r="B96" s="65" t="s">
        <v>1364</v>
      </c>
      <c r="D96" s="27">
        <v>9414</v>
      </c>
      <c r="E96" s="72"/>
      <c r="F96" s="28">
        <f>+D96</f>
        <v>9414</v>
      </c>
      <c r="H96" s="28">
        <v>0</v>
      </c>
      <c r="I96" s="65"/>
      <c r="J96" s="28" t="s">
        <v>1815</v>
      </c>
    </row>
    <row r="97" spans="1:10" ht="15.75" thickBot="1">
      <c r="A97" s="32" t="s">
        <v>1363</v>
      </c>
      <c r="B97" s="65" t="s">
        <v>1365</v>
      </c>
      <c r="D97" s="27">
        <v>-14939091</v>
      </c>
      <c r="E97" s="72"/>
      <c r="F97" s="28">
        <v>0</v>
      </c>
      <c r="H97" s="28">
        <f>+D97</f>
        <v>-14939091</v>
      </c>
      <c r="J97" s="28" t="s">
        <v>1814</v>
      </c>
    </row>
    <row r="98" spans="4:12" ht="15">
      <c r="D98" s="280" t="s">
        <v>1074</v>
      </c>
      <c r="F98" s="280" t="s">
        <v>1074</v>
      </c>
      <c r="H98" s="280" t="s">
        <v>1074</v>
      </c>
      <c r="J98" s="312"/>
      <c r="K98" s="313" t="s">
        <v>180</v>
      </c>
      <c r="L98" s="287" t="s">
        <v>1166</v>
      </c>
    </row>
    <row r="99" spans="1:13" ht="15.75" thickBot="1">
      <c r="A99" s="9" t="s">
        <v>1366</v>
      </c>
      <c r="D99" s="28">
        <f>SUM(D96:D97)</f>
        <v>-14929677</v>
      </c>
      <c r="E99" s="28">
        <f>(F99+H99)-D99</f>
        <v>0</v>
      </c>
      <c r="F99" s="28">
        <f>SUM(F96:F97)</f>
        <v>9414</v>
      </c>
      <c r="H99" s="28">
        <f>SUM(H96:H97)</f>
        <v>-14939091</v>
      </c>
      <c r="J99" s="312"/>
      <c r="K99" s="314" t="s">
        <v>179</v>
      </c>
      <c r="L99" s="83">
        <f>D99</f>
        <v>-14929677</v>
      </c>
      <c r="M99" s="294" t="s">
        <v>182</v>
      </c>
    </row>
    <row r="100" ht="15">
      <c r="D100" s="76" t="s">
        <v>1557</v>
      </c>
    </row>
    <row r="101" spans="4:10" ht="15.75">
      <c r="D101" s="76"/>
      <c r="E101" s="28">
        <f>-66714095.22+669076.16</f>
        <v>-66045019.06</v>
      </c>
      <c r="F101" s="284" t="s">
        <v>1859</v>
      </c>
      <c r="G101" s="103"/>
      <c r="H101" s="284" t="s">
        <v>1262</v>
      </c>
      <c r="J101" s="281" t="s">
        <v>414</v>
      </c>
    </row>
    <row r="102" spans="1:10" ht="15.75" thickBot="1">
      <c r="A102" s="9">
        <v>282.1</v>
      </c>
      <c r="B102" s="65" t="s">
        <v>1367</v>
      </c>
      <c r="D102" s="27">
        <f>-3461414.1-425</f>
        <v>-3461839.1</v>
      </c>
      <c r="E102" s="72"/>
      <c r="F102" s="28">
        <f>+D102</f>
        <v>-3461839.1</v>
      </c>
      <c r="H102" s="28">
        <v>0</v>
      </c>
      <c r="J102" s="28" t="s">
        <v>1815</v>
      </c>
    </row>
    <row r="103" spans="1:12" ht="15.75">
      <c r="A103" s="32" t="s">
        <v>1368</v>
      </c>
      <c r="B103" s="65" t="s">
        <v>1369</v>
      </c>
      <c r="D103" s="27">
        <f>-7170417.4+12379</f>
        <v>-7158038.4</v>
      </c>
      <c r="E103" s="72"/>
      <c r="F103" s="28">
        <v>0</v>
      </c>
      <c r="H103" s="28">
        <f>+D103</f>
        <v>-7158038.4</v>
      </c>
      <c r="J103" s="28" t="s">
        <v>1814</v>
      </c>
      <c r="K103" s="302" t="s">
        <v>288</v>
      </c>
      <c r="L103" s="303"/>
    </row>
    <row r="104" spans="1:12" ht="15.75">
      <c r="A104" s="32" t="s">
        <v>1370</v>
      </c>
      <c r="B104" s="65" t="s">
        <v>1371</v>
      </c>
      <c r="D104" s="27">
        <f>-7107751.3+1585</f>
        <v>-7106166.3</v>
      </c>
      <c r="E104" s="72"/>
      <c r="F104" s="28">
        <f>D104*0.5</f>
        <v>-3553083.15</v>
      </c>
      <c r="H104" s="28">
        <f>D104-F104</f>
        <v>-3553083.15</v>
      </c>
      <c r="J104" s="310" t="s">
        <v>172</v>
      </c>
      <c r="K104" s="305" t="s">
        <v>1856</v>
      </c>
      <c r="L104" s="306" t="s">
        <v>1857</v>
      </c>
    </row>
    <row r="105" spans="2:12" ht="15.75" thickBot="1">
      <c r="B105" s="65" t="s">
        <v>1191</v>
      </c>
      <c r="D105" s="27">
        <f>-8882257.15+4565936</f>
        <v>-4316321.15</v>
      </c>
      <c r="E105" s="65" t="s">
        <v>1729</v>
      </c>
      <c r="F105" s="28">
        <f>D105*K105</f>
        <v>-2080466.7943000002</v>
      </c>
      <c r="H105" s="28">
        <f>D105*L105</f>
        <v>-2235854.3557</v>
      </c>
      <c r="I105" s="30" t="s">
        <v>1728</v>
      </c>
      <c r="J105" s="28" t="s">
        <v>1858</v>
      </c>
      <c r="K105" s="308">
        <v>0.482</v>
      </c>
      <c r="L105" s="309">
        <v>0.518</v>
      </c>
    </row>
    <row r="106" spans="2:10" ht="15">
      <c r="B106" s="65" t="s">
        <v>1180</v>
      </c>
      <c r="D106" s="27">
        <f>-63640.15-3193068.2+776821.22</f>
        <v>-2479887.13</v>
      </c>
      <c r="E106" s="72"/>
      <c r="F106" s="28">
        <f>D106*0.5</f>
        <v>-1239943.565</v>
      </c>
      <c r="H106" s="28">
        <f>D106-F106</f>
        <v>-1239943.565</v>
      </c>
      <c r="J106" s="310" t="s">
        <v>172</v>
      </c>
    </row>
    <row r="107" spans="1:10" ht="15">
      <c r="A107" s="28"/>
      <c r="B107" s="65" t="s">
        <v>1192</v>
      </c>
      <c r="D107" s="27">
        <f>-1245811+1223036</f>
        <v>-22775</v>
      </c>
      <c r="E107" s="72"/>
      <c r="F107" s="28">
        <f>D107*0.5</f>
        <v>-11387.5</v>
      </c>
      <c r="H107" s="28">
        <f>D107-F107</f>
        <v>-11387.5</v>
      </c>
      <c r="J107" s="310" t="s">
        <v>172</v>
      </c>
    </row>
    <row r="108" spans="2:10" ht="15">
      <c r="B108" s="65" t="s">
        <v>1193</v>
      </c>
      <c r="D108" s="27">
        <f>-25499907+25474831</f>
        <v>-25076</v>
      </c>
      <c r="E108" s="72"/>
      <c r="F108" s="28">
        <f>+D108</f>
        <v>-25076</v>
      </c>
      <c r="H108" s="28">
        <v>0</v>
      </c>
      <c r="J108" s="28" t="s">
        <v>1815</v>
      </c>
    </row>
    <row r="109" spans="2:10" ht="15">
      <c r="B109" s="65" t="s">
        <v>1194</v>
      </c>
      <c r="D109" s="27">
        <f>-4018407.25+2893139</f>
        <v>-1125268.25</v>
      </c>
      <c r="E109" s="72"/>
      <c r="F109" s="28">
        <v>0</v>
      </c>
      <c r="H109" s="28">
        <f>+D109</f>
        <v>-1125268.25</v>
      </c>
      <c r="J109" s="28" t="s">
        <v>1814</v>
      </c>
    </row>
    <row r="110" spans="1:10" ht="15">
      <c r="A110" s="28"/>
      <c r="B110" s="65" t="s">
        <v>1195</v>
      </c>
      <c r="D110" s="27">
        <f>-130343+126076</f>
        <v>-4267</v>
      </c>
      <c r="E110" s="72"/>
      <c r="F110" s="28">
        <f>+D110</f>
        <v>-4267</v>
      </c>
      <c r="H110" s="28">
        <v>0</v>
      </c>
      <c r="J110" s="28" t="s">
        <v>1815</v>
      </c>
    </row>
    <row r="111" spans="2:10" ht="15">
      <c r="B111" s="65" t="s">
        <v>1467</v>
      </c>
      <c r="D111" s="27">
        <f>-417716+404040</f>
        <v>-13676</v>
      </c>
      <c r="E111" s="72"/>
      <c r="F111" s="28">
        <f>+D111</f>
        <v>-13676</v>
      </c>
      <c r="H111" s="28">
        <v>0</v>
      </c>
      <c r="J111" s="28" t="s">
        <v>1815</v>
      </c>
    </row>
    <row r="112" spans="2:10" ht="15">
      <c r="B112" s="65" t="s">
        <v>1105</v>
      </c>
      <c r="D112" s="27">
        <v>-554048.9</v>
      </c>
      <c r="E112" s="72"/>
      <c r="F112" s="28">
        <f>D112*0.5</f>
        <v>-277024.45</v>
      </c>
      <c r="H112" s="28">
        <f>D112-F112</f>
        <v>-277024.45</v>
      </c>
      <c r="J112" s="310" t="s">
        <v>172</v>
      </c>
    </row>
    <row r="113" spans="2:10" ht="15">
      <c r="B113" s="65" t="s">
        <v>1468</v>
      </c>
      <c r="D113" s="27">
        <f>-41081+40068</f>
        <v>-1013</v>
      </c>
      <c r="E113" s="72"/>
      <c r="F113" s="28">
        <f>D113*0.5</f>
        <v>-506.5</v>
      </c>
      <c r="H113" s="28">
        <f>D113-F113</f>
        <v>-506.5</v>
      </c>
      <c r="J113" s="310" t="s">
        <v>172</v>
      </c>
    </row>
    <row r="114" spans="2:10" ht="15">
      <c r="B114" s="65" t="s">
        <v>1469</v>
      </c>
      <c r="D114" s="27">
        <f>-1080289+1079515</f>
        <v>-774</v>
      </c>
      <c r="E114" s="72"/>
      <c r="F114" s="28">
        <f>+D114</f>
        <v>-774</v>
      </c>
      <c r="H114" s="28">
        <v>0</v>
      </c>
      <c r="J114" s="28" t="s">
        <v>1815</v>
      </c>
    </row>
    <row r="115" spans="2:10" ht="15">
      <c r="B115" s="65" t="s">
        <v>1470</v>
      </c>
      <c r="D115" s="27">
        <f>-56822+51568</f>
        <v>-5254</v>
      </c>
      <c r="E115" s="72"/>
      <c r="F115" s="28">
        <v>0</v>
      </c>
      <c r="H115" s="28">
        <f>+D115</f>
        <v>-5254</v>
      </c>
      <c r="J115" s="28" t="s">
        <v>1814</v>
      </c>
    </row>
    <row r="116" spans="1:10" ht="15">
      <c r="A116" s="28"/>
      <c r="B116" s="65" t="s">
        <v>1882</v>
      </c>
      <c r="D116" s="27">
        <f>-5383048.65+934943</f>
        <v>-4448105.65</v>
      </c>
      <c r="E116" s="72"/>
      <c r="F116" s="28">
        <f>D116*0.5</f>
        <v>-2224052.825</v>
      </c>
      <c r="H116" s="28">
        <f>D116-F116</f>
        <v>-2224052.825</v>
      </c>
      <c r="J116" s="310" t="s">
        <v>172</v>
      </c>
    </row>
    <row r="117" spans="1:10" ht="15.75">
      <c r="A117" s="71"/>
      <c r="B117" s="65" t="s">
        <v>1052</v>
      </c>
      <c r="D117" s="27">
        <v>-13059007.5</v>
      </c>
      <c r="E117" s="72"/>
      <c r="F117" s="28">
        <f>+D117</f>
        <v>-13059007.5</v>
      </c>
      <c r="H117" s="28">
        <v>0</v>
      </c>
      <c r="J117" s="28" t="s">
        <v>1815</v>
      </c>
    </row>
    <row r="118" spans="1:10" ht="15.75">
      <c r="A118" s="71"/>
      <c r="B118" s="65" t="s">
        <v>1053</v>
      </c>
      <c r="D118" s="27">
        <v>-15912994.65</v>
      </c>
      <c r="E118" s="72"/>
      <c r="F118" s="28">
        <f>+D118</f>
        <v>-15912994.65</v>
      </c>
      <c r="H118" s="28">
        <v>0</v>
      </c>
      <c r="J118" s="28" t="s">
        <v>1815</v>
      </c>
    </row>
    <row r="119" spans="1:4" ht="15">
      <c r="A119" s="9">
        <v>282.3</v>
      </c>
      <c r="B119" s="65" t="s">
        <v>1471</v>
      </c>
      <c r="D119" s="27">
        <v>-917961.82</v>
      </c>
    </row>
    <row r="120" spans="1:4" ht="15">
      <c r="A120" s="9">
        <v>282.4</v>
      </c>
      <c r="B120" s="65" t="s">
        <v>318</v>
      </c>
      <c r="D120" s="27">
        <v>-13539</v>
      </c>
    </row>
    <row r="121" spans="1:10" ht="15.75" thickBot="1">
      <c r="A121" s="9">
        <v>282.5</v>
      </c>
      <c r="B121" s="65" t="s">
        <v>407</v>
      </c>
      <c r="D121" s="27">
        <v>0</v>
      </c>
      <c r="F121" s="28">
        <f>D121*0.5</f>
        <v>0</v>
      </c>
      <c r="H121" s="28">
        <f>D121-F121</f>
        <v>0</v>
      </c>
      <c r="J121" s="310" t="s">
        <v>172</v>
      </c>
    </row>
    <row r="122" spans="1:12" ht="15">
      <c r="A122" s="9" t="s">
        <v>319</v>
      </c>
      <c r="D122" s="28">
        <f>SUM(D102:D121)</f>
        <v>-60626012.85</v>
      </c>
      <c r="E122" s="76"/>
      <c r="J122" s="285"/>
      <c r="K122" s="286"/>
      <c r="L122" s="287" t="s">
        <v>1166</v>
      </c>
    </row>
    <row r="123" spans="1:12" ht="15">
      <c r="A123" s="9" t="s">
        <v>320</v>
      </c>
      <c r="D123" s="28">
        <f>D120+D119</f>
        <v>-931500.82</v>
      </c>
      <c r="J123" s="288"/>
      <c r="K123" s="289" t="s">
        <v>403</v>
      </c>
      <c r="L123" s="290">
        <f>D125</f>
        <v>-59694512.03</v>
      </c>
    </row>
    <row r="124" spans="4:12" ht="15">
      <c r="D124" s="280" t="s">
        <v>1074</v>
      </c>
      <c r="F124" s="280" t="s">
        <v>1074</v>
      </c>
      <c r="H124" s="280" t="s">
        <v>1074</v>
      </c>
      <c r="J124" s="291" t="s">
        <v>1168</v>
      </c>
      <c r="K124" s="292" t="s">
        <v>1169</v>
      </c>
      <c r="L124" s="293">
        <v>0</v>
      </c>
    </row>
    <row r="125" spans="1:13" ht="15.75" thickBot="1">
      <c r="A125" s="9" t="s">
        <v>139</v>
      </c>
      <c r="D125" s="28">
        <f>D122-D123</f>
        <v>-59694512.03</v>
      </c>
      <c r="E125" s="28">
        <f>(F125+H125)-D125</f>
        <v>0</v>
      </c>
      <c r="F125" s="28">
        <f>SUM(F102:F118)+F121</f>
        <v>-41864099.0343</v>
      </c>
      <c r="H125" s="28">
        <f>SUM(H102:H118)+H121</f>
        <v>-17830412.9957</v>
      </c>
      <c r="J125" s="81"/>
      <c r="K125" s="82" t="s">
        <v>404</v>
      </c>
      <c r="L125" s="83">
        <f>SUM(L123:L124)</f>
        <v>-59694512.03</v>
      </c>
      <c r="M125" s="294" t="s">
        <v>182</v>
      </c>
    </row>
    <row r="126" ht="15"/>
    <row r="127" spans="6:10" ht="15.75">
      <c r="F127" s="284" t="s">
        <v>1859</v>
      </c>
      <c r="G127" s="103"/>
      <c r="H127" s="284" t="s">
        <v>1262</v>
      </c>
      <c r="J127" s="281" t="s">
        <v>414</v>
      </c>
    </row>
    <row r="128" spans="1:10" ht="15">
      <c r="A128" s="9">
        <v>283.1</v>
      </c>
      <c r="B128" s="65" t="s">
        <v>976</v>
      </c>
      <c r="D128" s="27">
        <v>417.9</v>
      </c>
      <c r="F128" s="28">
        <f>ROUND((D128*0.5),0)</f>
        <v>209</v>
      </c>
      <c r="H128" s="28">
        <f>D128-F128</f>
        <v>208.89999999999998</v>
      </c>
      <c r="J128" s="310" t="s">
        <v>172</v>
      </c>
    </row>
    <row r="129" spans="1:10" ht="15">
      <c r="A129" s="32" t="s">
        <v>1368</v>
      </c>
      <c r="B129" s="65" t="s">
        <v>304</v>
      </c>
      <c r="D129" s="27">
        <v>-2424.8</v>
      </c>
      <c r="E129" s="72"/>
      <c r="F129" s="28">
        <f>D129-H129</f>
        <v>-1212.8000000000002</v>
      </c>
      <c r="H129" s="28">
        <f>ROUND((D129/2),0)</f>
        <v>-1212</v>
      </c>
      <c r="J129" s="310" t="s">
        <v>172</v>
      </c>
    </row>
    <row r="130" spans="1:10" ht="15">
      <c r="A130" s="32"/>
      <c r="B130" s="65" t="s">
        <v>1106</v>
      </c>
      <c r="D130" s="27">
        <v>-958448.31</v>
      </c>
      <c r="E130" s="72"/>
      <c r="F130" s="28">
        <f>D130-H130</f>
        <v>-479224.31000000006</v>
      </c>
      <c r="H130" s="28">
        <f>ROUND((D130/2),0)</f>
        <v>-479224</v>
      </c>
      <c r="J130" s="310" t="s">
        <v>172</v>
      </c>
    </row>
    <row r="131" spans="1:10" ht="15">
      <c r="A131" s="32" t="s">
        <v>306</v>
      </c>
      <c r="B131" s="65" t="s">
        <v>305</v>
      </c>
      <c r="D131" s="27">
        <v>-627315.44</v>
      </c>
      <c r="E131" s="72"/>
      <c r="F131" s="28">
        <f>D131-H131</f>
        <v>-313657.43999999994</v>
      </c>
      <c r="H131" s="28">
        <f>ROUND((D131/2),0)</f>
        <v>-313658</v>
      </c>
      <c r="J131" s="310" t="s">
        <v>172</v>
      </c>
    </row>
    <row r="132" spans="2:10" ht="15">
      <c r="B132" s="65" t="s">
        <v>915</v>
      </c>
      <c r="D132" s="27">
        <v>-93958.05</v>
      </c>
      <c r="E132" s="72"/>
      <c r="F132" s="28">
        <v>0</v>
      </c>
      <c r="H132" s="28">
        <f>+D132</f>
        <v>-93958.05</v>
      </c>
      <c r="J132" s="28" t="s">
        <v>1814</v>
      </c>
    </row>
    <row r="133" spans="2:10" ht="15">
      <c r="B133" s="65" t="s">
        <v>1296</v>
      </c>
      <c r="D133" s="27">
        <v>0</v>
      </c>
      <c r="E133" s="72"/>
      <c r="F133" s="28">
        <v>0</v>
      </c>
      <c r="H133" s="28">
        <v>0</v>
      </c>
      <c r="J133" s="310" t="s">
        <v>1295</v>
      </c>
    </row>
    <row r="134" spans="2:10" ht="15">
      <c r="B134" s="65" t="s">
        <v>1296</v>
      </c>
      <c r="D134" s="27">
        <v>0</v>
      </c>
      <c r="E134" s="72"/>
      <c r="F134" s="28">
        <v>0</v>
      </c>
      <c r="H134" s="28">
        <v>0</v>
      </c>
      <c r="J134" s="310" t="s">
        <v>1295</v>
      </c>
    </row>
    <row r="135" spans="1:8" ht="15">
      <c r="A135" s="9">
        <v>283.5</v>
      </c>
      <c r="B135" s="65" t="s">
        <v>1604</v>
      </c>
      <c r="D135" s="27">
        <v>0</v>
      </c>
      <c r="E135" s="72"/>
      <c r="F135" s="28">
        <f>ROUND((D135*0.5),0)</f>
        <v>0</v>
      </c>
      <c r="H135" s="28">
        <f>D135-F135</f>
        <v>0</v>
      </c>
    </row>
    <row r="136" spans="1:10" ht="15.75">
      <c r="A136" s="9">
        <v>283.3</v>
      </c>
      <c r="B136" s="65" t="s">
        <v>1603</v>
      </c>
      <c r="D136" s="27">
        <f>-2846398.43-2304612</f>
        <v>-5151010.43</v>
      </c>
      <c r="J136" s="315" t="s">
        <v>1605</v>
      </c>
    </row>
    <row r="137" spans="1:4" ht="15.75" thickBot="1">
      <c r="A137" s="9">
        <v>283.4</v>
      </c>
      <c r="B137" s="65" t="s">
        <v>678</v>
      </c>
      <c r="D137" s="27">
        <v>0</v>
      </c>
    </row>
    <row r="138" spans="4:12" ht="15">
      <c r="D138" s="280" t="s">
        <v>1074</v>
      </c>
      <c r="J138" s="285"/>
      <c r="K138" s="286"/>
      <c r="L138" s="287" t="s">
        <v>1166</v>
      </c>
    </row>
    <row r="139" spans="1:12" ht="15">
      <c r="A139" s="9" t="s">
        <v>582</v>
      </c>
      <c r="D139" s="28">
        <f>SUM(D128:D137)</f>
        <v>-6832739.13</v>
      </c>
      <c r="G139" s="28"/>
      <c r="J139" s="288"/>
      <c r="K139" s="289" t="s">
        <v>110</v>
      </c>
      <c r="L139" s="290">
        <f>D142</f>
        <v>-1681728.7000000002</v>
      </c>
    </row>
    <row r="140" spans="1:12" ht="15">
      <c r="A140" s="9" t="s">
        <v>320</v>
      </c>
      <c r="D140" s="28">
        <f>D137+D136</f>
        <v>-5151010.43</v>
      </c>
      <c r="G140" s="28"/>
      <c r="J140" s="291" t="s">
        <v>1168</v>
      </c>
      <c r="K140" s="292" t="s">
        <v>1169</v>
      </c>
      <c r="L140" s="293">
        <v>0</v>
      </c>
    </row>
    <row r="141" spans="4:13" ht="15.75" thickBot="1">
      <c r="D141" s="280" t="s">
        <v>1074</v>
      </c>
      <c r="F141" s="280" t="s">
        <v>1074</v>
      </c>
      <c r="H141" s="280" t="s">
        <v>1074</v>
      </c>
      <c r="J141" s="81"/>
      <c r="K141" s="82" t="s">
        <v>181</v>
      </c>
      <c r="L141" s="83">
        <f>SUM(L139:L140)</f>
        <v>-1681728.7000000002</v>
      </c>
      <c r="M141" s="294" t="s">
        <v>182</v>
      </c>
    </row>
    <row r="142" spans="1:12" ht="15">
      <c r="A142" s="9" t="s">
        <v>583</v>
      </c>
      <c r="D142" s="28">
        <f>D139-D140</f>
        <v>-1681728.7000000002</v>
      </c>
      <c r="E142" s="28">
        <f>(F142+H142)-D142</f>
        <v>0</v>
      </c>
      <c r="F142" s="28">
        <f>SUM(F128:F135)</f>
        <v>-793885.55</v>
      </c>
      <c r="H142" s="28">
        <f>SUM(H128:H135)</f>
        <v>-887843.15</v>
      </c>
      <c r="K142" s="32"/>
      <c r="L142" s="51"/>
    </row>
    <row r="143" ht="15"/>
    <row r="144" spans="1:9" ht="15.75">
      <c r="A144" s="98" t="s">
        <v>584</v>
      </c>
      <c r="D144" s="279" t="s">
        <v>585</v>
      </c>
      <c r="F144" s="279" t="s">
        <v>586</v>
      </c>
      <c r="I144" s="281" t="s">
        <v>1519</v>
      </c>
    </row>
    <row r="145" spans="1:9" ht="15">
      <c r="A145" s="9" t="s">
        <v>587</v>
      </c>
      <c r="D145" s="27">
        <v>129745731.2</v>
      </c>
      <c r="E145" s="316" t="s">
        <v>1590</v>
      </c>
      <c r="F145" s="65" t="s">
        <v>616</v>
      </c>
      <c r="H145" s="316" t="s">
        <v>221</v>
      </c>
      <c r="I145" s="28" t="s">
        <v>617</v>
      </c>
    </row>
    <row r="146" ht="15">
      <c r="D146" s="27"/>
    </row>
    <row r="147" spans="1:9" ht="15">
      <c r="A147" s="9" t="s">
        <v>237</v>
      </c>
      <c r="D147" s="27">
        <v>1034099.36</v>
      </c>
      <c r="E147" s="28" t="s">
        <v>1815</v>
      </c>
      <c r="F147" s="65" t="s">
        <v>618</v>
      </c>
      <c r="H147" s="316" t="s">
        <v>1590</v>
      </c>
      <c r="I147" s="28" t="s">
        <v>1727</v>
      </c>
    </row>
    <row r="148" ht="15">
      <c r="D148" s="27"/>
    </row>
    <row r="149" spans="1:9" ht="15">
      <c r="A149" s="9" t="s">
        <v>727</v>
      </c>
      <c r="D149" s="27">
        <v>0</v>
      </c>
      <c r="E149" s="316" t="s">
        <v>1590</v>
      </c>
      <c r="F149" s="65" t="s">
        <v>728</v>
      </c>
      <c r="H149" s="316" t="s">
        <v>1590</v>
      </c>
      <c r="I149" s="28" t="s">
        <v>617</v>
      </c>
    </row>
    <row r="150" ht="15">
      <c r="D150" s="27"/>
    </row>
    <row r="151" spans="1:9" ht="15">
      <c r="A151" s="9" t="s">
        <v>619</v>
      </c>
      <c r="D151" s="27">
        <f>2545234.56+3188.31</f>
        <v>2548422.87</v>
      </c>
      <c r="E151" s="316" t="s">
        <v>1590</v>
      </c>
      <c r="F151" s="65" t="s">
        <v>620</v>
      </c>
      <c r="H151" s="316" t="s">
        <v>1590</v>
      </c>
      <c r="I151" s="28" t="s">
        <v>617</v>
      </c>
    </row>
    <row r="152" spans="1:4" ht="15.75">
      <c r="A152" s="43"/>
      <c r="B152" s="55"/>
      <c r="D152" s="27"/>
    </row>
    <row r="153" spans="1:10" ht="15.75">
      <c r="A153" s="9" t="s">
        <v>621</v>
      </c>
      <c r="D153" s="27">
        <v>383000</v>
      </c>
      <c r="E153" s="316" t="s">
        <v>1590</v>
      </c>
      <c r="F153" s="65" t="s">
        <v>1651</v>
      </c>
      <c r="H153" s="316" t="s">
        <v>1590</v>
      </c>
      <c r="I153" s="28" t="s">
        <v>617</v>
      </c>
      <c r="J153" s="281" t="s">
        <v>280</v>
      </c>
    </row>
    <row r="154" ht="15">
      <c r="D154" s="27"/>
    </row>
    <row r="155" spans="1:10" ht="15.75">
      <c r="A155" s="9" t="s">
        <v>412</v>
      </c>
      <c r="D155" s="27">
        <v>92228987.11</v>
      </c>
      <c r="E155" s="316" t="s">
        <v>1590</v>
      </c>
      <c r="F155" s="65" t="s">
        <v>413</v>
      </c>
      <c r="H155" s="316" t="s">
        <v>1590</v>
      </c>
      <c r="I155" s="28" t="s">
        <v>617</v>
      </c>
      <c r="J155" s="281" t="s">
        <v>280</v>
      </c>
    </row>
    <row r="156" ht="15">
      <c r="D156" s="27"/>
    </row>
    <row r="157" spans="1:9" ht="15">
      <c r="A157" s="9" t="s">
        <v>421</v>
      </c>
      <c r="D157" s="27">
        <v>2633319.07</v>
      </c>
      <c r="E157" s="316" t="s">
        <v>1590</v>
      </c>
      <c r="F157" s="65" t="s">
        <v>422</v>
      </c>
      <c r="H157" s="316" t="s">
        <v>1590</v>
      </c>
      <c r="I157" s="316" t="s">
        <v>1239</v>
      </c>
    </row>
    <row r="158" spans="4:9" ht="15.75">
      <c r="D158" s="27"/>
      <c r="I158" s="281" t="s">
        <v>280</v>
      </c>
    </row>
    <row r="159" spans="1:9" ht="15">
      <c r="A159" s="9" t="s">
        <v>780</v>
      </c>
      <c r="D159" s="27">
        <f>17768601.9+45826446.6</f>
        <v>63595048.5</v>
      </c>
      <c r="E159" s="316" t="s">
        <v>1590</v>
      </c>
      <c r="F159" s="65" t="s">
        <v>423</v>
      </c>
      <c r="H159" s="316" t="s">
        <v>1590</v>
      </c>
      <c r="I159" s="28" t="s">
        <v>308</v>
      </c>
    </row>
    <row r="160" spans="4:9" ht="15.75">
      <c r="D160" s="27"/>
      <c r="I160" s="281" t="s">
        <v>280</v>
      </c>
    </row>
    <row r="161" ht="15">
      <c r="D161" s="27">
        <v>0</v>
      </c>
    </row>
    <row r="162" spans="1:10" ht="15.75">
      <c r="A162" s="9" t="s">
        <v>729</v>
      </c>
      <c r="D162" s="27">
        <v>0</v>
      </c>
      <c r="E162" s="316" t="s">
        <v>1590</v>
      </c>
      <c r="F162" s="65" t="s">
        <v>1805</v>
      </c>
      <c r="H162" s="316" t="s">
        <v>1590</v>
      </c>
      <c r="I162" s="28" t="s">
        <v>617</v>
      </c>
      <c r="J162" s="281" t="s">
        <v>280</v>
      </c>
    </row>
    <row r="163" spans="4:10" ht="15.75">
      <c r="D163" s="27"/>
      <c r="J163" s="281" t="s">
        <v>290</v>
      </c>
    </row>
    <row r="164" spans="1:9" ht="15">
      <c r="A164" s="9" t="s">
        <v>881</v>
      </c>
      <c r="D164" s="27">
        <v>0</v>
      </c>
      <c r="E164" s="316" t="s">
        <v>1590</v>
      </c>
      <c r="F164" s="65" t="s">
        <v>882</v>
      </c>
      <c r="H164" s="316" t="s">
        <v>1590</v>
      </c>
      <c r="I164" s="28" t="s">
        <v>617</v>
      </c>
    </row>
    <row r="165" ht="15">
      <c r="D165" s="27"/>
    </row>
    <row r="166" spans="1:10" ht="15.75">
      <c r="A166" s="9" t="s">
        <v>883</v>
      </c>
      <c r="D166" s="27">
        <v>0</v>
      </c>
      <c r="E166" s="316" t="s">
        <v>1590</v>
      </c>
      <c r="F166" s="65" t="s">
        <v>1889</v>
      </c>
      <c r="H166" s="316" t="s">
        <v>1590</v>
      </c>
      <c r="I166" s="28" t="s">
        <v>617</v>
      </c>
      <c r="J166" s="281" t="s">
        <v>280</v>
      </c>
    </row>
    <row r="167" spans="4:6" ht="15">
      <c r="D167" s="27"/>
      <c r="F167" s="65"/>
    </row>
    <row r="168" spans="1:9" ht="15">
      <c r="A168" s="9" t="s">
        <v>589</v>
      </c>
      <c r="D168" s="27">
        <v>0</v>
      </c>
      <c r="E168" s="316" t="s">
        <v>1590</v>
      </c>
      <c r="F168" s="65" t="s">
        <v>882</v>
      </c>
      <c r="H168" s="316" t="s">
        <v>1590</v>
      </c>
      <c r="I168" s="28" t="s">
        <v>617</v>
      </c>
    </row>
    <row r="169" spans="4:6" ht="15">
      <c r="D169" s="27"/>
      <c r="F169" s="65"/>
    </row>
    <row r="170" spans="1:10" ht="15.75">
      <c r="A170" s="9" t="s">
        <v>1300</v>
      </c>
      <c r="D170" s="27">
        <v>82119102.89</v>
      </c>
      <c r="E170" s="316" t="s">
        <v>1590</v>
      </c>
      <c r="F170" s="65" t="s">
        <v>1274</v>
      </c>
      <c r="H170" s="316" t="s">
        <v>1590</v>
      </c>
      <c r="I170" s="28" t="s">
        <v>66</v>
      </c>
      <c r="J170" s="281" t="s">
        <v>280</v>
      </c>
    </row>
    <row r="171" spans="1:2" ht="15.75">
      <c r="A171" s="43"/>
      <c r="B171" s="55"/>
    </row>
    <row r="172" spans="4:6" ht="17.25">
      <c r="D172" s="299" t="s">
        <v>1775</v>
      </c>
      <c r="E172" s="317"/>
      <c r="F172" s="318" t="s">
        <v>586</v>
      </c>
    </row>
    <row r="173" spans="1:9" ht="15.75">
      <c r="A173" s="9" t="s">
        <v>884</v>
      </c>
      <c r="D173" s="27">
        <v>950306.81</v>
      </c>
      <c r="E173" s="307">
        <f>+D173</f>
        <v>950306.81</v>
      </c>
      <c r="F173" s="65" t="s">
        <v>885</v>
      </c>
      <c r="I173" s="281" t="s">
        <v>903</v>
      </c>
    </row>
    <row r="174" spans="4:5" ht="15">
      <c r="D174" s="27"/>
      <c r="E174" s="307"/>
    </row>
    <row r="175" spans="1:9" ht="15.75">
      <c r="A175" s="9" t="s">
        <v>1093</v>
      </c>
      <c r="D175" s="27">
        <v>1391519.2</v>
      </c>
      <c r="E175" s="307">
        <f>+D175</f>
        <v>1391519.2</v>
      </c>
      <c r="F175" s="65" t="s">
        <v>886</v>
      </c>
      <c r="I175" s="281" t="s">
        <v>903</v>
      </c>
    </row>
    <row r="176" spans="4:5" ht="15">
      <c r="D176" s="27"/>
      <c r="E176" s="307"/>
    </row>
    <row r="177" spans="1:9" ht="15.75">
      <c r="A177" s="9" t="s">
        <v>958</v>
      </c>
      <c r="D177" s="27">
        <v>12290719.11</v>
      </c>
      <c r="E177" s="307">
        <f>+D177</f>
        <v>12290719.11</v>
      </c>
      <c r="F177" s="65" t="s">
        <v>929</v>
      </c>
      <c r="I177" s="281" t="s">
        <v>903</v>
      </c>
    </row>
    <row r="178" spans="4:5" ht="15">
      <c r="D178" s="27"/>
      <c r="E178" s="307"/>
    </row>
    <row r="179" spans="1:9" ht="15.75">
      <c r="A179" s="9" t="s">
        <v>1332</v>
      </c>
      <c r="D179" s="27">
        <v>0</v>
      </c>
      <c r="E179" s="307">
        <f>+D179</f>
        <v>0</v>
      </c>
      <c r="F179" s="65" t="s">
        <v>1703</v>
      </c>
      <c r="I179" s="281" t="s">
        <v>903</v>
      </c>
    </row>
    <row r="180" ht="15"/>
    <row r="181" spans="1:6" ht="17.25">
      <c r="A181" s="52" t="s">
        <v>1704</v>
      </c>
      <c r="D181" s="299" t="s">
        <v>1705</v>
      </c>
      <c r="E181" s="299" t="s">
        <v>1706</v>
      </c>
      <c r="F181" s="318" t="s">
        <v>586</v>
      </c>
    </row>
    <row r="182" spans="1:11" ht="15">
      <c r="A182" s="52" t="s">
        <v>232</v>
      </c>
      <c r="D182" s="27">
        <v>19599102.39</v>
      </c>
      <c r="E182" s="27">
        <v>469789</v>
      </c>
      <c r="H182" s="316" t="s">
        <v>1590</v>
      </c>
      <c r="I182" s="28" t="s">
        <v>579</v>
      </c>
      <c r="K182" s="319">
        <f>D182/E182</f>
        <v>41.718946995353235</v>
      </c>
    </row>
    <row r="183" spans="1:11" ht="15">
      <c r="A183" s="9" t="s">
        <v>1036</v>
      </c>
      <c r="I183" s="28" t="s">
        <v>94</v>
      </c>
      <c r="K183" s="320"/>
    </row>
    <row r="184" spans="1:11" ht="15">
      <c r="A184" s="52" t="s">
        <v>1925</v>
      </c>
      <c r="D184" s="27">
        <v>4158851.45</v>
      </c>
      <c r="E184" s="27">
        <v>115547</v>
      </c>
      <c r="H184" s="316" t="s">
        <v>1590</v>
      </c>
      <c r="I184" s="28" t="s">
        <v>954</v>
      </c>
      <c r="K184" s="319">
        <f>D184/E184</f>
        <v>35.99272547102045</v>
      </c>
    </row>
    <row r="185" spans="1:11" ht="15">
      <c r="A185" s="9" t="s">
        <v>1035</v>
      </c>
      <c r="D185" s="27"/>
      <c r="E185" s="27"/>
      <c r="I185" s="28" t="s">
        <v>94</v>
      </c>
      <c r="K185" s="320"/>
    </row>
    <row r="186" spans="1:11" ht="15">
      <c r="A186" s="52" t="s">
        <v>345</v>
      </c>
      <c r="D186" s="27">
        <v>8701934.99</v>
      </c>
      <c r="E186" s="27">
        <v>226365.01</v>
      </c>
      <c r="H186" s="316" t="s">
        <v>1590</v>
      </c>
      <c r="I186" s="28" t="s">
        <v>955</v>
      </c>
      <c r="K186" s="319">
        <f>D186/E186</f>
        <v>38.44204981149693</v>
      </c>
    </row>
    <row r="187" spans="1:9" ht="15">
      <c r="A187" s="9" t="s">
        <v>1035</v>
      </c>
      <c r="D187" s="36" t="s">
        <v>373</v>
      </c>
      <c r="E187" s="30" t="s">
        <v>220</v>
      </c>
      <c r="I187" s="28" t="s">
        <v>94</v>
      </c>
    </row>
    <row r="188" spans="1:9" ht="15">
      <c r="A188" s="52" t="s">
        <v>1639</v>
      </c>
      <c r="D188" s="28">
        <f>D182+D184+D186</f>
        <v>32459888.83</v>
      </c>
      <c r="E188" s="28">
        <f>E182+E184+E186</f>
        <v>811701.01</v>
      </c>
      <c r="F188" s="65" t="s">
        <v>1707</v>
      </c>
      <c r="H188" s="316" t="s">
        <v>1590</v>
      </c>
      <c r="I188" s="28" t="s">
        <v>1708</v>
      </c>
    </row>
    <row r="190" spans="1:6" ht="15">
      <c r="A190" s="35" t="s">
        <v>1709</v>
      </c>
      <c r="D190" s="28">
        <f>ROUND((D188/E188),3)</f>
        <v>39.99</v>
      </c>
      <c r="F190" s="65" t="s">
        <v>299</v>
      </c>
    </row>
    <row r="193" spans="1:5" ht="15">
      <c r="A193" s="9" t="s">
        <v>821</v>
      </c>
      <c r="D193" s="27"/>
      <c r="E193" s="27"/>
    </row>
    <row r="194" spans="4:11" ht="15">
      <c r="D194" s="9"/>
      <c r="E194" s="28" t="s">
        <v>819</v>
      </c>
      <c r="F194" s="28" t="s">
        <v>820</v>
      </c>
      <c r="G194" s="28"/>
      <c r="H194" s="9"/>
      <c r="K194" s="28"/>
    </row>
    <row r="195" spans="1:11" ht="15">
      <c r="A195" s="9" t="s">
        <v>822</v>
      </c>
      <c r="D195" s="321">
        <v>2738424.77</v>
      </c>
      <c r="E195" s="27">
        <f>D195*0.5</f>
        <v>1369212.385</v>
      </c>
      <c r="F195" s="27">
        <f>D195*0.5</f>
        <v>1369212.385</v>
      </c>
      <c r="G195" s="28"/>
      <c r="H195" s="9"/>
      <c r="K195" s="28"/>
    </row>
    <row r="196" spans="1:11" ht="15">
      <c r="A196" s="9" t="s">
        <v>823</v>
      </c>
      <c r="D196" s="28">
        <v>4626478.25</v>
      </c>
      <c r="E196" s="27">
        <f>D196*0.5</f>
        <v>2313239.125</v>
      </c>
      <c r="F196" s="27">
        <f>D196*0.5</f>
        <v>2313239.125</v>
      </c>
      <c r="G196" s="28"/>
      <c r="H196" s="9"/>
      <c r="I196" s="28" t="s">
        <v>1557</v>
      </c>
      <c r="K196" s="28"/>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2" sqref="A1:W16384"/>
    </sheetView>
  </sheetViews>
  <sheetFormatPr defaultColWidth="9.7109375" defaultRowHeight="12.75"/>
  <cols>
    <col min="1" max="1" width="16.421875" style="9" customWidth="1"/>
    <col min="2" max="2" width="19.57421875" style="28" customWidth="1"/>
    <col min="3" max="3" width="2.7109375" style="28" customWidth="1"/>
    <col min="4" max="4" width="18.421875" style="28" customWidth="1"/>
    <col min="5" max="5" width="17.7109375" style="28" customWidth="1"/>
    <col min="6" max="6" width="16.140625" style="28" customWidth="1"/>
    <col min="7" max="7" width="5.7109375" style="28" customWidth="1"/>
    <col min="8" max="8" width="15.421875" style="28" customWidth="1"/>
    <col min="9" max="9" width="14.57421875" style="9" customWidth="1"/>
    <col min="10" max="10" width="13.7109375" style="9" customWidth="1"/>
    <col min="11" max="11" width="9.7109375" style="9" customWidth="1"/>
    <col min="12" max="12" width="15.57421875" style="9" customWidth="1"/>
    <col min="13" max="13" width="13.8515625" style="9" customWidth="1"/>
    <col min="14" max="14" width="9.7109375" style="9" customWidth="1"/>
    <col min="15" max="15" width="10.00390625" style="9" bestFit="1" customWidth="1"/>
    <col min="16" max="23" width="9.7109375" style="9" customWidth="1"/>
    <col min="24" max="16384" width="9.7109375" style="1" customWidth="1"/>
  </cols>
  <sheetData>
    <row r="1" spans="1:6" ht="15">
      <c r="A1" s="272" t="s">
        <v>309</v>
      </c>
      <c r="B1" s="272"/>
      <c r="C1" s="279"/>
      <c r="D1" s="279"/>
      <c r="E1" s="279"/>
      <c r="F1" s="279"/>
    </row>
    <row r="2" spans="2:9" ht="15" customHeight="1">
      <c r="B2" s="270" t="s">
        <v>312</v>
      </c>
      <c r="C2" s="270"/>
      <c r="D2" s="270"/>
      <c r="E2" s="270"/>
      <c r="F2" s="270"/>
      <c r="G2" s="29"/>
      <c r="H2" s="29"/>
      <c r="I2" s="9" t="s">
        <v>563</v>
      </c>
    </row>
    <row r="3" spans="2:9" ht="15">
      <c r="B3" s="270" t="s">
        <v>1068</v>
      </c>
      <c r="C3" s="270"/>
      <c r="D3" s="270"/>
      <c r="E3" s="270"/>
      <c r="F3" s="270"/>
      <c r="G3" s="29"/>
      <c r="H3" s="29"/>
      <c r="I3" s="176">
        <f ca="1">TODAY()</f>
        <v>42975</v>
      </c>
    </row>
    <row r="4" spans="1:9" ht="15">
      <c r="A4" s="269" t="str">
        <f>INSTRUCTIONS!$L$29</f>
        <v>ESTIMATE</v>
      </c>
      <c r="C4" s="29"/>
      <c r="D4" s="322" t="str">
        <f>+INSTRUCTIONS!L7</f>
        <v>May, 2015</v>
      </c>
      <c r="E4" s="29"/>
      <c r="G4" s="29"/>
      <c r="H4" s="29"/>
      <c r="I4" s="35" t="str">
        <f>INSTRUCTIONS!Q13</f>
        <v>JMJ</v>
      </c>
    </row>
    <row r="5" spans="1:8" ht="15">
      <c r="A5" s="205" t="s">
        <v>474</v>
      </c>
      <c r="C5" s="29"/>
      <c r="E5" s="29"/>
      <c r="F5" s="281"/>
      <c r="G5" s="29"/>
      <c r="H5" s="29"/>
    </row>
    <row r="6" spans="1:8" ht="15">
      <c r="A6" s="323"/>
      <c r="B6" s="29"/>
      <c r="C6" s="29"/>
      <c r="D6" s="270" t="s">
        <v>178</v>
      </c>
      <c r="E6" s="270"/>
      <c r="F6" s="270" t="s">
        <v>177</v>
      </c>
      <c r="G6" s="270"/>
      <c r="H6" s="270"/>
    </row>
    <row r="7" spans="1:11" ht="15">
      <c r="A7" s="323"/>
      <c r="B7" s="29"/>
      <c r="C7" s="29"/>
      <c r="D7" s="324" t="s">
        <v>1525</v>
      </c>
      <c r="E7" s="325" t="s">
        <v>1074</v>
      </c>
      <c r="F7" s="324" t="s">
        <v>176</v>
      </c>
      <c r="G7" s="326"/>
      <c r="H7" s="327" t="s">
        <v>1074</v>
      </c>
      <c r="I7" s="35" t="s">
        <v>1866</v>
      </c>
      <c r="K7" s="9" t="s">
        <v>1557</v>
      </c>
    </row>
    <row r="8" spans="1:9" ht="15">
      <c r="A8" s="38" t="s">
        <v>606</v>
      </c>
      <c r="B8" s="279" t="s">
        <v>1526</v>
      </c>
      <c r="C8" s="326"/>
      <c r="D8" s="281" t="s">
        <v>294</v>
      </c>
      <c r="E8" s="281" t="s">
        <v>295</v>
      </c>
      <c r="F8" s="281" t="s">
        <v>294</v>
      </c>
      <c r="G8" s="281"/>
      <c r="H8" s="281" t="s">
        <v>1788</v>
      </c>
      <c r="I8" s="35" t="s">
        <v>1072</v>
      </c>
    </row>
    <row r="9" spans="1:9" ht="15">
      <c r="A9" s="328" t="s">
        <v>1074</v>
      </c>
      <c r="B9" s="324" t="s">
        <v>1789</v>
      </c>
      <c r="C9" s="326"/>
      <c r="D9" s="324" t="s">
        <v>1789</v>
      </c>
      <c r="E9" s="324" t="s">
        <v>1789</v>
      </c>
      <c r="F9" s="324" t="s">
        <v>1789</v>
      </c>
      <c r="G9" s="281"/>
      <c r="H9" s="324" t="s">
        <v>1789</v>
      </c>
      <c r="I9" s="32" t="s">
        <v>1789</v>
      </c>
    </row>
    <row r="10" spans="1:8" ht="15">
      <c r="A10" s="21">
        <v>4081</v>
      </c>
      <c r="B10" s="28">
        <f>D10+E10+F10+H10</f>
        <v>203412.28000000003</v>
      </c>
      <c r="C10" s="29"/>
      <c r="D10" s="27">
        <v>103859.32</v>
      </c>
      <c r="E10" s="27">
        <v>99552.96</v>
      </c>
      <c r="F10" s="27">
        <v>0</v>
      </c>
      <c r="G10" s="29"/>
      <c r="H10" s="27">
        <v>0</v>
      </c>
    </row>
    <row r="11" spans="1:8" ht="15">
      <c r="A11" s="21">
        <v>4082</v>
      </c>
      <c r="B11" s="28">
        <f>D11+E11+F11+H11</f>
        <v>0</v>
      </c>
      <c r="C11" s="29"/>
      <c r="D11" s="329"/>
      <c r="E11" s="329"/>
      <c r="F11" s="27">
        <v>0</v>
      </c>
      <c r="G11" s="29"/>
      <c r="H11" s="27">
        <v>0</v>
      </c>
    </row>
    <row r="12" spans="1:8" ht="15">
      <c r="A12" s="21"/>
      <c r="B12" s="30" t="s">
        <v>1790</v>
      </c>
      <c r="C12" s="29"/>
      <c r="D12" s="30" t="s">
        <v>1789</v>
      </c>
      <c r="E12" s="30" t="s">
        <v>1789</v>
      </c>
      <c r="F12" s="30" t="s">
        <v>1789</v>
      </c>
      <c r="H12" s="30" t="s">
        <v>1789</v>
      </c>
    </row>
    <row r="13" spans="1:9" ht="15">
      <c r="A13" s="22" t="s">
        <v>1791</v>
      </c>
      <c r="B13" s="28">
        <f>D13+E13+F13+H13</f>
        <v>203412.28000000003</v>
      </c>
      <c r="C13" s="29"/>
      <c r="D13" s="28">
        <f>D10+D11</f>
        <v>103859.32</v>
      </c>
      <c r="E13" s="28">
        <f>E10+E11</f>
        <v>99552.96</v>
      </c>
      <c r="F13" s="28">
        <f>SUM(F10:F11)</f>
        <v>0</v>
      </c>
      <c r="H13" s="28">
        <f>SUM(H10:H12)</f>
        <v>0</v>
      </c>
      <c r="I13" s="35"/>
    </row>
    <row r="14" spans="1:9" ht="15">
      <c r="A14" s="323"/>
      <c r="B14" s="29"/>
      <c r="C14" s="29"/>
      <c r="D14" s="29"/>
      <c r="E14" s="29"/>
      <c r="F14" s="28">
        <f>D13+F13</f>
        <v>103859.32</v>
      </c>
      <c r="G14" s="29"/>
      <c r="H14" s="28">
        <f>E13+H13</f>
        <v>99552.96</v>
      </c>
      <c r="I14" s="35" t="s">
        <v>1792</v>
      </c>
    </row>
    <row r="15" spans="1:9" ht="15">
      <c r="A15" s="323"/>
      <c r="B15" s="29"/>
      <c r="C15" s="29"/>
      <c r="D15" s="29"/>
      <c r="E15" s="29"/>
      <c r="G15" s="29"/>
      <c r="I15" s="35"/>
    </row>
    <row r="16" spans="1:10" ht="15">
      <c r="A16" s="330">
        <v>4091002</v>
      </c>
      <c r="B16" s="28">
        <f>D16+E16</f>
        <v>-10000</v>
      </c>
      <c r="C16" s="29"/>
      <c r="D16" s="331">
        <v>-5000</v>
      </c>
      <c r="E16" s="331">
        <v>-5000</v>
      </c>
      <c r="F16" s="27">
        <v>0</v>
      </c>
      <c r="G16" s="29"/>
      <c r="H16" s="27">
        <v>0</v>
      </c>
      <c r="J16" s="9" t="s">
        <v>1216</v>
      </c>
    </row>
    <row r="17" spans="1:10" ht="15">
      <c r="A17" s="21"/>
      <c r="B17" s="30" t="s">
        <v>1790</v>
      </c>
      <c r="C17" s="29"/>
      <c r="D17" s="30" t="s">
        <v>1789</v>
      </c>
      <c r="E17" s="30" t="s">
        <v>1789</v>
      </c>
      <c r="F17" s="30" t="s">
        <v>1789</v>
      </c>
      <c r="H17" s="30" t="s">
        <v>1789</v>
      </c>
      <c r="J17" s="9" t="s">
        <v>986</v>
      </c>
    </row>
    <row r="18" spans="1:12" ht="15">
      <c r="A18" s="22" t="s">
        <v>1791</v>
      </c>
      <c r="B18" s="28">
        <f>D18+E18+F18+H18</f>
        <v>-10000</v>
      </c>
      <c r="C18" s="29"/>
      <c r="D18" s="28">
        <f>D16</f>
        <v>-5000</v>
      </c>
      <c r="E18" s="28">
        <f>E16</f>
        <v>-5000</v>
      </c>
      <c r="F18" s="28">
        <f>SUM(F16:F17)</f>
        <v>0</v>
      </c>
      <c r="H18" s="28">
        <f>SUM(H16:H17)</f>
        <v>0</v>
      </c>
      <c r="I18" s="35"/>
      <c r="J18" s="183" t="s">
        <v>248</v>
      </c>
      <c r="K18" s="183"/>
      <c r="L18" s="183"/>
    </row>
    <row r="19" spans="6:9" ht="15">
      <c r="F19" s="28">
        <f>D18+F18</f>
        <v>-5000</v>
      </c>
      <c r="H19" s="28">
        <f>E18+H18</f>
        <v>-5000</v>
      </c>
      <c r="I19" s="35" t="s">
        <v>1793</v>
      </c>
    </row>
    <row r="20" ht="15">
      <c r="A20" s="21"/>
    </row>
    <row r="21" spans="1:4" ht="15">
      <c r="A21" s="21">
        <v>41110</v>
      </c>
      <c r="C21" s="29"/>
      <c r="D21" s="301" t="s">
        <v>408</v>
      </c>
    </row>
    <row r="22" spans="1:4" ht="15">
      <c r="A22" s="21">
        <v>41150</v>
      </c>
      <c r="C22" s="29"/>
      <c r="D22" s="301" t="s">
        <v>408</v>
      </c>
    </row>
    <row r="23" spans="1:6" ht="15">
      <c r="A23" s="21"/>
      <c r="F23" s="28" t="s">
        <v>1557</v>
      </c>
    </row>
    <row r="24" spans="1:8" ht="15">
      <c r="A24" s="21"/>
      <c r="C24" s="29"/>
      <c r="D24" s="29"/>
      <c r="E24" s="29"/>
      <c r="F24" s="29"/>
      <c r="G24" s="29"/>
      <c r="H24" s="29"/>
    </row>
    <row r="25" spans="1:9" ht="15">
      <c r="A25" s="21">
        <v>45420</v>
      </c>
      <c r="B25" s="28">
        <f>D25+E25+F25+H25</f>
        <v>0</v>
      </c>
      <c r="C25" s="29"/>
      <c r="D25" s="27">
        <v>0</v>
      </c>
      <c r="E25" s="27">
        <v>0</v>
      </c>
      <c r="F25" s="27">
        <v>0</v>
      </c>
      <c r="G25" s="29"/>
      <c r="H25" s="27">
        <v>0</v>
      </c>
      <c r="I25" s="35" t="s">
        <v>578</v>
      </c>
    </row>
    <row r="26" spans="1:9" ht="15">
      <c r="A26" s="21">
        <v>4560</v>
      </c>
      <c r="B26" s="28">
        <f>D26+E26+F26+H26</f>
        <v>-17500</v>
      </c>
      <c r="D26" s="27">
        <v>-8750</v>
      </c>
      <c r="E26" s="27">
        <v>-8750</v>
      </c>
      <c r="F26" s="27">
        <v>0</v>
      </c>
      <c r="G26" s="27"/>
      <c r="H26" s="27">
        <v>0</v>
      </c>
      <c r="I26" s="35" t="s">
        <v>335</v>
      </c>
    </row>
    <row r="27" spans="1:12" ht="15">
      <c r="A27" s="21"/>
      <c r="J27" s="34" t="s">
        <v>327</v>
      </c>
      <c r="L27" s="34" t="s">
        <v>328</v>
      </c>
    </row>
    <row r="28" spans="1:12" ht="15">
      <c r="A28" s="21">
        <v>920</v>
      </c>
      <c r="B28" s="28">
        <f aca="true" t="shared" si="0" ref="B28:B38">D28+E28+F28+H28</f>
        <v>81033.18</v>
      </c>
      <c r="C28" s="29"/>
      <c r="D28" s="27">
        <f>36238.64+25.42</f>
        <v>36264.06</v>
      </c>
      <c r="E28" s="27">
        <f>44743.7+25.42</f>
        <v>44769.119999999995</v>
      </c>
      <c r="F28" s="27">
        <v>0</v>
      </c>
      <c r="G28" s="29"/>
      <c r="H28" s="27">
        <v>0</v>
      </c>
      <c r="J28" s="14">
        <f aca="true" t="shared" si="1" ref="J28:J38">SUM(D28+F28)</f>
        <v>36264.06</v>
      </c>
      <c r="K28" s="14"/>
      <c r="L28" s="14">
        <f aca="true" t="shared" si="2" ref="L28:L38">SUM(E28+H28)</f>
        <v>44769.119999999995</v>
      </c>
    </row>
    <row r="29" spans="1:12" ht="15">
      <c r="A29" s="21">
        <v>921</v>
      </c>
      <c r="B29" s="28">
        <f t="shared" si="0"/>
        <v>31992.54</v>
      </c>
      <c r="C29" s="29"/>
      <c r="D29" s="27">
        <v>15987.2</v>
      </c>
      <c r="E29" s="27">
        <v>16005.34</v>
      </c>
      <c r="F29" s="27">
        <v>0</v>
      </c>
      <c r="G29" s="29"/>
      <c r="H29" s="27">
        <v>0</v>
      </c>
      <c r="J29" s="37">
        <f t="shared" si="1"/>
        <v>15987.2</v>
      </c>
      <c r="K29" s="14"/>
      <c r="L29" s="14">
        <f t="shared" si="2"/>
        <v>16005.34</v>
      </c>
    </row>
    <row r="30" spans="1:12" ht="15">
      <c r="A30" s="21">
        <v>922</v>
      </c>
      <c r="B30" s="28">
        <f t="shared" si="0"/>
        <v>0</v>
      </c>
      <c r="C30" s="29"/>
      <c r="D30" s="27">
        <v>0</v>
      </c>
      <c r="E30" s="27">
        <v>0</v>
      </c>
      <c r="F30" s="27">
        <v>0</v>
      </c>
      <c r="G30" s="29"/>
      <c r="H30" s="27">
        <v>0</v>
      </c>
      <c r="J30" s="14">
        <f t="shared" si="1"/>
        <v>0</v>
      </c>
      <c r="K30" s="14"/>
      <c r="L30" s="14">
        <f t="shared" si="2"/>
        <v>0</v>
      </c>
    </row>
    <row r="31" spans="1:12" ht="15">
      <c r="A31" s="21">
        <v>923</v>
      </c>
      <c r="B31" s="28">
        <f t="shared" si="0"/>
        <v>210863.27</v>
      </c>
      <c r="C31" s="29"/>
      <c r="D31" s="27">
        <v>4396.49</v>
      </c>
      <c r="E31" s="27">
        <v>206466.78</v>
      </c>
      <c r="F31" s="27">
        <v>0</v>
      </c>
      <c r="G31" s="29"/>
      <c r="H31" s="27">
        <v>0</v>
      </c>
      <c r="J31" s="14">
        <f t="shared" si="1"/>
        <v>4396.49</v>
      </c>
      <c r="K31" s="14"/>
      <c r="L31" s="14">
        <f t="shared" si="2"/>
        <v>206466.78</v>
      </c>
    </row>
    <row r="32" spans="1:12" ht="15">
      <c r="A32" s="21">
        <v>924</v>
      </c>
      <c r="B32" s="28">
        <f t="shared" si="0"/>
        <v>12591.04</v>
      </c>
      <c r="C32" s="29"/>
      <c r="D32" s="27">
        <v>6295.52</v>
      </c>
      <c r="E32" s="27">
        <v>6295.52</v>
      </c>
      <c r="F32" s="27">
        <v>0</v>
      </c>
      <c r="G32" s="29"/>
      <c r="H32" s="27">
        <v>0</v>
      </c>
      <c r="J32" s="14">
        <f t="shared" si="1"/>
        <v>6295.52</v>
      </c>
      <c r="K32" s="14"/>
      <c r="L32" s="14">
        <f t="shared" si="2"/>
        <v>6295.52</v>
      </c>
    </row>
    <row r="33" spans="1:12" ht="15">
      <c r="A33" s="21">
        <v>925</v>
      </c>
      <c r="B33" s="28">
        <f t="shared" si="0"/>
        <v>39210.88</v>
      </c>
      <c r="C33" s="29"/>
      <c r="D33" s="27">
        <v>19605.44</v>
      </c>
      <c r="E33" s="27">
        <v>19605.44</v>
      </c>
      <c r="F33" s="27">
        <v>0</v>
      </c>
      <c r="G33" s="29"/>
      <c r="H33" s="27">
        <v>0</v>
      </c>
      <c r="J33" s="14">
        <f t="shared" si="1"/>
        <v>19605.44</v>
      </c>
      <c r="K33" s="14"/>
      <c r="L33" s="14">
        <f t="shared" si="2"/>
        <v>19605.44</v>
      </c>
    </row>
    <row r="34" spans="1:12" ht="15">
      <c r="A34" s="21">
        <v>926</v>
      </c>
      <c r="B34" s="28">
        <f t="shared" si="0"/>
        <v>121736.76</v>
      </c>
      <c r="C34" s="29"/>
      <c r="D34" s="27">
        <v>60868.38</v>
      </c>
      <c r="E34" s="27">
        <v>60868.38</v>
      </c>
      <c r="F34" s="27">
        <v>0</v>
      </c>
      <c r="G34" s="29"/>
      <c r="H34" s="27">
        <v>0</v>
      </c>
      <c r="J34" s="14">
        <f t="shared" si="1"/>
        <v>60868.38</v>
      </c>
      <c r="K34" s="14"/>
      <c r="L34" s="14">
        <f t="shared" si="2"/>
        <v>60868.38</v>
      </c>
    </row>
    <row r="35" spans="1:12" ht="15">
      <c r="A35" s="21">
        <v>928</v>
      </c>
      <c r="B35" s="28">
        <f t="shared" si="0"/>
        <v>0</v>
      </c>
      <c r="C35" s="29"/>
      <c r="D35" s="27">
        <v>0</v>
      </c>
      <c r="E35" s="27">
        <v>0</v>
      </c>
      <c r="F35" s="27">
        <v>0</v>
      </c>
      <c r="G35" s="29"/>
      <c r="H35" s="27">
        <v>0</v>
      </c>
      <c r="J35" s="14">
        <f t="shared" si="1"/>
        <v>0</v>
      </c>
      <c r="K35" s="14"/>
      <c r="L35" s="14">
        <f t="shared" si="2"/>
        <v>0</v>
      </c>
    </row>
    <row r="36" spans="1:12" ht="15">
      <c r="A36" s="21">
        <v>929</v>
      </c>
      <c r="B36" s="28">
        <f t="shared" si="0"/>
        <v>0</v>
      </c>
      <c r="C36" s="29"/>
      <c r="D36" s="27">
        <v>0</v>
      </c>
      <c r="E36" s="27">
        <v>0</v>
      </c>
      <c r="F36" s="27">
        <v>0</v>
      </c>
      <c r="G36" s="29"/>
      <c r="H36" s="27">
        <v>0</v>
      </c>
      <c r="J36" s="14">
        <f t="shared" si="1"/>
        <v>0</v>
      </c>
      <c r="K36" s="14"/>
      <c r="L36" s="14">
        <f t="shared" si="2"/>
        <v>0</v>
      </c>
    </row>
    <row r="37" spans="1:12" ht="15">
      <c r="A37" s="21">
        <v>930</v>
      </c>
      <c r="B37" s="28">
        <f t="shared" si="0"/>
        <v>3844.7400000000002</v>
      </c>
      <c r="C37" s="29"/>
      <c r="D37" s="27">
        <f>49.98+1872.39</f>
        <v>1922.3700000000001</v>
      </c>
      <c r="E37" s="27">
        <f>49.98+1872.39</f>
        <v>1922.3700000000001</v>
      </c>
      <c r="F37" s="27">
        <v>0</v>
      </c>
      <c r="G37" s="29"/>
      <c r="H37" s="27">
        <v>0</v>
      </c>
      <c r="J37" s="14">
        <f t="shared" si="1"/>
        <v>1922.3700000000001</v>
      </c>
      <c r="K37" s="14"/>
      <c r="L37" s="14">
        <f t="shared" si="2"/>
        <v>1922.3700000000001</v>
      </c>
    </row>
    <row r="38" spans="1:12" ht="15">
      <c r="A38" s="21">
        <v>931</v>
      </c>
      <c r="B38" s="28">
        <f t="shared" si="0"/>
        <v>1417.72</v>
      </c>
      <c r="C38" s="29"/>
      <c r="D38" s="27">
        <v>708.86</v>
      </c>
      <c r="E38" s="27">
        <v>708.86</v>
      </c>
      <c r="F38" s="27">
        <v>0</v>
      </c>
      <c r="G38" s="29"/>
      <c r="H38" s="27">
        <v>0</v>
      </c>
      <c r="J38" s="14">
        <f t="shared" si="1"/>
        <v>708.86</v>
      </c>
      <c r="K38" s="14"/>
      <c r="L38" s="14">
        <f t="shared" si="2"/>
        <v>708.86</v>
      </c>
    </row>
    <row r="39" spans="1:12" ht="15">
      <c r="A39" s="21"/>
      <c r="B39" s="30" t="s">
        <v>1790</v>
      </c>
      <c r="C39" s="29"/>
      <c r="D39" s="30" t="s">
        <v>1789</v>
      </c>
      <c r="E39" s="30" t="s">
        <v>1789</v>
      </c>
      <c r="F39" s="30" t="s">
        <v>1789</v>
      </c>
      <c r="H39" s="30" t="s">
        <v>1789</v>
      </c>
      <c r="J39" s="37" t="s">
        <v>1789</v>
      </c>
      <c r="K39" s="14"/>
      <c r="L39" s="37" t="s">
        <v>1789</v>
      </c>
    </row>
    <row r="40" spans="1:12" ht="15">
      <c r="A40" s="332" t="s">
        <v>597</v>
      </c>
      <c r="B40" s="28">
        <f>D40+E40+F40+H40</f>
        <v>502690.13</v>
      </c>
      <c r="C40" s="29"/>
      <c r="D40" s="28">
        <f>SUM(D28:D38)</f>
        <v>146048.31999999998</v>
      </c>
      <c r="E40" s="28">
        <f>SUM(E28:E38)</f>
        <v>356641.81</v>
      </c>
      <c r="F40" s="28">
        <f>SUM(F28:F39)</f>
        <v>0</v>
      </c>
      <c r="H40" s="28">
        <f>SUM(H28:H39)</f>
        <v>0</v>
      </c>
      <c r="I40" s="35" t="s">
        <v>598</v>
      </c>
      <c r="J40" s="14">
        <f>SUM(J28:J38)</f>
        <v>146048.31999999998</v>
      </c>
      <c r="K40" s="14"/>
      <c r="L40" s="14">
        <f>SUM(L28:L38)</f>
        <v>356641.81</v>
      </c>
    </row>
    <row r="41" ht="15">
      <c r="A41" s="21"/>
    </row>
    <row r="42" ht="15">
      <c r="A42" s="21"/>
    </row>
    <row r="43" spans="1:12" ht="15">
      <c r="A43" s="21">
        <v>935</v>
      </c>
      <c r="B43" s="28">
        <f>D43+E43+F43+H43</f>
        <v>20881.82</v>
      </c>
      <c r="C43" s="29"/>
      <c r="D43" s="329">
        <v>10440.91</v>
      </c>
      <c r="E43" s="329">
        <v>10440.91</v>
      </c>
      <c r="F43" s="27"/>
      <c r="G43" s="29"/>
      <c r="H43" s="27">
        <v>0</v>
      </c>
      <c r="I43" s="35" t="s">
        <v>598</v>
      </c>
      <c r="J43" s="14">
        <f>SUM(D43+F43)</f>
        <v>10440.91</v>
      </c>
      <c r="L43" s="14">
        <f>SUM(E43+H43)</f>
        <v>10440.91</v>
      </c>
    </row>
    <row r="44" ht="15">
      <c r="A44" s="21"/>
    </row>
    <row r="45" ht="15">
      <c r="A45" s="21"/>
    </row>
    <row r="46" spans="1:12" ht="15">
      <c r="A46" s="21">
        <v>500</v>
      </c>
      <c r="B46" s="28">
        <f aca="true" t="shared" si="3" ref="B46:B51">D46+E46+F46+H46</f>
        <v>267382.64</v>
      </c>
      <c r="C46" s="29"/>
      <c r="D46" s="27">
        <v>131462.79</v>
      </c>
      <c r="E46" s="27">
        <v>135919.85</v>
      </c>
      <c r="F46" s="27">
        <v>0</v>
      </c>
      <c r="G46" s="29"/>
      <c r="H46" s="27">
        <v>0</v>
      </c>
      <c r="J46" s="14">
        <f aca="true" t="shared" si="4" ref="J46:J51">SUM(D46+F46)</f>
        <v>131462.79</v>
      </c>
      <c r="L46" s="14">
        <f aca="true" t="shared" si="5" ref="L46:L51">SUM(E46+H46)</f>
        <v>135919.85</v>
      </c>
    </row>
    <row r="47" spans="1:12" ht="15">
      <c r="A47" s="21">
        <v>502</v>
      </c>
      <c r="B47" s="28">
        <f t="shared" si="3"/>
        <v>139959.06</v>
      </c>
      <c r="C47" s="29"/>
      <c r="D47" s="27">
        <v>69009.15</v>
      </c>
      <c r="E47" s="27">
        <v>70949.91</v>
      </c>
      <c r="F47" s="27">
        <v>0</v>
      </c>
      <c r="G47" s="29"/>
      <c r="H47" s="27">
        <v>0</v>
      </c>
      <c r="J47" s="14">
        <f t="shared" si="4"/>
        <v>69009.15</v>
      </c>
      <c r="L47" s="14">
        <f t="shared" si="5"/>
        <v>70949.91</v>
      </c>
    </row>
    <row r="48" spans="1:12" ht="15">
      <c r="A48" s="21">
        <v>505</v>
      </c>
      <c r="B48" s="28">
        <f t="shared" si="3"/>
        <v>135274.89</v>
      </c>
      <c r="C48" s="29"/>
      <c r="D48" s="27">
        <v>84904.1</v>
      </c>
      <c r="E48" s="27">
        <v>50370.79</v>
      </c>
      <c r="F48" s="27">
        <v>0</v>
      </c>
      <c r="G48" s="29"/>
      <c r="H48" s="27">
        <v>0</v>
      </c>
      <c r="J48" s="14">
        <f t="shared" si="4"/>
        <v>84904.1</v>
      </c>
      <c r="L48" s="14">
        <f t="shared" si="5"/>
        <v>50370.79</v>
      </c>
    </row>
    <row r="49" spans="1:12" ht="15">
      <c r="A49" s="21">
        <v>506</v>
      </c>
      <c r="B49" s="28">
        <f t="shared" si="3"/>
        <v>116135.16</v>
      </c>
      <c r="C49" s="29"/>
      <c r="D49" s="27">
        <v>42076.76</v>
      </c>
      <c r="E49" s="27">
        <v>74058.4</v>
      </c>
      <c r="F49" s="27">
        <v>0</v>
      </c>
      <c r="G49" s="29"/>
      <c r="H49" s="27">
        <v>0</v>
      </c>
      <c r="J49" s="14">
        <f t="shared" si="4"/>
        <v>42076.76</v>
      </c>
      <c r="L49" s="14">
        <f t="shared" si="5"/>
        <v>74058.4</v>
      </c>
    </row>
    <row r="50" spans="1:12" ht="15">
      <c r="A50" s="21">
        <v>507</v>
      </c>
      <c r="B50" s="28">
        <f t="shared" si="3"/>
        <v>5690253.02</v>
      </c>
      <c r="C50" s="29"/>
      <c r="D50" s="27">
        <v>0</v>
      </c>
      <c r="E50" s="27">
        <v>5690253.02</v>
      </c>
      <c r="F50" s="27">
        <v>0</v>
      </c>
      <c r="G50" s="29"/>
      <c r="H50" s="27">
        <v>0</v>
      </c>
      <c r="J50" s="14">
        <f t="shared" si="4"/>
        <v>0</v>
      </c>
      <c r="L50" s="14">
        <f t="shared" si="5"/>
        <v>5690253.02</v>
      </c>
    </row>
    <row r="51" spans="1:12" ht="15">
      <c r="A51" s="21">
        <v>509</v>
      </c>
      <c r="B51" s="28">
        <f t="shared" si="3"/>
        <v>0</v>
      </c>
      <c r="C51" s="29"/>
      <c r="D51" s="27"/>
      <c r="E51" s="27"/>
      <c r="F51" s="27">
        <v>0</v>
      </c>
      <c r="G51" s="29"/>
      <c r="H51" s="27">
        <v>0</v>
      </c>
      <c r="J51" s="14">
        <f t="shared" si="4"/>
        <v>0</v>
      </c>
      <c r="L51" s="14">
        <f t="shared" si="5"/>
        <v>0</v>
      </c>
    </row>
    <row r="52" spans="1:12" ht="15">
      <c r="A52" s="21"/>
      <c r="B52" s="30" t="s">
        <v>1790</v>
      </c>
      <c r="C52" s="29"/>
      <c r="D52" s="30" t="s">
        <v>1789</v>
      </c>
      <c r="E52" s="30" t="s">
        <v>1789</v>
      </c>
      <c r="F52" s="30" t="s">
        <v>1789</v>
      </c>
      <c r="H52" s="30" t="s">
        <v>1789</v>
      </c>
      <c r="J52" s="37" t="s">
        <v>1789</v>
      </c>
      <c r="L52" s="37" t="s">
        <v>1789</v>
      </c>
    </row>
    <row r="53" spans="1:12" ht="15">
      <c r="A53" s="332" t="s">
        <v>599</v>
      </c>
      <c r="B53" s="28">
        <f>D53+E53+F53+H53</f>
        <v>6349004.77</v>
      </c>
      <c r="C53" s="29"/>
      <c r="D53" s="28">
        <f>SUM(D46:D51)</f>
        <v>327452.80000000005</v>
      </c>
      <c r="E53" s="28">
        <f>SUM(E46:E51)</f>
        <v>6021551.97</v>
      </c>
      <c r="F53" s="28">
        <f>SUM(F46:F52)</f>
        <v>0</v>
      </c>
      <c r="H53" s="28">
        <f>SUM(H46:H52)</f>
        <v>0</v>
      </c>
      <c r="I53" s="35" t="s">
        <v>600</v>
      </c>
      <c r="J53" s="14">
        <f>SUM(J46:J51)</f>
        <v>327452.80000000005</v>
      </c>
      <c r="K53" s="14"/>
      <c r="L53" s="14">
        <f>SUM(L46:L51)</f>
        <v>6021551.97</v>
      </c>
    </row>
    <row r="54" spans="1:5" ht="15">
      <c r="A54" s="21"/>
      <c r="E54" s="27"/>
    </row>
    <row r="55" spans="1:12" ht="15">
      <c r="A55" s="9">
        <v>510</v>
      </c>
      <c r="B55" s="28">
        <f aca="true" t="shared" si="6" ref="B55:B60">D55+E55+F55+H55</f>
        <v>128526.97</v>
      </c>
      <c r="C55" s="29"/>
      <c r="D55" s="27">
        <v>64197.72</v>
      </c>
      <c r="E55" s="27">
        <v>64329.25</v>
      </c>
      <c r="F55" s="27">
        <v>0</v>
      </c>
      <c r="G55" s="29"/>
      <c r="H55" s="27">
        <v>0</v>
      </c>
      <c r="J55" s="14">
        <f aca="true" t="shared" si="7" ref="J55:J60">SUM(D55+F55)</f>
        <v>64197.72</v>
      </c>
      <c r="L55" s="14">
        <f aca="true" t="shared" si="8" ref="L55:L60">SUM(E55+H55)</f>
        <v>64329.25</v>
      </c>
    </row>
    <row r="56" spans="1:12" ht="15">
      <c r="A56" s="9">
        <v>511</v>
      </c>
      <c r="B56" s="28">
        <f t="shared" si="6"/>
        <v>52370.33</v>
      </c>
      <c r="C56" s="29"/>
      <c r="D56" s="27">
        <v>29115.13</v>
      </c>
      <c r="E56" s="27">
        <v>23255.2</v>
      </c>
      <c r="F56" s="27">
        <v>0</v>
      </c>
      <c r="G56" s="29"/>
      <c r="H56" s="27">
        <v>0</v>
      </c>
      <c r="J56" s="14">
        <f t="shared" si="7"/>
        <v>29115.13</v>
      </c>
      <c r="L56" s="14">
        <f t="shared" si="8"/>
        <v>23255.2</v>
      </c>
    </row>
    <row r="57" spans="1:12" ht="15">
      <c r="A57" s="9">
        <v>512</v>
      </c>
      <c r="B57" s="28">
        <f t="shared" si="6"/>
        <v>560527.61</v>
      </c>
      <c r="C57" s="29"/>
      <c r="D57" s="27">
        <v>255588.9</v>
      </c>
      <c r="E57" s="27">
        <v>304938.71</v>
      </c>
      <c r="F57" s="27">
        <v>0</v>
      </c>
      <c r="G57" s="29"/>
      <c r="H57" s="27">
        <v>0</v>
      </c>
      <c r="J57" s="14">
        <f t="shared" si="7"/>
        <v>255588.9</v>
      </c>
      <c r="L57" s="14">
        <f t="shared" si="8"/>
        <v>304938.71</v>
      </c>
    </row>
    <row r="58" spans="1:12" ht="15">
      <c r="A58" s="9">
        <v>513</v>
      </c>
      <c r="B58" s="28">
        <f t="shared" si="6"/>
        <v>78029.53</v>
      </c>
      <c r="C58" s="29"/>
      <c r="D58" s="27">
        <v>40012.98</v>
      </c>
      <c r="E58" s="27">
        <v>38016.55</v>
      </c>
      <c r="F58" s="27">
        <v>0</v>
      </c>
      <c r="G58" s="29"/>
      <c r="H58" s="27">
        <v>0</v>
      </c>
      <c r="J58" s="14">
        <f t="shared" si="7"/>
        <v>40012.98</v>
      </c>
      <c r="L58" s="14">
        <f t="shared" si="8"/>
        <v>38016.55</v>
      </c>
    </row>
    <row r="59" spans="1:12" ht="15">
      <c r="A59" s="9">
        <v>514</v>
      </c>
      <c r="B59" s="28">
        <f t="shared" si="6"/>
        <v>80257.68</v>
      </c>
      <c r="C59" s="29"/>
      <c r="D59" s="27">
        <v>54469.2</v>
      </c>
      <c r="E59" s="27">
        <v>25788.48</v>
      </c>
      <c r="F59" s="27">
        <v>0</v>
      </c>
      <c r="G59" s="29"/>
      <c r="H59" s="27">
        <v>0</v>
      </c>
      <c r="J59" s="14">
        <f t="shared" si="7"/>
        <v>54469.2</v>
      </c>
      <c r="L59" s="14">
        <f t="shared" si="8"/>
        <v>25788.48</v>
      </c>
    </row>
    <row r="60" spans="1:12" ht="15">
      <c r="A60" s="9">
        <v>515</v>
      </c>
      <c r="B60" s="28">
        <f t="shared" si="6"/>
        <v>0</v>
      </c>
      <c r="C60" s="29"/>
      <c r="D60" s="27">
        <v>0</v>
      </c>
      <c r="E60" s="27">
        <v>0</v>
      </c>
      <c r="F60" s="27">
        <v>0</v>
      </c>
      <c r="G60" s="29"/>
      <c r="H60" s="27">
        <v>0</v>
      </c>
      <c r="J60" s="14">
        <f t="shared" si="7"/>
        <v>0</v>
      </c>
      <c r="L60" s="14">
        <f t="shared" si="8"/>
        <v>0</v>
      </c>
    </row>
    <row r="61" spans="2:12" ht="15">
      <c r="B61" s="30" t="s">
        <v>1790</v>
      </c>
      <c r="C61" s="29"/>
      <c r="D61" s="30" t="s">
        <v>1789</v>
      </c>
      <c r="E61" s="30" t="s">
        <v>1789</v>
      </c>
      <c r="F61" s="30" t="s">
        <v>1789</v>
      </c>
      <c r="H61" s="30" t="s">
        <v>1789</v>
      </c>
      <c r="J61" s="37" t="s">
        <v>1789</v>
      </c>
      <c r="L61" s="37" t="s">
        <v>1789</v>
      </c>
    </row>
    <row r="62" spans="1:12" ht="15">
      <c r="A62" s="35" t="s">
        <v>601</v>
      </c>
      <c r="B62" s="28">
        <f>D62+E62+F62+H62</f>
        <v>899712.12</v>
      </c>
      <c r="C62" s="29"/>
      <c r="D62" s="28">
        <f>SUM(D55:D60)</f>
        <v>443383.93</v>
      </c>
      <c r="E62" s="28">
        <f>SUM(E55:E60)</f>
        <v>456328.19</v>
      </c>
      <c r="F62" s="28">
        <f>SUM(F55:F61)</f>
        <v>0</v>
      </c>
      <c r="H62" s="28">
        <f>SUM(H55:H61)</f>
        <v>0</v>
      </c>
      <c r="I62" s="35" t="s">
        <v>600</v>
      </c>
      <c r="J62" s="14">
        <f>SUM(J55:J60)</f>
        <v>443383.93</v>
      </c>
      <c r="K62" s="14"/>
      <c r="L62" s="14">
        <f>SUM(L55:L60)</f>
        <v>456328.19</v>
      </c>
    </row>
    <row r="64" spans="1:13" ht="15">
      <c r="A64" s="32">
        <v>555</v>
      </c>
      <c r="B64" s="28">
        <f>D64+E64+F64+H64</f>
        <v>0</v>
      </c>
      <c r="C64" s="29"/>
      <c r="D64" s="333">
        <v>0</v>
      </c>
      <c r="F64" s="27">
        <v>0</v>
      </c>
      <c r="G64" s="29"/>
      <c r="H64" s="28">
        <v>0</v>
      </c>
      <c r="I64" s="35" t="s">
        <v>1815</v>
      </c>
      <c r="J64" s="14">
        <f>SUM(D64+F64)</f>
        <v>0</v>
      </c>
      <c r="L64" s="14">
        <f>SUM(E64+H64)</f>
        <v>0</v>
      </c>
      <c r="M64" s="52" t="s">
        <v>546</v>
      </c>
    </row>
    <row r="65" spans="1:12" ht="15">
      <c r="A65" s="9">
        <v>556</v>
      </c>
      <c r="B65" s="28">
        <f>D65+E65+F65+H65</f>
        <v>-8978.44</v>
      </c>
      <c r="C65" s="29"/>
      <c r="D65" s="333">
        <v>-4489.22</v>
      </c>
      <c r="E65" s="27">
        <v>-4489.22</v>
      </c>
      <c r="F65" s="27">
        <v>0</v>
      </c>
      <c r="G65" s="29"/>
      <c r="H65" s="27">
        <v>0</v>
      </c>
      <c r="I65" s="35" t="s">
        <v>600</v>
      </c>
      <c r="J65" s="14">
        <f>SUM(D65+F65)</f>
        <v>-4489.22</v>
      </c>
      <c r="L65" s="14">
        <f>SUM(E65+H65)</f>
        <v>-4489.22</v>
      </c>
    </row>
    <row r="66" spans="1:12" ht="15">
      <c r="A66" s="9">
        <v>557</v>
      </c>
      <c r="B66" s="28">
        <f>D66+E66+F66+H66</f>
        <v>-25719.82</v>
      </c>
      <c r="C66" s="29"/>
      <c r="D66" s="333">
        <f>-12891.94+32.03</f>
        <v>-12859.91</v>
      </c>
      <c r="E66" s="27">
        <f>-12891.94+32.03</f>
        <v>-12859.91</v>
      </c>
      <c r="F66" s="27">
        <v>0</v>
      </c>
      <c r="G66" s="29"/>
      <c r="H66" s="27">
        <v>0</v>
      </c>
      <c r="J66" s="14">
        <f>SUM(D66+F66)</f>
        <v>-12859.91</v>
      </c>
      <c r="L66" s="14">
        <f>SUM(E66+H66)</f>
        <v>-12859.91</v>
      </c>
    </row>
    <row r="68" spans="1:10" ht="15">
      <c r="A68" s="9">
        <v>403</v>
      </c>
      <c r="B68" s="28">
        <f>D68+E68+F68+H68</f>
        <v>2095821.01</v>
      </c>
      <c r="C68" s="29"/>
      <c r="D68" s="27">
        <v>1654219.95</v>
      </c>
      <c r="E68" s="27">
        <v>441601.06</v>
      </c>
      <c r="F68" s="27">
        <v>0</v>
      </c>
      <c r="G68" s="29"/>
      <c r="H68" s="27">
        <v>0</v>
      </c>
      <c r="I68" s="52"/>
      <c r="J68" s="14"/>
    </row>
    <row r="69" spans="1:8" ht="15">
      <c r="A69" s="21"/>
      <c r="B69" s="30" t="s">
        <v>1790</v>
      </c>
      <c r="C69" s="29"/>
      <c r="D69" s="30" t="s">
        <v>1789</v>
      </c>
      <c r="E69" s="30" t="s">
        <v>1789</v>
      </c>
      <c r="F69" s="30" t="s">
        <v>1789</v>
      </c>
      <c r="H69" s="30" t="s">
        <v>1789</v>
      </c>
    </row>
    <row r="70" spans="1:10" ht="15">
      <c r="A70" s="21"/>
      <c r="B70" s="30" t="s">
        <v>1790</v>
      </c>
      <c r="C70" s="29"/>
      <c r="D70" s="30" t="s">
        <v>1789</v>
      </c>
      <c r="E70" s="30" t="s">
        <v>1789</v>
      </c>
      <c r="F70" s="30" t="s">
        <v>1789</v>
      </c>
      <c r="H70" s="30" t="s">
        <v>1789</v>
      </c>
      <c r="J70" s="13"/>
    </row>
    <row r="71" spans="1:9" ht="15">
      <c r="A71" s="22" t="s">
        <v>1778</v>
      </c>
      <c r="B71" s="28">
        <f>D71+E71+F71+H71</f>
        <v>2095821.01</v>
      </c>
      <c r="C71" s="29"/>
      <c r="D71" s="28">
        <f>D68</f>
        <v>1654219.95</v>
      </c>
      <c r="E71" s="28">
        <f>E68</f>
        <v>441601.06</v>
      </c>
      <c r="F71" s="28">
        <f>SUM(F68:F70)</f>
        <v>0</v>
      </c>
      <c r="H71" s="28">
        <f>SUM(H68:H70)</f>
        <v>0</v>
      </c>
      <c r="I71" s="35" t="s">
        <v>1779</v>
      </c>
    </row>
    <row r="72" spans="1:8" ht="15">
      <c r="A72" s="21"/>
      <c r="C72" s="29"/>
      <c r="F72" s="28">
        <f>D71+F71</f>
        <v>1654219.95</v>
      </c>
      <c r="H72" s="28">
        <f>E71+H71</f>
        <v>441601.06</v>
      </c>
    </row>
    <row r="73" spans="1:5" ht="15">
      <c r="A73" s="21"/>
      <c r="D73" s="27"/>
      <c r="E73" s="27"/>
    </row>
    <row r="74" spans="1:12" ht="15">
      <c r="A74" s="21">
        <v>404</v>
      </c>
      <c r="B74" s="28">
        <f>D74+E74+F74+H74</f>
        <v>578164.09</v>
      </c>
      <c r="C74" s="29"/>
      <c r="D74" s="27">
        <v>3655.89</v>
      </c>
      <c r="E74" s="27">
        <v>574508.2</v>
      </c>
      <c r="F74" s="28">
        <v>0</v>
      </c>
      <c r="G74" s="29"/>
      <c r="H74" s="28">
        <v>0</v>
      </c>
      <c r="I74" s="35" t="s">
        <v>1780</v>
      </c>
      <c r="J74" s="14">
        <f>SUM(D74+F74)</f>
        <v>3655.89</v>
      </c>
      <c r="L74" s="14">
        <f>SUM(E74+H74)</f>
        <v>574508.2</v>
      </c>
    </row>
    <row r="75" spans="1:8" ht="15">
      <c r="A75" s="21"/>
      <c r="C75" s="29"/>
      <c r="D75" s="29"/>
      <c r="E75" s="29"/>
      <c r="F75" s="29"/>
      <c r="G75" s="29"/>
      <c r="H75" s="29"/>
    </row>
    <row r="76" spans="1:12" ht="15">
      <c r="A76" s="330">
        <v>45400</v>
      </c>
      <c r="B76" s="28">
        <f>D76+E76+F76+H76</f>
        <v>0</v>
      </c>
      <c r="C76" s="29"/>
      <c r="D76" s="27">
        <v>0</v>
      </c>
      <c r="E76" s="27">
        <v>0</v>
      </c>
      <c r="F76" s="28">
        <v>0</v>
      </c>
      <c r="G76" s="29"/>
      <c r="H76" s="28">
        <v>0</v>
      </c>
      <c r="I76" s="35" t="s">
        <v>726</v>
      </c>
      <c r="J76" s="14">
        <f>SUM(D76+F76)</f>
        <v>0</v>
      </c>
      <c r="L76" s="14">
        <f>SUM(E76+H76)</f>
        <v>0</v>
      </c>
    </row>
    <row r="77" spans="1:9" ht="15">
      <c r="A77" s="21">
        <v>430</v>
      </c>
      <c r="B77" s="27">
        <v>28427.5</v>
      </c>
      <c r="F77" s="307">
        <f>B77</f>
        <v>28427.5</v>
      </c>
      <c r="G77" s="27"/>
      <c r="H77" s="307">
        <f>B77</f>
        <v>28427.5</v>
      </c>
      <c r="I77" s="9" t="s">
        <v>1876</v>
      </c>
    </row>
    <row r="78" spans="1:12" ht="15">
      <c r="A78" s="330" t="s">
        <v>1161</v>
      </c>
      <c r="B78" s="27">
        <v>26877</v>
      </c>
      <c r="C78" s="29"/>
      <c r="F78" s="307">
        <f>B78</f>
        <v>26877</v>
      </c>
      <c r="G78" s="29"/>
      <c r="H78" s="307">
        <f>B78</f>
        <v>26877</v>
      </c>
      <c r="I78" s="52" t="s">
        <v>1527</v>
      </c>
      <c r="L78" s="9" t="s">
        <v>1460</v>
      </c>
    </row>
    <row r="79" spans="1:9" ht="15">
      <c r="A79" s="330" t="s">
        <v>1161</v>
      </c>
      <c r="B79" s="27">
        <v>0</v>
      </c>
      <c r="C79" s="29"/>
      <c r="F79" s="307">
        <f>B79</f>
        <v>0</v>
      </c>
      <c r="G79" s="29"/>
      <c r="H79" s="307">
        <f>B79</f>
        <v>0</v>
      </c>
      <c r="I79" s="70" t="s">
        <v>863</v>
      </c>
    </row>
    <row r="80" spans="1:8" ht="15">
      <c r="A80" s="21"/>
      <c r="B80" s="28">
        <f>SUM(B78:B79)</f>
        <v>26877</v>
      </c>
      <c r="C80" s="29"/>
      <c r="D80" s="29"/>
      <c r="F80" s="30" t="s">
        <v>1789</v>
      </c>
      <c r="H80" s="30" t="s">
        <v>1789</v>
      </c>
    </row>
    <row r="81" spans="1:9" ht="15">
      <c r="A81" s="21"/>
      <c r="B81" s="301" t="s">
        <v>1733</v>
      </c>
      <c r="C81" s="29"/>
      <c r="D81" s="29"/>
      <c r="E81" s="29"/>
      <c r="F81" s="28">
        <f>+H81</f>
        <v>55304.5</v>
      </c>
      <c r="G81" s="29"/>
      <c r="H81" s="28">
        <f>+H77+H78</f>
        <v>55304.5</v>
      </c>
      <c r="I81" s="35" t="s">
        <v>1734</v>
      </c>
    </row>
    <row r="82" spans="1:10" ht="15">
      <c r="A82" s="323"/>
      <c r="B82" s="301" t="s">
        <v>1718</v>
      </c>
      <c r="C82" s="29"/>
      <c r="D82" s="29"/>
      <c r="E82" s="29"/>
      <c r="F82" s="307">
        <f>+H82</f>
        <v>0</v>
      </c>
      <c r="G82" s="29"/>
      <c r="H82" s="307">
        <f>+H79</f>
        <v>0</v>
      </c>
      <c r="I82" s="35" t="s">
        <v>124</v>
      </c>
      <c r="J82" s="52"/>
    </row>
    <row r="83" ht="15">
      <c r="A83" s="21"/>
    </row>
    <row r="84" spans="1:7" ht="15">
      <c r="A84" s="326" t="s">
        <v>816</v>
      </c>
      <c r="C84" s="29"/>
      <c r="D84" s="29"/>
      <c r="E84" s="29"/>
      <c r="F84" s="29"/>
      <c r="G84" s="29"/>
    </row>
    <row r="85" spans="1:9" ht="15">
      <c r="A85" s="326"/>
      <c r="C85" s="29"/>
      <c r="D85" s="29"/>
      <c r="E85" s="29" t="s">
        <v>819</v>
      </c>
      <c r="F85" s="29" t="s">
        <v>820</v>
      </c>
      <c r="G85" s="29"/>
      <c r="H85" s="29"/>
      <c r="I85" s="28"/>
    </row>
    <row r="86" spans="1:9" ht="15">
      <c r="A86" s="334" t="s">
        <v>817</v>
      </c>
      <c r="C86" s="29"/>
      <c r="D86" s="29">
        <v>6685.84</v>
      </c>
      <c r="E86" s="29">
        <f>D86*0.5</f>
        <v>3342.92</v>
      </c>
      <c r="F86" s="29">
        <f>D86*0.5</f>
        <v>3342.92</v>
      </c>
      <c r="G86" s="29"/>
      <c r="H86" s="29"/>
      <c r="I86" s="28"/>
    </row>
    <row r="87" spans="1:9" ht="15">
      <c r="A87" s="335" t="s">
        <v>818</v>
      </c>
      <c r="B87" s="336"/>
      <c r="D87" s="28">
        <v>35391.69</v>
      </c>
      <c r="E87" s="29">
        <f>D87*0.5</f>
        <v>17695.845</v>
      </c>
      <c r="F87" s="29">
        <f>D87*0.5</f>
        <v>17695.845</v>
      </c>
      <c r="I87" s="28"/>
    </row>
    <row r="88" spans="1:2" ht="15">
      <c r="A88" s="335"/>
      <c r="B88" s="337"/>
    </row>
    <row r="89" spans="1:2" ht="15">
      <c r="A89" s="99"/>
      <c r="B89" s="337"/>
    </row>
    <row r="90" ht="15">
      <c r="B90" s="337"/>
    </row>
    <row r="114" ht="15">
      <c r="A114" s="43"/>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9">
      <selection activeCell="L27" sqref="L27"/>
    </sheetView>
  </sheetViews>
  <sheetFormatPr defaultColWidth="9.7109375" defaultRowHeight="12.75"/>
  <cols>
    <col min="1" max="1" width="5.7109375" style="41" customWidth="1"/>
    <col min="2" max="2" width="12.8515625" style="41" customWidth="1"/>
    <col min="3" max="3" width="15.28125" style="41" customWidth="1"/>
    <col min="4" max="4" width="17.57421875" style="41" customWidth="1"/>
    <col min="5" max="5" width="15.8515625" style="41" customWidth="1"/>
    <col min="6" max="6" width="22.00390625" style="41" customWidth="1"/>
    <col min="7" max="7" width="17.421875" style="41" customWidth="1"/>
    <col min="8" max="8" width="15.421875" style="41" bestFit="1" customWidth="1"/>
    <col min="9" max="9" width="1.7109375" style="41" customWidth="1"/>
    <col min="10" max="10" width="27.57421875" style="41" bestFit="1" customWidth="1"/>
    <col min="11" max="11" width="9.7109375" style="41" customWidth="1"/>
    <col min="12" max="12" width="11.28125" style="41" customWidth="1"/>
    <col min="13" max="18" width="9.7109375" style="41" customWidth="1"/>
  </cols>
  <sheetData>
    <row r="1" spans="1:12" ht="15">
      <c r="A1" s="11"/>
      <c r="B1" s="11"/>
      <c r="C1" s="11"/>
      <c r="D1" s="11"/>
      <c r="E1" s="11"/>
      <c r="F1" s="11"/>
      <c r="G1" s="11"/>
      <c r="H1" s="11"/>
      <c r="I1" s="11"/>
      <c r="J1" s="12"/>
      <c r="K1" s="11"/>
      <c r="L1" s="11"/>
    </row>
    <row r="2" spans="1:12" ht="15">
      <c r="A2" s="9"/>
      <c r="B2" s="272" t="s">
        <v>309</v>
      </c>
      <c r="C2" s="272"/>
      <c r="D2" s="169" t="s">
        <v>312</v>
      </c>
      <c r="E2" s="169"/>
      <c r="F2" s="169"/>
      <c r="G2" s="9"/>
      <c r="H2" s="9"/>
      <c r="I2" s="9"/>
      <c r="J2" s="35" t="s">
        <v>1877</v>
      </c>
      <c r="K2" s="11"/>
      <c r="L2" s="11"/>
    </row>
    <row r="3" spans="1:12" ht="15">
      <c r="A3" s="9"/>
      <c r="B3" s="338" t="s">
        <v>1428</v>
      </c>
      <c r="C3" s="339">
        <v>12</v>
      </c>
      <c r="D3" s="169" t="s">
        <v>1878</v>
      </c>
      <c r="E3" s="169"/>
      <c r="F3" s="169"/>
      <c r="G3" s="9"/>
      <c r="H3" s="9"/>
      <c r="I3" s="9"/>
      <c r="J3" s="176">
        <f ca="1">TODAY()</f>
        <v>42975</v>
      </c>
      <c r="K3" s="11"/>
      <c r="L3" s="11"/>
    </row>
    <row r="4" spans="1:12" ht="15">
      <c r="A4" s="9"/>
      <c r="B4" s="9"/>
      <c r="C4" s="9"/>
      <c r="D4" s="340" t="str">
        <f>INSTRUCTIONS!L7</f>
        <v>May, 2015</v>
      </c>
      <c r="E4" s="340"/>
      <c r="F4" s="340"/>
      <c r="G4" s="9"/>
      <c r="H4" s="9"/>
      <c r="I4" s="9"/>
      <c r="J4" s="35" t="str">
        <f>INSTRUCTIONS!Q13</f>
        <v>JMJ</v>
      </c>
      <c r="K4" s="11"/>
      <c r="L4" s="11"/>
    </row>
    <row r="5" spans="1:12" ht="15">
      <c r="A5" s="9"/>
      <c r="B5" s="9"/>
      <c r="C5" s="9"/>
      <c r="D5" s="278" t="str">
        <f>"At Month End "&amp;INSTRUCTIONS!L5</f>
        <v>At Month End April</v>
      </c>
      <c r="E5" s="278"/>
      <c r="F5" s="278"/>
      <c r="G5" s="9"/>
      <c r="H5" s="9"/>
      <c r="I5" s="9"/>
      <c r="J5" s="9"/>
      <c r="K5" s="11"/>
      <c r="L5" s="11"/>
    </row>
    <row r="6" spans="1:12" ht="15">
      <c r="A6" s="9"/>
      <c r="B6" s="9"/>
      <c r="C6" s="9"/>
      <c r="D6" s="9"/>
      <c r="E6" s="9"/>
      <c r="F6" s="9"/>
      <c r="H6" s="9"/>
      <c r="I6" s="9"/>
      <c r="J6" s="9"/>
      <c r="K6" s="11"/>
      <c r="L6" s="11"/>
    </row>
    <row r="7" spans="1:12" ht="15">
      <c r="A7" s="9"/>
      <c r="B7" s="9"/>
      <c r="C7" s="9"/>
      <c r="D7" s="9"/>
      <c r="E7" s="341" t="s">
        <v>0</v>
      </c>
      <c r="F7" s="222"/>
      <c r="G7" s="9"/>
      <c r="H7" s="38" t="s">
        <v>1</v>
      </c>
      <c r="I7" s="103"/>
      <c r="J7" s="9"/>
      <c r="K7" s="11"/>
      <c r="L7" s="11"/>
    </row>
    <row r="8" spans="1:12" ht="15">
      <c r="A8" s="9"/>
      <c r="B8" s="174" t="s">
        <v>2</v>
      </c>
      <c r="C8" s="9"/>
      <c r="D8" s="62" t="s">
        <v>156</v>
      </c>
      <c r="E8" s="342" t="s">
        <v>3</v>
      </c>
      <c r="F8" s="222"/>
      <c r="G8" s="34" t="s">
        <v>792</v>
      </c>
      <c r="H8" s="34" t="s">
        <v>793</v>
      </c>
      <c r="I8" s="103"/>
      <c r="J8" s="9"/>
      <c r="K8" s="11"/>
      <c r="L8" s="11"/>
    </row>
    <row r="9" spans="1:12" ht="15">
      <c r="A9" s="9"/>
      <c r="B9" s="9" t="s">
        <v>1810</v>
      </c>
      <c r="C9" s="9"/>
      <c r="D9" s="9"/>
      <c r="E9" s="9"/>
      <c r="F9" s="343">
        <v>0</v>
      </c>
      <c r="G9" s="344">
        <v>0</v>
      </c>
      <c r="H9" s="59">
        <f>F9*G9</f>
        <v>0</v>
      </c>
      <c r="I9" s="9" t="s">
        <v>1557</v>
      </c>
      <c r="J9" s="27" t="s">
        <v>1456</v>
      </c>
      <c r="K9" s="11" t="s">
        <v>1042</v>
      </c>
      <c r="L9" s="345"/>
    </row>
    <row r="10" spans="1:12" ht="15">
      <c r="A10" s="9"/>
      <c r="B10" s="52" t="s">
        <v>498</v>
      </c>
      <c r="C10" s="9"/>
      <c r="D10" s="9"/>
      <c r="E10" s="9"/>
      <c r="F10" s="343">
        <v>45000000</v>
      </c>
      <c r="G10" s="346">
        <v>0.00102905</v>
      </c>
      <c r="H10" s="59">
        <f>F10*G10</f>
        <v>46307.25000000001</v>
      </c>
      <c r="I10" s="143"/>
      <c r="J10" s="27" t="s">
        <v>1023</v>
      </c>
      <c r="K10" s="345" t="s">
        <v>1041</v>
      </c>
      <c r="L10" s="345"/>
    </row>
    <row r="11" spans="1:12" ht="15">
      <c r="A11" s="9"/>
      <c r="B11" s="52" t="s">
        <v>694</v>
      </c>
      <c r="C11" s="9"/>
      <c r="D11" s="9"/>
      <c r="E11" s="9"/>
      <c r="F11" s="343">
        <f>17768601.9+826446.6</f>
        <v>18595048.5</v>
      </c>
      <c r="G11" s="346">
        <v>0.0633</v>
      </c>
      <c r="H11" s="59">
        <f>F11*G11</f>
        <v>1177066.57005</v>
      </c>
      <c r="I11" s="143"/>
      <c r="J11" s="27" t="s">
        <v>1279</v>
      </c>
      <c r="K11" s="345" t="s">
        <v>1040</v>
      </c>
      <c r="L11" s="345"/>
    </row>
    <row r="12" spans="1:12" ht="15">
      <c r="A12" s="9"/>
      <c r="B12" s="70" t="s">
        <v>1825</v>
      </c>
      <c r="C12" s="11"/>
      <c r="D12" s="11"/>
      <c r="E12" s="11"/>
      <c r="F12" s="11"/>
      <c r="G12" s="11"/>
      <c r="H12" s="11"/>
      <c r="I12" s="11"/>
      <c r="J12" s="11"/>
      <c r="K12" s="11"/>
      <c r="L12" s="11"/>
    </row>
    <row r="13" spans="1:12" ht="15">
      <c r="A13" s="9"/>
      <c r="B13" s="52" t="s">
        <v>824</v>
      </c>
      <c r="C13" s="9"/>
      <c r="D13" s="9"/>
      <c r="E13" s="9"/>
      <c r="F13" s="9" t="s">
        <v>1557</v>
      </c>
      <c r="G13" s="9"/>
      <c r="H13" s="9"/>
      <c r="I13" s="9"/>
      <c r="J13" s="9"/>
      <c r="K13" s="11"/>
      <c r="L13" s="11"/>
    </row>
    <row r="14" spans="1:12" ht="15">
      <c r="A14" s="9"/>
      <c r="B14" s="52" t="s">
        <v>26</v>
      </c>
      <c r="C14" s="9"/>
      <c r="D14" s="9"/>
      <c r="E14" s="9"/>
      <c r="F14" s="14">
        <f>AEGBS!D162</f>
        <v>0</v>
      </c>
      <c r="G14" s="9"/>
      <c r="H14" s="14">
        <f>+F43</f>
        <v>0</v>
      </c>
      <c r="I14" s="14"/>
      <c r="J14" s="9" t="s">
        <v>189</v>
      </c>
      <c r="K14" s="11"/>
      <c r="L14" s="11"/>
    </row>
    <row r="15" spans="1:12" ht="15">
      <c r="A15" s="9"/>
      <c r="B15" s="52"/>
      <c r="C15" s="9"/>
      <c r="D15" s="9"/>
      <c r="E15" s="9"/>
      <c r="F15" s="33" t="s">
        <v>1074</v>
      </c>
      <c r="G15" s="9"/>
      <c r="H15" s="9"/>
      <c r="I15" s="9"/>
      <c r="J15" s="9"/>
      <c r="K15" s="11"/>
      <c r="L15" s="11"/>
    </row>
    <row r="16" spans="1:12" ht="15">
      <c r="A16" s="9"/>
      <c r="B16" s="98" t="s">
        <v>840</v>
      </c>
      <c r="C16" s="9"/>
      <c r="D16" s="9"/>
      <c r="E16" s="9"/>
      <c r="F16" s="14">
        <f>F9+F10+F11+F14</f>
        <v>63595048.5</v>
      </c>
      <c r="G16" s="9"/>
      <c r="H16" s="9"/>
      <c r="I16" s="9"/>
      <c r="J16" s="9"/>
      <c r="K16" s="11"/>
      <c r="L16" s="11"/>
    </row>
    <row r="17" spans="1:12" ht="15">
      <c r="A17" s="9"/>
      <c r="B17" s="52"/>
      <c r="C17" s="9"/>
      <c r="D17" s="9"/>
      <c r="E17" s="9"/>
      <c r="F17" s="79" t="s">
        <v>1572</v>
      </c>
      <c r="G17" s="9"/>
      <c r="H17" s="9"/>
      <c r="I17" s="9"/>
      <c r="J17" s="9"/>
      <c r="K17" s="11"/>
      <c r="L17" s="11"/>
    </row>
    <row r="18" spans="1:12" ht="15">
      <c r="A18" s="9"/>
      <c r="B18" s="52"/>
      <c r="C18" s="9"/>
      <c r="D18" s="9"/>
      <c r="E18" s="9"/>
      <c r="F18" s="9"/>
      <c r="G18" s="9"/>
      <c r="H18" s="9"/>
      <c r="I18" s="9"/>
      <c r="J18" s="9"/>
      <c r="K18" s="11"/>
      <c r="L18" s="11"/>
    </row>
    <row r="19" spans="1:12" ht="15">
      <c r="A19" s="9"/>
      <c r="B19" s="52" t="s">
        <v>1528</v>
      </c>
      <c r="C19" s="9"/>
      <c r="D19" s="9"/>
      <c r="E19" s="9"/>
      <c r="F19" s="9"/>
      <c r="G19" s="9"/>
      <c r="H19" s="14">
        <f>+F53</f>
        <v>210201.36</v>
      </c>
      <c r="I19" s="14"/>
      <c r="J19" s="9" t="s">
        <v>632</v>
      </c>
      <c r="K19" s="11"/>
      <c r="L19" s="11"/>
    </row>
    <row r="20" spans="1:12" ht="15">
      <c r="A20" s="9"/>
      <c r="B20" s="52"/>
      <c r="C20" s="9"/>
      <c r="D20" s="9"/>
      <c r="E20" s="9"/>
      <c r="F20" s="9"/>
      <c r="G20" s="9"/>
      <c r="H20" s="9"/>
      <c r="I20" s="9"/>
      <c r="J20" s="9"/>
      <c r="K20" s="11"/>
      <c r="L20" s="11"/>
    </row>
    <row r="21" spans="1:12" ht="15">
      <c r="A21" s="9"/>
      <c r="B21" s="52"/>
      <c r="C21" s="9"/>
      <c r="D21" s="9"/>
      <c r="E21" s="9"/>
      <c r="F21" s="9"/>
      <c r="G21" s="9"/>
      <c r="H21" s="9"/>
      <c r="I21" s="9"/>
      <c r="J21" s="9"/>
      <c r="K21" s="11"/>
      <c r="L21" s="11"/>
    </row>
    <row r="22" spans="1:12" ht="15">
      <c r="A22" s="9"/>
      <c r="B22" s="52" t="s">
        <v>507</v>
      </c>
      <c r="C22" s="9"/>
      <c r="D22" s="9"/>
      <c r="E22" s="9"/>
      <c r="F22" s="9"/>
      <c r="G22" s="9"/>
      <c r="H22" s="14">
        <f>+F48</f>
        <v>3631.32</v>
      </c>
      <c r="I22" s="14"/>
      <c r="J22" s="9" t="s">
        <v>1625</v>
      </c>
      <c r="K22" s="11"/>
      <c r="L22" s="11"/>
    </row>
    <row r="23" spans="1:12" ht="15">
      <c r="A23" s="9"/>
      <c r="B23" s="52"/>
      <c r="C23" s="9"/>
      <c r="D23" s="9"/>
      <c r="E23" s="9"/>
      <c r="F23" s="9"/>
      <c r="G23" s="9"/>
      <c r="H23" s="9"/>
      <c r="I23" s="9"/>
      <c r="J23" s="9"/>
      <c r="K23" s="11"/>
      <c r="L23" s="11"/>
    </row>
    <row r="24" spans="1:12" ht="15">
      <c r="A24" s="9"/>
      <c r="B24" s="52"/>
      <c r="C24" s="9"/>
      <c r="D24" s="9"/>
      <c r="E24" s="9"/>
      <c r="F24" s="9"/>
      <c r="G24" s="9"/>
      <c r="H24" s="33" t="s">
        <v>1074</v>
      </c>
      <c r="I24" s="14"/>
      <c r="J24" s="9"/>
      <c r="K24" s="11"/>
      <c r="L24" s="11"/>
    </row>
    <row r="25" spans="1:12" ht="15">
      <c r="A25" s="9"/>
      <c r="B25" s="52" t="s">
        <v>1626</v>
      </c>
      <c r="C25" s="9"/>
      <c r="D25" s="9"/>
      <c r="E25" s="9"/>
      <c r="F25" s="9"/>
      <c r="G25" s="9"/>
      <c r="H25" s="14">
        <f>H9+H10+H11+H14+H19+H22</f>
        <v>1437206.5000500001</v>
      </c>
      <c r="I25" s="14"/>
      <c r="J25" s="9"/>
      <c r="K25" s="11"/>
      <c r="L25" s="11"/>
    </row>
    <row r="26" spans="1:12" ht="15">
      <c r="A26" s="9"/>
      <c r="B26" s="52"/>
      <c r="C26" s="9"/>
      <c r="D26" s="9"/>
      <c r="E26" s="9"/>
      <c r="F26" s="9"/>
      <c r="G26" s="9"/>
      <c r="H26" s="33" t="s">
        <v>1572</v>
      </c>
      <c r="I26" s="14"/>
      <c r="J26" s="9"/>
      <c r="K26" s="11"/>
      <c r="L26" s="11"/>
    </row>
    <row r="27" spans="1:12" ht="15">
      <c r="A27" s="9"/>
      <c r="B27" s="52"/>
      <c r="C27" s="9"/>
      <c r="D27" s="9"/>
      <c r="E27" s="9"/>
      <c r="F27" s="9"/>
      <c r="G27" s="9"/>
      <c r="H27" s="9"/>
      <c r="I27" s="9"/>
      <c r="J27" s="9"/>
      <c r="K27" s="11"/>
      <c r="L27" s="11"/>
    </row>
    <row r="28" spans="1:12" ht="15">
      <c r="A28" s="9"/>
      <c r="B28" s="52" t="s">
        <v>1627</v>
      </c>
      <c r="C28" s="9"/>
      <c r="D28" s="9"/>
      <c r="E28" s="9"/>
      <c r="F28" s="9"/>
      <c r="G28" s="9"/>
      <c r="H28" s="14">
        <f>+F16</f>
        <v>63595048.5</v>
      </c>
      <c r="I28" s="14"/>
      <c r="J28" s="9"/>
      <c r="K28" s="11"/>
      <c r="L28" s="11"/>
    </row>
    <row r="29" spans="1:12" ht="15">
      <c r="A29" s="9"/>
      <c r="B29" s="52"/>
      <c r="C29" s="9"/>
      <c r="D29" s="9"/>
      <c r="E29" s="9"/>
      <c r="F29" s="9"/>
      <c r="G29" s="9"/>
      <c r="H29" s="9"/>
      <c r="I29" s="9"/>
      <c r="J29" s="9"/>
      <c r="K29" s="11"/>
      <c r="L29" s="11"/>
    </row>
    <row r="30" spans="1:12" ht="15">
      <c r="A30" s="9"/>
      <c r="B30" s="52"/>
      <c r="C30" s="9"/>
      <c r="D30" s="9"/>
      <c r="E30" s="9"/>
      <c r="F30" s="9"/>
      <c r="G30" s="9"/>
      <c r="H30" s="198"/>
      <c r="I30" s="9"/>
      <c r="J30" s="9"/>
      <c r="K30" s="11"/>
      <c r="L30" s="11"/>
    </row>
    <row r="31" spans="1:12" ht="15">
      <c r="A31" s="9"/>
      <c r="B31" s="98" t="s">
        <v>867</v>
      </c>
      <c r="C31" s="9"/>
      <c r="D31" s="9"/>
      <c r="E31" s="9"/>
      <c r="F31" s="9"/>
      <c r="H31" s="190">
        <f>(H25/H28)*100</f>
        <v>2.2599345923134253</v>
      </c>
      <c r="I31" s="190"/>
      <c r="J31" s="9" t="s">
        <v>868</v>
      </c>
      <c r="K31" s="11"/>
      <c r="L31" s="11"/>
    </row>
    <row r="32" spans="1:12" ht="15">
      <c r="A32" s="9"/>
      <c r="B32" s="52"/>
      <c r="C32" s="9"/>
      <c r="D32" s="9"/>
      <c r="E32" s="9"/>
      <c r="F32" s="9"/>
      <c r="G32" s="9"/>
      <c r="H32" s="79" t="s">
        <v>1572</v>
      </c>
      <c r="I32" s="9"/>
      <c r="J32" s="9"/>
      <c r="K32" s="11"/>
      <c r="L32" s="11"/>
    </row>
    <row r="33" spans="1:12" ht="15">
      <c r="A33" s="9"/>
      <c r="B33" s="52"/>
      <c r="C33" s="43"/>
      <c r="D33" s="43"/>
      <c r="E33" s="43"/>
      <c r="F33" s="43"/>
      <c r="G33" s="9"/>
      <c r="H33" s="9"/>
      <c r="I33" s="9"/>
      <c r="J33" s="9"/>
      <c r="K33" s="11"/>
      <c r="L33" s="11"/>
    </row>
    <row r="34" spans="1:12" ht="15">
      <c r="A34" s="9"/>
      <c r="B34" s="52"/>
      <c r="C34" s="43"/>
      <c r="D34" s="43"/>
      <c r="E34" s="43"/>
      <c r="F34" s="43"/>
      <c r="G34" s="9"/>
      <c r="H34" s="198"/>
      <c r="I34" s="9"/>
      <c r="J34" s="9"/>
      <c r="K34" s="11"/>
      <c r="L34" s="11"/>
    </row>
    <row r="35" spans="1:12" ht="15">
      <c r="A35" s="9"/>
      <c r="B35" s="52"/>
      <c r="C35" s="9"/>
      <c r="D35" s="9"/>
      <c r="E35" s="9"/>
      <c r="F35" s="9"/>
      <c r="G35" s="9"/>
      <c r="H35" s="347"/>
      <c r="I35" s="9"/>
      <c r="J35" s="9"/>
      <c r="K35" s="11"/>
      <c r="L35" s="11"/>
    </row>
    <row r="36" spans="1:12" ht="15">
      <c r="A36" s="9"/>
      <c r="B36" s="52"/>
      <c r="C36" s="9"/>
      <c r="D36" s="9"/>
      <c r="E36" s="9"/>
      <c r="F36" s="9"/>
      <c r="G36" s="9"/>
      <c r="H36" s="9"/>
      <c r="I36" s="9"/>
      <c r="J36" s="9"/>
      <c r="K36" s="11"/>
      <c r="L36" s="11"/>
    </row>
    <row r="37" spans="1:12" ht="15">
      <c r="A37" s="9"/>
      <c r="B37" s="52"/>
      <c r="C37" s="9"/>
      <c r="D37" s="9"/>
      <c r="E37" s="9"/>
      <c r="F37" s="9"/>
      <c r="G37" s="9"/>
      <c r="H37" s="9"/>
      <c r="I37" s="9"/>
      <c r="J37" s="9"/>
      <c r="K37" s="11"/>
      <c r="L37" s="11"/>
    </row>
    <row r="38" spans="1:12" ht="13.5">
      <c r="A38" s="11"/>
      <c r="C38" s="11"/>
      <c r="D38" s="11"/>
      <c r="E38" s="66"/>
      <c r="F38" s="67"/>
      <c r="G38" s="11"/>
      <c r="H38" s="11"/>
      <c r="I38" s="11"/>
      <c r="J38" s="11"/>
      <c r="K38" s="11"/>
      <c r="L38" s="11"/>
    </row>
    <row r="39" spans="1:12" ht="12.75">
      <c r="A39" s="11"/>
      <c r="B39" s="70"/>
      <c r="C39" s="11"/>
      <c r="D39" s="11"/>
      <c r="E39" s="11"/>
      <c r="F39" s="11"/>
      <c r="G39" s="11"/>
      <c r="H39" s="11"/>
      <c r="I39" s="11"/>
      <c r="J39" s="11"/>
      <c r="K39" s="11"/>
      <c r="L39" s="11"/>
    </row>
    <row r="40" spans="1:12" ht="15">
      <c r="A40" s="11"/>
      <c r="B40" s="52" t="s">
        <v>869</v>
      </c>
      <c r="C40" s="11"/>
      <c r="D40" s="11"/>
      <c r="E40" s="62" t="s">
        <v>156</v>
      </c>
      <c r="F40" s="11"/>
      <c r="G40" s="11"/>
      <c r="H40" s="11"/>
      <c r="I40" s="11"/>
      <c r="J40" s="11"/>
      <c r="K40" s="11"/>
      <c r="L40" s="11"/>
    </row>
    <row r="41" spans="1:12" ht="12.75">
      <c r="A41" s="11"/>
      <c r="B41" s="70" t="s">
        <v>1223</v>
      </c>
      <c r="C41" s="11"/>
      <c r="D41" s="11"/>
      <c r="E41" s="11"/>
      <c r="F41" s="11"/>
      <c r="G41" s="11"/>
      <c r="H41" s="11"/>
      <c r="I41" s="11"/>
      <c r="J41" s="11"/>
      <c r="K41" s="11"/>
      <c r="L41" s="11"/>
    </row>
    <row r="42" spans="1:12" ht="12.75">
      <c r="A42" s="11"/>
      <c r="B42" s="70" t="s">
        <v>1612</v>
      </c>
      <c r="C42" s="11"/>
      <c r="D42" s="11"/>
      <c r="E42" s="11"/>
      <c r="F42" s="11"/>
      <c r="G42" s="11"/>
      <c r="H42" s="11"/>
      <c r="I42" s="11"/>
      <c r="J42" s="11"/>
      <c r="K42" s="11"/>
      <c r="L42" s="11"/>
    </row>
    <row r="43" spans="1:12" ht="15">
      <c r="A43" s="11"/>
      <c r="B43" s="282"/>
      <c r="C43" s="60"/>
      <c r="D43" s="61"/>
      <c r="E43" s="11"/>
      <c r="F43" s="13">
        <f>B43*C3</f>
        <v>0</v>
      </c>
      <c r="G43" s="11"/>
      <c r="H43" s="11"/>
      <c r="I43" s="11"/>
      <c r="J43" s="11"/>
      <c r="K43" s="11"/>
      <c r="L43" s="11"/>
    </row>
    <row r="44" spans="1:12" ht="15">
      <c r="A44" s="11"/>
      <c r="B44" s="70"/>
      <c r="C44" s="11"/>
      <c r="D44" s="11"/>
      <c r="E44" s="11"/>
      <c r="F44" s="32" t="s">
        <v>119</v>
      </c>
      <c r="G44" s="11"/>
      <c r="H44" s="11"/>
      <c r="I44" s="11"/>
      <c r="J44" s="11"/>
      <c r="K44" s="11"/>
      <c r="L44" s="11"/>
    </row>
    <row r="45" spans="1:12" ht="15">
      <c r="A45" s="11"/>
      <c r="B45" s="70"/>
      <c r="C45" s="11"/>
      <c r="D45" s="11"/>
      <c r="E45" s="11"/>
      <c r="F45" s="32"/>
      <c r="G45" s="11"/>
      <c r="H45" s="11"/>
      <c r="I45" s="11"/>
      <c r="J45" s="11"/>
      <c r="K45" s="11"/>
      <c r="L45" s="11"/>
    </row>
    <row r="46" spans="1:12" ht="15">
      <c r="A46" s="11"/>
      <c r="B46" s="70" t="s">
        <v>1258</v>
      </c>
      <c r="C46" s="11"/>
      <c r="D46" s="11"/>
      <c r="E46" s="11"/>
      <c r="F46" s="32"/>
      <c r="G46" s="11"/>
      <c r="H46" s="11"/>
      <c r="I46" s="11"/>
      <c r="J46" s="11"/>
      <c r="K46" s="11"/>
      <c r="L46" s="11"/>
    </row>
    <row r="47" spans="1:12" ht="15">
      <c r="A47" s="11"/>
      <c r="B47" s="52" t="s">
        <v>1043</v>
      </c>
      <c r="C47" s="11"/>
      <c r="D47" s="11"/>
      <c r="E47" s="11"/>
      <c r="F47" s="32"/>
      <c r="G47" s="11"/>
      <c r="H47" s="11"/>
      <c r="I47" s="11"/>
      <c r="J47" s="11"/>
      <c r="K47" s="11"/>
      <c r="L47" s="11"/>
    </row>
    <row r="48" spans="1:12" ht="15">
      <c r="A48" s="11"/>
      <c r="B48" s="282"/>
      <c r="C48" s="282">
        <v>302.61</v>
      </c>
      <c r="D48" s="282"/>
      <c r="E48" s="282">
        <v>0</v>
      </c>
      <c r="F48" s="64">
        <f>(B48+C48+D48+E48)*C3</f>
        <v>3631.32</v>
      </c>
      <c r="G48" s="11"/>
      <c r="H48" s="11" t="s">
        <v>1039</v>
      </c>
      <c r="I48" s="11"/>
      <c r="J48" s="11"/>
      <c r="K48" s="11"/>
      <c r="L48" s="11"/>
    </row>
    <row r="49" spans="1:12" ht="15">
      <c r="A49" s="11"/>
      <c r="B49" s="60"/>
      <c r="C49" s="11"/>
      <c r="D49" s="11"/>
      <c r="E49" s="11"/>
      <c r="F49" s="32" t="s">
        <v>119</v>
      </c>
      <c r="G49" s="11"/>
      <c r="H49" s="11"/>
      <c r="I49" s="11"/>
      <c r="J49" s="11"/>
      <c r="K49" s="11"/>
      <c r="L49" s="11"/>
    </row>
    <row r="50" spans="1:12" ht="15">
      <c r="A50" s="11"/>
      <c r="B50" s="70"/>
      <c r="C50" s="11"/>
      <c r="D50" s="11"/>
      <c r="E50" s="11"/>
      <c r="F50" s="32"/>
      <c r="G50" s="11"/>
      <c r="H50" s="11"/>
      <c r="I50" s="11"/>
      <c r="J50" s="11"/>
      <c r="K50" s="11"/>
      <c r="L50" s="11"/>
    </row>
    <row r="51" spans="1:12" ht="15">
      <c r="A51" s="11"/>
      <c r="B51" s="70" t="s">
        <v>1132</v>
      </c>
      <c r="C51" s="11"/>
      <c r="D51" s="11"/>
      <c r="E51" s="11"/>
      <c r="F51" s="32"/>
      <c r="G51" s="11"/>
      <c r="H51" s="11"/>
      <c r="I51" s="11"/>
      <c r="J51" s="11"/>
      <c r="K51" s="11"/>
      <c r="L51" s="11"/>
    </row>
    <row r="52" spans="1:12" ht="15">
      <c r="A52" s="11"/>
      <c r="B52" s="52" t="s">
        <v>115</v>
      </c>
      <c r="C52" s="11"/>
      <c r="D52" s="11"/>
      <c r="E52" s="11"/>
      <c r="F52" s="32"/>
      <c r="G52" s="11"/>
      <c r="H52" s="11"/>
      <c r="I52" s="11"/>
      <c r="J52" s="11"/>
      <c r="K52" s="11"/>
      <c r="L52" s="11"/>
    </row>
    <row r="53" spans="1:12" ht="15">
      <c r="A53" s="11"/>
      <c r="B53" s="282">
        <v>2945</v>
      </c>
      <c r="C53" s="282">
        <v>14571.78</v>
      </c>
      <c r="D53" s="60"/>
      <c r="E53" s="60"/>
      <c r="F53" s="46">
        <f>(B53+C53)*C3</f>
        <v>210201.36</v>
      </c>
      <c r="G53" s="11"/>
      <c r="H53" s="11" t="s">
        <v>1038</v>
      </c>
      <c r="I53" s="11"/>
      <c r="J53" s="11"/>
      <c r="K53" s="11"/>
      <c r="L53" s="11"/>
    </row>
    <row r="54" spans="1:12" ht="15">
      <c r="A54" s="11"/>
      <c r="B54" s="70"/>
      <c r="C54" s="61"/>
      <c r="D54" s="11"/>
      <c r="E54" s="11"/>
      <c r="F54" s="32" t="s">
        <v>1623</v>
      </c>
      <c r="G54" s="11"/>
      <c r="H54" s="11"/>
      <c r="I54" s="11"/>
      <c r="J54" s="11"/>
      <c r="K54" s="11"/>
      <c r="L54" s="11"/>
    </row>
    <row r="55" spans="1:12" ht="12.75">
      <c r="A55" s="11"/>
      <c r="B55" s="11"/>
      <c r="C55" s="11"/>
      <c r="D55" s="11"/>
      <c r="E55" s="11"/>
      <c r="F55" s="11"/>
      <c r="G55" s="11"/>
      <c r="H55" s="11"/>
      <c r="I55" s="11"/>
      <c r="J55" s="11"/>
      <c r="K55" s="11"/>
      <c r="L55" s="11"/>
    </row>
    <row r="56" spans="1:12" ht="12.75">
      <c r="A56" s="11"/>
      <c r="B56" s="63" t="s">
        <v>1711</v>
      </c>
      <c r="C56" s="11"/>
      <c r="D56" s="11"/>
      <c r="E56" s="11"/>
      <c r="F56" s="11"/>
      <c r="G56" s="11"/>
      <c r="H56" s="11"/>
      <c r="I56" s="11"/>
      <c r="J56" s="11"/>
      <c r="K56" s="11"/>
      <c r="L56" s="11"/>
    </row>
    <row r="57" spans="1:12" ht="12.75">
      <c r="A57" s="11"/>
      <c r="B57" s="63" t="s">
        <v>155</v>
      </c>
      <c r="C57" s="11"/>
      <c r="D57" s="11"/>
      <c r="E57" s="11"/>
      <c r="F57" s="11"/>
      <c r="G57" s="11"/>
      <c r="H57" s="11"/>
      <c r="I57" s="11"/>
      <c r="J57" s="11"/>
      <c r="K57" s="11"/>
      <c r="L57" s="11"/>
    </row>
    <row r="58" spans="1:12" ht="12.75">
      <c r="A58" s="11"/>
      <c r="B58" s="11"/>
      <c r="C58" s="11"/>
      <c r="D58" s="11"/>
      <c r="E58" s="11"/>
      <c r="F58" s="11"/>
      <c r="G58" s="11"/>
      <c r="H58" s="11"/>
      <c r="I58" s="11"/>
      <c r="J58" s="11"/>
      <c r="K58" s="11"/>
      <c r="L58" s="11"/>
    </row>
    <row r="59" spans="1:12" ht="15">
      <c r="A59" s="11"/>
      <c r="B59" s="52"/>
      <c r="C59" s="11"/>
      <c r="D59" s="11"/>
      <c r="E59" s="11"/>
      <c r="F59" s="11"/>
      <c r="G59" s="11"/>
      <c r="H59" s="11"/>
      <c r="I59" s="11"/>
      <c r="J59" s="11"/>
      <c r="K59" s="11"/>
      <c r="L59" s="11"/>
    </row>
    <row r="60" spans="1:12" ht="12.75">
      <c r="A60" s="11"/>
      <c r="B60" s="11"/>
      <c r="C60" s="11"/>
      <c r="D60" s="11"/>
      <c r="E60" s="11"/>
      <c r="F60" s="11"/>
      <c r="G60" s="11"/>
      <c r="H60" s="11"/>
      <c r="I60" s="11"/>
      <c r="J60" s="11"/>
      <c r="K60" s="11"/>
      <c r="L60" s="11"/>
    </row>
    <row r="61" spans="11:12" ht="12.75">
      <c r="K61" s="11"/>
      <c r="L61" s="11"/>
    </row>
    <row r="62" spans="11:12" ht="12.75">
      <c r="K62" s="11"/>
      <c r="L62" s="11"/>
    </row>
    <row r="63" spans="11:12" ht="12.75">
      <c r="K63" s="11"/>
      <c r="L63" s="11"/>
    </row>
    <row r="64" spans="11:12" ht="12.75">
      <c r="K64" s="11"/>
      <c r="L64" s="11"/>
    </row>
    <row r="65" spans="11:12" ht="12.75">
      <c r="K65" s="11"/>
      <c r="L65" s="11"/>
    </row>
    <row r="66" spans="11:12" ht="12.75">
      <c r="K66" s="11"/>
      <c r="L66" s="11"/>
    </row>
    <row r="67" spans="1:12" ht="12.75">
      <c r="A67" s="11"/>
      <c r="B67" s="11"/>
      <c r="C67" s="11"/>
      <c r="D67" s="11"/>
      <c r="E67" s="11"/>
      <c r="F67" s="11"/>
      <c r="G67" s="11"/>
      <c r="H67" s="11"/>
      <c r="I67" s="11"/>
      <c r="J67" s="11"/>
      <c r="K67" s="11"/>
      <c r="L67" s="11"/>
    </row>
    <row r="68" spans="1:12" ht="12.75">
      <c r="A68" s="11"/>
      <c r="B68" s="11"/>
      <c r="C68" s="11"/>
      <c r="D68" s="11"/>
      <c r="E68" s="11"/>
      <c r="F68" s="11"/>
      <c r="G68" s="11"/>
      <c r="H68" s="11"/>
      <c r="I68" s="11"/>
      <c r="J68" s="11"/>
      <c r="K68" s="11"/>
      <c r="L68" s="11"/>
    </row>
    <row r="69" spans="1:12" ht="12.75">
      <c r="A69" s="11"/>
      <c r="B69" s="11"/>
      <c r="C69" s="11"/>
      <c r="D69" s="11"/>
      <c r="E69" s="11"/>
      <c r="F69" s="11"/>
      <c r="G69" s="11"/>
      <c r="H69" s="11"/>
      <c r="I69" s="11"/>
      <c r="J69" s="11"/>
      <c r="K69" s="11"/>
      <c r="L69" s="11"/>
    </row>
    <row r="70" spans="1:12" ht="15">
      <c r="A70" s="43"/>
      <c r="B70" s="11"/>
      <c r="C70" s="11"/>
      <c r="D70" s="11"/>
      <c r="E70" s="11"/>
      <c r="F70" s="11"/>
      <c r="G70" s="11"/>
      <c r="H70" s="11"/>
      <c r="I70" s="11"/>
      <c r="J70" s="11"/>
      <c r="K70" s="11"/>
      <c r="L70" s="11"/>
    </row>
    <row r="71" spans="1:12" ht="12.75">
      <c r="A71" s="11"/>
      <c r="B71" s="11"/>
      <c r="C71" s="11"/>
      <c r="D71" s="11"/>
      <c r="E71" s="11"/>
      <c r="F71" s="11"/>
      <c r="G71" s="11"/>
      <c r="H71" s="11"/>
      <c r="I71" s="11"/>
      <c r="J71" s="11"/>
      <c r="K71" s="11"/>
      <c r="L71" s="11"/>
    </row>
    <row r="72" spans="1:12" ht="12.75">
      <c r="A72" s="11"/>
      <c r="B72" s="11"/>
      <c r="C72" s="11"/>
      <c r="D72" s="11"/>
      <c r="E72" s="11"/>
      <c r="F72" s="11"/>
      <c r="G72" s="11"/>
      <c r="H72" s="11"/>
      <c r="I72" s="11"/>
      <c r="J72" s="11"/>
      <c r="K72" s="11"/>
      <c r="L72" s="11"/>
    </row>
    <row r="73" spans="1:12" ht="12.75">
      <c r="A73" s="11"/>
      <c r="B73" s="11"/>
      <c r="C73" s="11"/>
      <c r="D73" s="11"/>
      <c r="E73" s="11"/>
      <c r="F73" s="11"/>
      <c r="G73" s="11"/>
      <c r="H73" s="11"/>
      <c r="I73" s="11"/>
      <c r="J73" s="11"/>
      <c r="K73" s="11"/>
      <c r="L73" s="11"/>
    </row>
    <row r="74" spans="1:12" ht="12.75">
      <c r="A74" s="11"/>
      <c r="B74" s="11"/>
      <c r="C74" s="11"/>
      <c r="D74" s="11"/>
      <c r="E74" s="11"/>
      <c r="F74" s="11"/>
      <c r="G74" s="11"/>
      <c r="H74" s="11"/>
      <c r="I74" s="11"/>
      <c r="J74" s="11"/>
      <c r="K74" s="11"/>
      <c r="L74" s="11"/>
    </row>
    <row r="75" spans="1:12" ht="12.75">
      <c r="A75" s="11"/>
      <c r="B75" s="11"/>
      <c r="C75" s="11"/>
      <c r="D75" s="11"/>
      <c r="E75" s="11"/>
      <c r="F75" s="11"/>
      <c r="G75" s="11"/>
      <c r="H75" s="11"/>
      <c r="I75" s="11"/>
      <c r="J75" s="11"/>
      <c r="K75" s="11"/>
      <c r="L75" s="11"/>
    </row>
    <row r="76" spans="1:12" ht="12.75">
      <c r="A76" s="11"/>
      <c r="B76" s="11"/>
      <c r="C76" s="11"/>
      <c r="D76" s="11"/>
      <c r="E76" s="11"/>
      <c r="F76" s="11"/>
      <c r="G76" s="11"/>
      <c r="H76" s="11"/>
      <c r="I76" s="11"/>
      <c r="J76" s="11"/>
      <c r="K76" s="11"/>
      <c r="L76" s="11"/>
    </row>
    <row r="77" spans="1:12" ht="12.75">
      <c r="A77" s="11"/>
      <c r="B77" s="11"/>
      <c r="C77" s="11"/>
      <c r="D77" s="11"/>
      <c r="E77" s="11"/>
      <c r="F77" s="11"/>
      <c r="G77" s="11"/>
      <c r="H77" s="11"/>
      <c r="I77" s="11"/>
      <c r="J77" s="11"/>
      <c r="K77" s="11"/>
      <c r="L77" s="11"/>
    </row>
    <row r="78" spans="1:12" ht="12.75">
      <c r="A78" s="11"/>
      <c r="B78" s="11"/>
      <c r="C78" s="11"/>
      <c r="D78" s="11"/>
      <c r="E78" s="11"/>
      <c r="F78" s="11"/>
      <c r="G78" s="11"/>
      <c r="H78" s="11"/>
      <c r="I78" s="11"/>
      <c r="J78" s="11"/>
      <c r="K78" s="11"/>
      <c r="L78" s="11"/>
    </row>
    <row r="79" spans="1:12" ht="15">
      <c r="A79" s="43"/>
      <c r="B79" s="11"/>
      <c r="C79" s="11"/>
      <c r="D79" s="11"/>
      <c r="E79" s="11"/>
      <c r="F79" s="11"/>
      <c r="G79" s="11"/>
      <c r="H79" s="11"/>
      <c r="I79" s="11"/>
      <c r="J79" s="11"/>
      <c r="K79" s="11"/>
      <c r="L79" s="11"/>
    </row>
    <row r="80" spans="1:12" ht="12.75">
      <c r="A80" s="11"/>
      <c r="B80" s="11"/>
      <c r="C80" s="11"/>
      <c r="D80" s="11"/>
      <c r="E80" s="11"/>
      <c r="F80" s="11"/>
      <c r="G80" s="11"/>
      <c r="H80" s="11"/>
      <c r="I80" s="11"/>
      <c r="J80" s="11"/>
      <c r="K80" s="11"/>
      <c r="L80" s="11"/>
    </row>
    <row r="81" spans="1:12" ht="12.75">
      <c r="A81" s="11"/>
      <c r="B81" s="11"/>
      <c r="C81" s="11"/>
      <c r="D81" s="11"/>
      <c r="E81" s="11"/>
      <c r="F81" s="11"/>
      <c r="G81" s="11"/>
      <c r="H81" s="11"/>
      <c r="I81" s="11"/>
      <c r="J81" s="11"/>
      <c r="K81" s="11"/>
      <c r="L81" s="11"/>
    </row>
    <row r="82" spans="1:12" ht="12.75">
      <c r="A82" s="11"/>
      <c r="B82" s="11"/>
      <c r="C82" s="11"/>
      <c r="D82" s="11"/>
      <c r="E82" s="11"/>
      <c r="F82" s="11"/>
      <c r="G82" s="11"/>
      <c r="H82" s="11"/>
      <c r="I82" s="11"/>
      <c r="J82" s="11"/>
      <c r="K82" s="11"/>
      <c r="L82" s="11"/>
    </row>
    <row r="83" spans="1:12" ht="12.75">
      <c r="A83" s="11"/>
      <c r="B83" s="11"/>
      <c r="C83" s="11"/>
      <c r="D83" s="11"/>
      <c r="E83" s="11"/>
      <c r="F83" s="11"/>
      <c r="G83" s="11"/>
      <c r="H83" s="11"/>
      <c r="I83" s="11"/>
      <c r="J83" s="11"/>
      <c r="K83" s="11"/>
      <c r="L83" s="11"/>
    </row>
    <row r="84" spans="1:12" ht="12.75">
      <c r="A84" s="11"/>
      <c r="B84" s="11"/>
      <c r="C84" s="11"/>
      <c r="D84" s="11"/>
      <c r="E84" s="11"/>
      <c r="F84" s="11"/>
      <c r="G84" s="11"/>
      <c r="H84" s="11"/>
      <c r="I84" s="11"/>
      <c r="J84" s="11"/>
      <c r="K84" s="11"/>
      <c r="L84" s="11"/>
    </row>
    <row r="85" spans="1:12" ht="12.75">
      <c r="A85" s="11"/>
      <c r="B85" s="11"/>
      <c r="C85" s="11"/>
      <c r="D85" s="11"/>
      <c r="E85" s="11"/>
      <c r="F85" s="11"/>
      <c r="G85" s="11"/>
      <c r="H85" s="11"/>
      <c r="I85" s="11"/>
      <c r="J85" s="11"/>
      <c r="K85" s="11"/>
      <c r="L85" s="11"/>
    </row>
    <row r="86" spans="1:12" ht="12.75">
      <c r="A86" s="11"/>
      <c r="B86" s="11"/>
      <c r="C86" s="11"/>
      <c r="D86" s="11"/>
      <c r="E86" s="11"/>
      <c r="F86" s="11"/>
      <c r="G86" s="11"/>
      <c r="H86" s="11"/>
      <c r="I86" s="11"/>
      <c r="J86" s="11"/>
      <c r="K86" s="11"/>
      <c r="L86" s="11"/>
    </row>
    <row r="87" spans="1:12" ht="12.75">
      <c r="A87" s="11"/>
      <c r="B87" s="11"/>
      <c r="C87" s="11"/>
      <c r="D87" s="11"/>
      <c r="E87" s="11"/>
      <c r="F87" s="11"/>
      <c r="G87" s="11"/>
      <c r="H87" s="11"/>
      <c r="I87" s="11"/>
      <c r="J87" s="11"/>
      <c r="K87" s="11"/>
      <c r="L87" s="11"/>
    </row>
    <row r="88" spans="1:12" ht="12.75">
      <c r="A88" s="11"/>
      <c r="B88" s="11"/>
      <c r="C88" s="11"/>
      <c r="D88" s="11"/>
      <c r="E88" s="11"/>
      <c r="F88" s="11"/>
      <c r="G88" s="11"/>
      <c r="H88" s="11"/>
      <c r="I88" s="11"/>
      <c r="J88" s="11"/>
      <c r="K88" s="11"/>
      <c r="L88" s="11"/>
    </row>
    <row r="89" spans="1:12" ht="12.75">
      <c r="A89" s="11"/>
      <c r="B89" s="11"/>
      <c r="C89" s="11"/>
      <c r="D89" s="11"/>
      <c r="E89" s="11"/>
      <c r="F89" s="11"/>
      <c r="G89" s="11"/>
      <c r="H89" s="11"/>
      <c r="I89" s="11"/>
      <c r="J89" s="11"/>
      <c r="K89" s="11"/>
      <c r="L89" s="11"/>
    </row>
    <row r="90" spans="1:12" ht="12.75">
      <c r="A90" s="11"/>
      <c r="B90" s="11"/>
      <c r="C90" s="11"/>
      <c r="D90" s="11"/>
      <c r="E90" s="11"/>
      <c r="F90" s="11"/>
      <c r="G90" s="11"/>
      <c r="H90" s="11"/>
      <c r="I90" s="11"/>
      <c r="J90" s="11"/>
      <c r="K90" s="11"/>
      <c r="L90" s="11"/>
    </row>
    <row r="91" spans="1:12" ht="12.75">
      <c r="A91" s="11"/>
      <c r="B91" s="11"/>
      <c r="C91" s="11"/>
      <c r="D91" s="11"/>
      <c r="E91" s="11"/>
      <c r="F91" s="11"/>
      <c r="G91" s="11"/>
      <c r="H91" s="11"/>
      <c r="I91" s="11"/>
      <c r="J91" s="11"/>
      <c r="K91" s="11"/>
      <c r="L91" s="11"/>
    </row>
    <row r="92" spans="1:12" ht="12.75">
      <c r="A92" s="11"/>
      <c r="B92" s="11"/>
      <c r="C92" s="11"/>
      <c r="D92" s="11"/>
      <c r="E92" s="11"/>
      <c r="F92" s="11"/>
      <c r="G92" s="11"/>
      <c r="H92" s="11"/>
      <c r="I92" s="11"/>
      <c r="J92" s="11"/>
      <c r="K92" s="11"/>
      <c r="L92" s="11"/>
    </row>
    <row r="93" spans="1:12" ht="12.75">
      <c r="A93" s="11"/>
      <c r="B93" s="11"/>
      <c r="C93" s="11"/>
      <c r="D93" s="11"/>
      <c r="E93" s="11"/>
      <c r="F93" s="11"/>
      <c r="G93" s="11"/>
      <c r="H93" s="11"/>
      <c r="I93" s="11"/>
      <c r="J93" s="11"/>
      <c r="K93" s="11"/>
      <c r="L93" s="11"/>
    </row>
    <row r="94" spans="1:12" ht="12.75">
      <c r="A94" s="11"/>
      <c r="B94" s="11"/>
      <c r="C94" s="11"/>
      <c r="D94" s="11"/>
      <c r="E94" s="11"/>
      <c r="F94" s="11"/>
      <c r="G94" s="11"/>
      <c r="H94" s="11"/>
      <c r="I94" s="11"/>
      <c r="J94" s="11"/>
      <c r="K94" s="11"/>
      <c r="L94" s="11"/>
    </row>
    <row r="95" spans="1:12" ht="12.75">
      <c r="A95" s="11"/>
      <c r="B95" s="11"/>
      <c r="C95" s="11"/>
      <c r="D95" s="11"/>
      <c r="E95" s="11"/>
      <c r="F95" s="11"/>
      <c r="G95" s="11"/>
      <c r="H95" s="11"/>
      <c r="I95" s="11"/>
      <c r="J95" s="11"/>
      <c r="K95" s="11"/>
      <c r="L95" s="11"/>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AEP</cp:lastModifiedBy>
  <cp:lastPrinted>2015-06-04T18:39:49Z</cp:lastPrinted>
  <dcterms:created xsi:type="dcterms:W3CDTF">1998-12-10T13:18:38Z</dcterms:created>
  <dcterms:modified xsi:type="dcterms:W3CDTF">2017-08-28T14:11:49Z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