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80" windowHeight="6672" tabRatio="825" activeTab="0"/>
  </bookViews>
  <sheets>
    <sheet name="BSRR Summary" sheetId="1" r:id="rId1"/>
    <sheet name="Components" sheetId="2" r:id="rId2"/>
    <sheet name="Additions" sheetId="3" r:id="rId3"/>
    <sheet name="23 Yr Amortization " sheetId="4" r:id="rId4"/>
    <sheet name="Actual Yr 1&amp;2 Amortization" sheetId="5" r:id="rId5"/>
    <sheet name="WACC" sheetId="6" r:id="rId6"/>
    <sheet name="Gross-up" sheetId="7" r:id="rId7"/>
  </sheets>
  <definedNames>
    <definedName name="_xlnm.Print_Area" localSheetId="3">'23 Yr Amortization '!$A$1:$K$8</definedName>
    <definedName name="_xlnm.Print_Area" localSheetId="2">'Additions'!$A$1:$L$320</definedName>
    <definedName name="_xlnm.Print_Area" localSheetId="1">'Components'!$A$1:$M$24</definedName>
    <definedName name="_xlnm.Print_Titles" localSheetId="3">'23 Yr Amortization '!$1:$6</definedName>
  </definedNames>
  <calcPr fullCalcOnLoad="1"/>
</workbook>
</file>

<file path=xl/sharedStrings.xml><?xml version="1.0" encoding="utf-8"?>
<sst xmlns="http://schemas.openxmlformats.org/spreadsheetml/2006/main" count="195" uniqueCount="144">
  <si>
    <t>Kentucky Power Company</t>
  </si>
  <si>
    <t>Month</t>
  </si>
  <si>
    <t xml:space="preserve"> </t>
  </si>
  <si>
    <t>Unit 1</t>
  </si>
  <si>
    <t>Total</t>
  </si>
  <si>
    <t>Gross-up</t>
  </si>
  <si>
    <t>KENTUCKY POWER COMPANY</t>
  </si>
  <si>
    <t>SECTION V</t>
  </si>
  <si>
    <t>COST OF CAPITAL</t>
  </si>
  <si>
    <t>WORKPAPER S-2</t>
  </si>
  <si>
    <t>TEST YEAR ENDED 9/30/2014</t>
  </si>
  <si>
    <t>PAGE 1 OF 3</t>
  </si>
  <si>
    <t>Reapportioned</t>
  </si>
  <si>
    <t>Annual</t>
  </si>
  <si>
    <t>Weighted</t>
  </si>
  <si>
    <t>Kentucky</t>
  </si>
  <si>
    <t>Percentage</t>
  </si>
  <si>
    <t>Cost</t>
  </si>
  <si>
    <t>Average</t>
  </si>
  <si>
    <t>Line</t>
  </si>
  <si>
    <t>Jurisdictional</t>
  </si>
  <si>
    <t>of</t>
  </si>
  <si>
    <t>No.</t>
  </si>
  <si>
    <t>Description</t>
  </si>
  <si>
    <t>Capital   1/</t>
  </si>
  <si>
    <t>Rate</t>
  </si>
  <si>
    <t>Percent</t>
  </si>
  <si>
    <t>(6) = (4) X (5)</t>
  </si>
  <si>
    <t>Long Term Debt</t>
  </si>
  <si>
    <t>2/</t>
  </si>
  <si>
    <t>Short Term Debt</t>
  </si>
  <si>
    <t>3/</t>
  </si>
  <si>
    <t>Accounts Receivable Financing 4/</t>
  </si>
  <si>
    <t>5/</t>
  </si>
  <si>
    <t>Common Equity</t>
  </si>
  <si>
    <t>6/</t>
  </si>
  <si>
    <t>-------------------</t>
  </si>
  <si>
    <t>==========</t>
  </si>
  <si>
    <t>1/</t>
  </si>
  <si>
    <t>Schedule 3, Column 13, Lines 1, 2, 3 &amp; 4</t>
  </si>
  <si>
    <t>Per workpaper S-3, Pg 1, Ln 11, Col 14</t>
  </si>
  <si>
    <t>Per workpaper S-3, Pg 2, Ln 16</t>
  </si>
  <si>
    <t>4/</t>
  </si>
  <si>
    <t>Per Commission Order March 31, 2003 Case No. 2002-00169</t>
  </si>
  <si>
    <t>13 Month Average Accounts Receivable Balance and 13 Month Average Annual Carrying Cost</t>
  </si>
  <si>
    <t>Computation of the Gross Revenue</t>
  </si>
  <si>
    <t>Conversion Factor</t>
  </si>
  <si>
    <t>PAGE 2 OF 3</t>
  </si>
  <si>
    <t>Test Year Twelve Ended 9/30/2014</t>
  </si>
  <si>
    <t>Line       No.</t>
  </si>
  <si>
    <t>Operating Revenues</t>
  </si>
  <si>
    <t>Less: Uncollectible Accounts Expense   1/</t>
  </si>
  <si>
    <t>KPSC Maintenance Fee</t>
  </si>
  <si>
    <t>---------------------</t>
  </si>
  <si>
    <t>Income Before income Taxes</t>
  </si>
  <si>
    <t>Less: State Income Taxes (L4 X 5.3947%)   2/</t>
  </si>
  <si>
    <t>Income Before Federal Income Taxes</t>
  </si>
  <si>
    <t>Less: Federal income Taxes (L6 X 35.00%)</t>
  </si>
  <si>
    <t>Operating Income Percentage</t>
  </si>
  <si>
    <t>Gross Revenue Conversion Factor (100% / L8)</t>
  </si>
  <si>
    <t>===========</t>
  </si>
  <si>
    <t>Gross Revenue CF Excluding Taxes (100%/ L4)</t>
  </si>
  <si>
    <t>WACC</t>
  </si>
  <si>
    <t>Additions</t>
  </si>
  <si>
    <t>CC</t>
  </si>
  <si>
    <t>Components Subject 
to WACC Return:</t>
  </si>
  <si>
    <t>Totals</t>
  </si>
  <si>
    <t>Monthly</t>
  </si>
  <si>
    <t>Monthly Payment</t>
  </si>
  <si>
    <t>Factor Calc</t>
  </si>
  <si>
    <t>Factor</t>
  </si>
  <si>
    <t>Retirement Costs</t>
  </si>
  <si>
    <t>Monthly WACC Calculation</t>
  </si>
  <si>
    <t>*</t>
  </si>
  <si>
    <t>ADIT Balance</t>
  </si>
  <si>
    <t>Components Subject to WACC Ending Balance</t>
  </si>
  <si>
    <t>Components Subject to WACC Beginning Balance</t>
  </si>
  <si>
    <t>*  Represents the reversal of the original ADIT included in the beginning balance.</t>
  </si>
  <si>
    <t>Actual June 30, 
2015 Balance</t>
  </si>
  <si>
    <t>NBV:  (1823379, 76)</t>
  </si>
  <si>
    <t>ARO Cash Flow (1823380)</t>
  </si>
  <si>
    <t>NBV</t>
  </si>
  <si>
    <t>M&amp;S</t>
  </si>
  <si>
    <t>Net Recovery</t>
  </si>
  <si>
    <t>Jurisdictional Factor</t>
  </si>
  <si>
    <t>Retail</t>
  </si>
  <si>
    <t>Total Company</t>
  </si>
  <si>
    <t>Monthly Revenue</t>
  </si>
  <si>
    <t>Monthly Change in ADIT on RA</t>
  </si>
  <si>
    <t>KY Jurisdictional</t>
  </si>
  <si>
    <t>Note this schedule is updated with Commission orders that impact gross up factors for KY.</t>
  </si>
  <si>
    <t>Unit 2 O&amp;M (1823518)</t>
  </si>
  <si>
    <t>Unit 1 NBV (101/108)</t>
  </si>
  <si>
    <t>Unusable M&amp;S U2 (1823378)</t>
  </si>
  <si>
    <t>Unusable M&amp;S U1</t>
  </si>
  <si>
    <t>GIVE TO TAX FOR ADIT CALCULATION</t>
  </si>
  <si>
    <t>Change in Retirement Costs</t>
  </si>
  <si>
    <t>Retirement Costs Balance</t>
  </si>
  <si>
    <t>FOR ADIT CALCULATION ONLY - Reg. Asset 
(excluding M&amp;S and U1 NBV)</t>
  </si>
  <si>
    <t>Asbestos Adjustment Entry</t>
  </si>
  <si>
    <t>Net Book Value</t>
  </si>
  <si>
    <t>Cost of Removal</t>
  </si>
  <si>
    <t>Materials &amp; Supplies</t>
  </si>
  <si>
    <t>Asset Retirement Obligation Spent</t>
  </si>
  <si>
    <t>Unit 2 Operational &amp; Maintenance Expense</t>
  </si>
  <si>
    <t>Current Value of Coal Related Materials &amp; Supplies that is no longer usable.  
Regulatory asset is adjusted for inventory movement (transfers, scrap sales and other adjustments)</t>
  </si>
  <si>
    <t>Operational and Maintenance Costs Recoverable through the BSRR</t>
  </si>
  <si>
    <t>Unit 1 Coal Retirement (November 2015)</t>
  </si>
  <si>
    <t>Unit 1 Coal Retirement (Nov 2015)</t>
  </si>
  <si>
    <t>Remaining Reg Asset to Collect Over 23 Years</t>
  </si>
  <si>
    <t>Less: BSRR collection July 2015 - June 2017</t>
  </si>
  <si>
    <t>June 30, 2015 Balance</t>
  </si>
  <si>
    <t>Additions after 6/30/15</t>
  </si>
  <si>
    <t>Plus: Carrying Charges Incurred</t>
  </si>
  <si>
    <t>Less: Revenue collected</t>
  </si>
  <si>
    <t>Recovery Balance</t>
  </si>
  <si>
    <t>Estimated ADIT*</t>
  </si>
  <si>
    <t>New Beginning Balance</t>
  </si>
  <si>
    <t>Cumulative Actuals</t>
  </si>
  <si>
    <t xml:space="preserve"> Beginning Balance</t>
  </si>
  <si>
    <t>Levelized Payment</t>
  </si>
  <si>
    <t>Calculated Change in Reg Asset</t>
  </si>
  <si>
    <t>Ending Balance</t>
  </si>
  <si>
    <t xml:space="preserve">Components Subject to Recovery </t>
  </si>
  <si>
    <t>Amortization of Retirement Costs</t>
  </si>
  <si>
    <t>WACC Carrying Charges</t>
  </si>
  <si>
    <t>Total Costs to Recover</t>
  </si>
  <si>
    <t>Monthly Revenue Payment --&gt; Annual Revenue / 12 months</t>
  </si>
  <si>
    <t>Annual Revenue --&gt; Total Costs / 23 years</t>
  </si>
  <si>
    <t>Big Sandy Retirement Rider (BSRR) 2017 Rate Update Summary</t>
  </si>
  <si>
    <t>*Estimated future ADIT calculated as  Regulatory Asset Retirement Costs * 35%, actual ADIT calculated monthly for purpose of over/under</t>
  </si>
  <si>
    <t>Big Sandy Retirement Cost Component Summary</t>
  </si>
  <si>
    <t>Commission's Order Dated June 22, 2015 in Case No. 2014-00396</t>
  </si>
  <si>
    <t>The weighted average cost of capital used in these calculations will be updated coincident with Commission orders affecting the Company’s WACC and capital structure.  The rate will next be updated with the Company’s August 15, 2018 filing.</t>
  </si>
  <si>
    <t>7/</t>
  </si>
  <si>
    <t>Gross-up 7/</t>
  </si>
  <si>
    <t>Actual June 30, 2017 Balance</t>
  </si>
  <si>
    <t>Cost after 
June 30, 2015</t>
  </si>
  <si>
    <t>as of June 30, 2017</t>
  </si>
  <si>
    <t>In June 2015, this represents the Net Book Value of Unit 2.  In December 2015, we transferred in the Net Book Value of Coal Related Assets for Unit 1.  Unit 1 retired in November 2015</t>
  </si>
  <si>
    <t xml:space="preserve">Cost of Removal is segregated from the NBV to provide visibility to the future cash outflows for the cost of removal.
</t>
  </si>
  <si>
    <t xml:space="preserve">Actual Coal related Asset Retirement Costs spent to date.
</t>
  </si>
  <si>
    <t xml:space="preserve">Net Book Value of Unit 1.  This balance was transferred to 1823379 in November 2015 as the Unit retired.
</t>
  </si>
  <si>
    <t xml:space="preserve">Current Value of Unit 1 Coal Related Materials &amp; Supplies that is no longer usable.  This balance was transferred to 1823378 in November 2015 as the Unit retired.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</si>
</sst>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0.000_);\(#,##0.000\)"/>
    <numFmt numFmtId="167" formatCode="0.0000%"/>
    <numFmt numFmtId="168" formatCode="0.000000"/>
    <numFmt numFmtId="169" formatCode="0.00000%"/>
    <numFmt numFmtId="170" formatCode="0.000000%"/>
    <numFmt numFmtId="171" formatCode="0.000000_);\(0.000000\)"/>
    <numFmt numFmtId="172" formatCode="_(* #,##0.0_);_(* \(#,##0.0\);&quot;&quot;;_(@_)"/>
    <numFmt numFmtId="173" formatCode="[Blue]#,##0,_);[Red]\(#,##0,\)"/>
    <numFmt numFmtId="174" formatCode="_(* #,##0.000_);_(* \(#,##0.000\);_(* &quot;-&quot;??_);_(@_)"/>
    <numFmt numFmtId="175" formatCode="_(* #,##0.00000_);_(* \(#,##0.00000\);_(* &quot;-&quot;?????_);_(@_)"/>
    <numFmt numFmtId="176" formatCode="[$-409]mmmm\-yy;@"/>
    <numFmt numFmtId="177" formatCode="m/d/yy;@"/>
    <numFmt numFmtId="178" formatCode="_(&quot;$&quot;* #,##0_);_(&quot;$&quot;* \(#,##0\);_(&quot;$&quot;* &quot;-&quot;??_);_(@_)"/>
    <numFmt numFmtId="179" formatCode="&quot;Yes&quot;;&quot;Yes&quot;;&quot;No&quot;"/>
    <numFmt numFmtId="180" formatCode="&quot;True&quot;;&quot;True&quot;;&quot;False&quot;"/>
    <numFmt numFmtId="181" formatCode="&quot;On&quot;;&quot;On&quot;;&quot;Off&quot;"/>
    <numFmt numFmtId="182" formatCode="[$€-2]\ #,##0.00_);[Red]\([$€-2]\ #,##0.00\)"/>
  </numFmts>
  <fonts count="99">
    <font>
      <sz val="11"/>
      <color theme="1"/>
      <name val="Calibri"/>
      <family val="2"/>
    </font>
    <font>
      <sz val="11"/>
      <color indexed="8"/>
      <name val="Calibri"/>
      <family val="2"/>
    </font>
    <font>
      <sz val="10"/>
      <name val="Arial"/>
      <family val="2"/>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Unicode MS"/>
      <family val="2"/>
    </font>
    <font>
      <sz val="12"/>
      <name val="Arial MT"/>
      <family val="0"/>
    </font>
    <font>
      <sz val="10"/>
      <color indexed="8"/>
      <name val="Arial"/>
      <family val="2"/>
    </font>
    <font>
      <sz val="10"/>
      <color indexed="8"/>
      <name val="Tahoma"/>
      <family val="2"/>
    </font>
    <font>
      <sz val="10"/>
      <color indexed="9"/>
      <name val="Arial"/>
      <family val="2"/>
    </font>
    <font>
      <sz val="10"/>
      <color indexed="9"/>
      <name val="Tahoma"/>
      <family val="2"/>
    </font>
    <font>
      <sz val="10"/>
      <color indexed="20"/>
      <name val="Arial"/>
      <family val="2"/>
    </font>
    <font>
      <sz val="10"/>
      <color indexed="20"/>
      <name val="Tahoma"/>
      <family val="2"/>
    </font>
    <font>
      <b/>
      <sz val="10"/>
      <color indexed="52"/>
      <name val="Arial"/>
      <family val="2"/>
    </font>
    <font>
      <b/>
      <sz val="10"/>
      <color indexed="52"/>
      <name val="Tahoma"/>
      <family val="2"/>
    </font>
    <font>
      <b/>
      <sz val="10"/>
      <color indexed="9"/>
      <name val="Arial"/>
      <family val="2"/>
    </font>
    <font>
      <b/>
      <sz val="10"/>
      <color indexed="9"/>
      <name val="Tahoma"/>
      <family val="2"/>
    </font>
    <font>
      <b/>
      <sz val="10"/>
      <name val="Arial Unicode MS"/>
      <family val="2"/>
    </font>
    <font>
      <i/>
      <sz val="10"/>
      <color indexed="23"/>
      <name val="Arial"/>
      <family val="2"/>
    </font>
    <font>
      <i/>
      <sz val="10"/>
      <color indexed="23"/>
      <name val="Tahoma"/>
      <family val="2"/>
    </font>
    <font>
      <sz val="10"/>
      <color indexed="17"/>
      <name val="Arial"/>
      <family val="2"/>
    </font>
    <font>
      <sz val="10"/>
      <color indexed="17"/>
      <name val="Tahoma"/>
      <family val="2"/>
    </font>
    <font>
      <b/>
      <sz val="15"/>
      <color indexed="62"/>
      <name val="Calibri"/>
      <family val="2"/>
    </font>
    <font>
      <b/>
      <sz val="15"/>
      <color indexed="62"/>
      <name val="Arial"/>
      <family val="2"/>
    </font>
    <font>
      <b/>
      <sz val="15"/>
      <color indexed="56"/>
      <name val="Tahoma"/>
      <family val="2"/>
    </font>
    <font>
      <b/>
      <sz val="15"/>
      <color indexed="56"/>
      <name val="Arial"/>
      <family val="2"/>
    </font>
    <font>
      <b/>
      <sz val="13"/>
      <color indexed="62"/>
      <name val="Calibri"/>
      <family val="2"/>
    </font>
    <font>
      <b/>
      <sz val="13"/>
      <color indexed="62"/>
      <name val="Arial"/>
      <family val="2"/>
    </font>
    <font>
      <b/>
      <sz val="13"/>
      <color indexed="56"/>
      <name val="Tahoma"/>
      <family val="2"/>
    </font>
    <font>
      <b/>
      <sz val="13"/>
      <color indexed="56"/>
      <name val="Arial"/>
      <family val="2"/>
    </font>
    <font>
      <b/>
      <sz val="11"/>
      <color indexed="62"/>
      <name val="Calibri"/>
      <family val="2"/>
    </font>
    <font>
      <b/>
      <sz val="11"/>
      <color indexed="62"/>
      <name val="Arial"/>
      <family val="2"/>
    </font>
    <font>
      <b/>
      <sz val="11"/>
      <color indexed="56"/>
      <name val="Tahoma"/>
      <family val="2"/>
    </font>
    <font>
      <b/>
      <sz val="11"/>
      <color indexed="56"/>
      <name val="Arial"/>
      <family val="2"/>
    </font>
    <font>
      <sz val="10"/>
      <color indexed="62"/>
      <name val="Arial"/>
      <family val="2"/>
    </font>
    <font>
      <sz val="10"/>
      <color indexed="62"/>
      <name val="Tahoma"/>
      <family val="2"/>
    </font>
    <font>
      <b/>
      <sz val="12"/>
      <color indexed="12"/>
      <name val="Arial"/>
      <family val="2"/>
    </font>
    <font>
      <sz val="10"/>
      <color indexed="52"/>
      <name val="Arial"/>
      <family val="2"/>
    </font>
    <font>
      <sz val="10"/>
      <color indexed="52"/>
      <name val="Tahoma"/>
      <family val="2"/>
    </font>
    <font>
      <sz val="10"/>
      <color indexed="60"/>
      <name val="Arial"/>
      <family val="2"/>
    </font>
    <font>
      <sz val="10"/>
      <color indexed="60"/>
      <name val="Tahoma"/>
      <family val="2"/>
    </font>
    <font>
      <sz val="8"/>
      <color indexed="48"/>
      <name val="Arial"/>
      <family val="2"/>
    </font>
    <font>
      <b/>
      <sz val="10"/>
      <color indexed="63"/>
      <name val="Arial"/>
      <family val="2"/>
    </font>
    <font>
      <b/>
      <sz val="10"/>
      <color indexed="63"/>
      <name val="Tahoma"/>
      <family val="2"/>
    </font>
    <font>
      <b/>
      <sz val="18"/>
      <color indexed="62"/>
      <name val="Cambria"/>
      <family val="2"/>
    </font>
    <font>
      <b/>
      <sz val="10"/>
      <color indexed="8"/>
      <name val="Arial"/>
      <family val="2"/>
    </font>
    <font>
      <b/>
      <sz val="10"/>
      <color indexed="8"/>
      <name val="Tahoma"/>
      <family val="2"/>
    </font>
    <font>
      <sz val="10"/>
      <color indexed="10"/>
      <name val="Arial"/>
      <family val="2"/>
    </font>
    <font>
      <sz val="10"/>
      <color indexed="10"/>
      <name val="Tahoma"/>
      <family val="2"/>
    </font>
    <font>
      <u val="single"/>
      <sz val="11"/>
      <color indexed="20"/>
      <name val="Calibri"/>
      <family val="2"/>
    </font>
    <font>
      <u val="single"/>
      <sz val="11"/>
      <color indexed="12"/>
      <name val="Calibri"/>
      <family val="2"/>
    </font>
    <font>
      <b/>
      <sz val="11"/>
      <color indexed="50"/>
      <name val="Calibri"/>
      <family val="2"/>
    </font>
    <font>
      <b/>
      <sz val="11"/>
      <color indexed="10"/>
      <name val="Calibri"/>
      <family val="2"/>
    </font>
    <font>
      <sz val="11"/>
      <name val="Calibri"/>
      <family val="2"/>
    </font>
    <font>
      <b/>
      <sz val="11"/>
      <name val="Calibri"/>
      <family val="2"/>
    </font>
    <font>
      <b/>
      <sz val="14"/>
      <color indexed="8"/>
      <name val="Calibri"/>
      <family val="2"/>
    </font>
    <font>
      <b/>
      <sz val="14"/>
      <color indexed="23"/>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92D050"/>
      <name val="Calibri"/>
      <family val="2"/>
    </font>
    <font>
      <b/>
      <sz val="11"/>
      <color rgb="FFFF0000"/>
      <name val="Calibri"/>
      <family val="2"/>
    </font>
    <font>
      <b/>
      <sz val="14"/>
      <color theme="1"/>
      <name val="Calibri"/>
      <family val="2"/>
    </font>
    <font>
      <b/>
      <sz val="14"/>
      <color theme="0" tint="-0.4999699890613556"/>
      <name val="Calibri"/>
      <family val="2"/>
    </font>
    <font>
      <b/>
      <sz val="16"/>
      <color theme="1"/>
      <name val="Calibri"/>
      <family val="2"/>
    </font>
    <font>
      <sz val="11"/>
      <color rgb="FF000000"/>
      <name val="Calibri"/>
      <family val="2"/>
    </font>
  </fonts>
  <fills count="62">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23"/>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1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theme="1"/>
        <bgColor indexed="64"/>
      </patternFill>
    </fill>
    <fill>
      <patternFill patternType="solid">
        <fgColor theme="0" tint="-0.04997999966144562"/>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right/>
      <top/>
      <bottom style="thick">
        <color indexed="23"/>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theme="4"/>
      </top>
      <bottom style="double">
        <color theme="4"/>
      </bottom>
    </border>
    <border>
      <left/>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medium"/>
      <top>
        <color indexed="63"/>
      </top>
      <bottom style="medium"/>
    </border>
    <border>
      <left style="medium"/>
      <right>
        <color indexed="63"/>
      </right>
      <top>
        <color indexed="63"/>
      </top>
      <bottom style="medium"/>
    </border>
    <border>
      <left style="thin"/>
      <right style="medium"/>
      <top>
        <color indexed="63"/>
      </top>
      <bottom>
        <color indexed="63"/>
      </bottom>
    </border>
    <border>
      <left style="medium"/>
      <right>
        <color indexed="63"/>
      </right>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medium"/>
      <top style="thin"/>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7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4"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3"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4" fillId="11" borderId="0" applyNumberFormat="0" applyBorder="0" applyAlignment="0" applyProtection="0"/>
    <xf numFmtId="0" fontId="23"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3"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4"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3"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1" borderId="0" applyNumberFormat="0" applyBorder="0" applyAlignment="0" applyProtection="0"/>
    <xf numFmtId="0" fontId="23" fillId="11" borderId="0" applyNumberFormat="0" applyBorder="0" applyAlignment="0" applyProtection="0"/>
    <xf numFmtId="0" fontId="1" fillId="11" borderId="0" applyNumberFormat="0" applyBorder="0" applyAlignment="0" applyProtection="0"/>
    <xf numFmtId="0" fontId="0"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18" borderId="0" applyNumberFormat="0" applyBorder="0" applyAlignment="0" applyProtection="0"/>
    <xf numFmtId="0" fontId="0"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27" borderId="0" applyNumberFormat="0" applyBorder="0" applyAlignment="0" applyProtection="0"/>
    <xf numFmtId="0" fontId="23" fillId="27" borderId="0" applyNumberFormat="0" applyBorder="0" applyAlignment="0" applyProtection="0"/>
    <xf numFmtId="0" fontId="1" fillId="27" borderId="0" applyNumberFormat="0" applyBorder="0" applyAlignment="0" applyProtection="0"/>
    <xf numFmtId="0" fontId="74" fillId="28" borderId="0" applyNumberFormat="0" applyBorder="0" applyAlignment="0" applyProtection="0"/>
    <xf numFmtId="0" fontId="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0" borderId="0" applyNumberFormat="0" applyBorder="0" applyAlignment="0" applyProtection="0"/>
    <xf numFmtId="0" fontId="5" fillId="30" borderId="0" applyNumberFormat="0" applyBorder="0" applyAlignment="0" applyProtection="0"/>
    <xf numFmtId="0" fontId="74" fillId="31" borderId="0" applyNumberFormat="0" applyBorder="0" applyAlignment="0" applyProtection="0"/>
    <xf numFmtId="0" fontId="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74" fillId="32" borderId="0" applyNumberFormat="0" applyBorder="0" applyAlignment="0" applyProtection="0"/>
    <xf numFmtId="0" fontId="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5" fillId="23" borderId="0" applyNumberFormat="0" applyBorder="0" applyAlignment="0" applyProtection="0"/>
    <xf numFmtId="0" fontId="74" fillId="33" borderId="0" applyNumberFormat="0" applyBorder="0" applyAlignment="0" applyProtection="0"/>
    <xf numFmtId="0" fontId="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5" fillId="34" borderId="0" applyNumberFormat="0" applyBorder="0" applyAlignment="0" applyProtection="0"/>
    <xf numFmtId="0" fontId="74" fillId="35" borderId="0" applyNumberFormat="0" applyBorder="0" applyAlignment="0" applyProtection="0"/>
    <xf numFmtId="0" fontId="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74" fillId="36" borderId="0" applyNumberFormat="0" applyBorder="0" applyAlignment="0" applyProtection="0"/>
    <xf numFmtId="0" fontId="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5" fillId="37" borderId="0" applyNumberFormat="0" applyBorder="0" applyAlignment="0" applyProtection="0"/>
    <xf numFmtId="0" fontId="74" fillId="38" borderId="0" applyNumberFormat="0" applyBorder="0" applyAlignment="0" applyProtection="0"/>
    <xf numFmtId="0" fontId="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5" fillId="39" borderId="0" applyNumberFormat="0" applyBorder="0" applyAlignment="0" applyProtection="0"/>
    <xf numFmtId="0" fontId="74" fillId="40" borderId="0" applyNumberFormat="0" applyBorder="0" applyAlignment="0" applyProtection="0"/>
    <xf numFmtId="0" fontId="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74" fillId="42" borderId="0" applyNumberFormat="0" applyBorder="0" applyAlignment="0" applyProtection="0"/>
    <xf numFmtId="0" fontId="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74" fillId="44" borderId="0" applyNumberFormat="0" applyBorder="0" applyAlignment="0" applyProtection="0"/>
    <xf numFmtId="0" fontId="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5" fillId="34" borderId="0" applyNumberFormat="0" applyBorder="0" applyAlignment="0" applyProtection="0"/>
    <xf numFmtId="0" fontId="74" fillId="46" borderId="0" applyNumberFormat="0" applyBorder="0" applyAlignment="0" applyProtection="0"/>
    <xf numFmtId="0" fontId="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74" fillId="47" borderId="0" applyNumberFormat="0" applyBorder="0" applyAlignment="0" applyProtection="0"/>
    <xf numFmtId="0" fontId="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6" fillId="48" borderId="0" applyNumberFormat="0" applyBorder="0" applyAlignment="0" applyProtection="0"/>
    <xf numFmtId="0" fontId="75" fillId="49" borderId="0" applyNumberFormat="0" applyBorder="0" applyAlignment="0" applyProtection="0"/>
    <xf numFmtId="0" fontId="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6" borderId="0" applyNumberFormat="0" applyBorder="0" applyAlignment="0" applyProtection="0"/>
    <xf numFmtId="0" fontId="27" fillId="6" borderId="0" applyNumberFormat="0" applyBorder="0" applyAlignment="0" applyProtection="0"/>
    <xf numFmtId="0" fontId="6" fillId="6" borderId="0" applyNumberFormat="0" applyBorder="0" applyAlignment="0" applyProtection="0"/>
    <xf numFmtId="0" fontId="76" fillId="51" borderId="1" applyNumberFormat="0" applyAlignment="0" applyProtection="0"/>
    <xf numFmtId="0" fontId="7"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30" fillId="3" borderId="2" applyNumberFormat="0" applyAlignment="0" applyProtection="0"/>
    <xf numFmtId="0" fontId="77" fillId="52" borderId="3" applyNumberFormat="0" applyAlignment="0" applyProtection="0"/>
    <xf numFmtId="0" fontId="8" fillId="17" borderId="4" applyNumberFormat="0" applyAlignment="0" applyProtection="0"/>
    <xf numFmtId="0" fontId="31" fillId="17" borderId="4" applyNumberFormat="0" applyAlignment="0" applyProtection="0"/>
    <xf numFmtId="0" fontId="31" fillId="17" borderId="4" applyNumberFormat="0" applyAlignment="0" applyProtection="0"/>
    <xf numFmtId="0" fontId="31" fillId="17" borderId="4" applyNumberFormat="0" applyAlignment="0" applyProtection="0"/>
    <xf numFmtId="0" fontId="32" fillId="53" borderId="4" applyNumberFormat="0" applyAlignment="0" applyProtection="0"/>
    <xf numFmtId="0" fontId="31" fillId="53" borderId="4" applyNumberFormat="0" applyAlignment="0" applyProtection="0"/>
    <xf numFmtId="0" fontId="8" fillId="5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0" fontId="3"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44" fontId="2" fillId="0" borderId="0" applyFont="0" applyFill="0" applyBorder="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79" fillId="0" borderId="0" applyNumberFormat="0" applyFill="0" applyBorder="0" applyAlignment="0" applyProtection="0"/>
    <xf numFmtId="0" fontId="80" fillId="54" borderId="0" applyNumberFormat="0" applyBorder="0" applyAlignment="0" applyProtection="0"/>
    <xf numFmtId="0" fontId="10"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7" fillId="9" borderId="0" applyNumberFormat="0" applyBorder="0" applyAlignment="0" applyProtection="0"/>
    <xf numFmtId="0" fontId="81" fillId="0" borderId="5" applyNumberFormat="0" applyFill="0" applyAlignment="0" applyProtection="0"/>
    <xf numFmtId="0" fontId="38"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1" fillId="0" borderId="7" applyNumberFormat="0" applyFill="0" applyAlignment="0" applyProtection="0"/>
    <xf numFmtId="0" fontId="11" fillId="0" borderId="7" applyNumberFormat="0" applyFill="0" applyAlignment="0" applyProtection="0"/>
    <xf numFmtId="0" fontId="82" fillId="0" borderId="8" applyNumberFormat="0" applyFill="0" applyAlignment="0" applyProtection="0"/>
    <xf numFmtId="0" fontId="42"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5" fillId="0" borderId="10" applyNumberFormat="0" applyFill="0" applyAlignment="0" applyProtection="0"/>
    <xf numFmtId="0" fontId="12" fillId="0" borderId="10" applyNumberFormat="0" applyFill="0" applyAlignment="0" applyProtection="0"/>
    <xf numFmtId="0" fontId="83" fillId="0" borderId="11" applyNumberFormat="0" applyFill="0" applyAlignment="0" applyProtection="0"/>
    <xf numFmtId="0" fontId="46"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9" fillId="0" borderId="13" applyNumberFormat="0" applyFill="0" applyAlignment="0" applyProtection="0"/>
    <xf numFmtId="0" fontId="13" fillId="0" borderId="13" applyNumberFormat="0" applyFill="0" applyAlignment="0" applyProtection="0"/>
    <xf numFmtId="0" fontId="83"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84" fillId="0" borderId="0" applyNumberFormat="0" applyFill="0" applyBorder="0" applyAlignment="0" applyProtection="0"/>
    <xf numFmtId="0" fontId="85" fillId="55" borderId="1" applyNumberFormat="0" applyAlignment="0" applyProtection="0"/>
    <xf numFmtId="0" fontId="14" fillId="15" borderId="2" applyNumberFormat="0" applyAlignment="0" applyProtection="0"/>
    <xf numFmtId="0" fontId="50" fillId="15" borderId="2" applyNumberFormat="0" applyAlignment="0" applyProtection="0"/>
    <xf numFmtId="0" fontId="50" fillId="15" borderId="2" applyNumberFormat="0" applyAlignment="0" applyProtection="0"/>
    <xf numFmtId="0" fontId="50" fillId="15" borderId="2" applyNumberFormat="0" applyAlignment="0" applyProtection="0"/>
    <xf numFmtId="0" fontId="51" fillId="15" borderId="2" applyNumberFormat="0" applyAlignment="0" applyProtection="0"/>
    <xf numFmtId="41" fontId="52" fillId="0" borderId="0">
      <alignment horizontal="left"/>
      <protection/>
    </xf>
    <xf numFmtId="0" fontId="86" fillId="0" borderId="14" applyNumberFormat="0" applyFill="0" applyAlignment="0" applyProtection="0"/>
    <xf numFmtId="0" fontId="15" fillId="0" borderId="15" applyNumberFormat="0" applyFill="0" applyAlignment="0" applyProtection="0"/>
    <xf numFmtId="0" fontId="53" fillId="0" borderId="15" applyNumberFormat="0" applyFill="0" applyAlignment="0" applyProtection="0"/>
    <xf numFmtId="0" fontId="53" fillId="0" borderId="15" applyNumberFormat="0" applyFill="0" applyAlignment="0" applyProtection="0"/>
    <xf numFmtId="0" fontId="53" fillId="0" borderId="15" applyNumberFormat="0" applyFill="0" applyAlignment="0" applyProtection="0"/>
    <xf numFmtId="0" fontId="54" fillId="0" borderId="15" applyNumberFormat="0" applyFill="0" applyAlignment="0" applyProtection="0"/>
    <xf numFmtId="0" fontId="87" fillId="56" borderId="0" applyNumberFormat="0" applyBorder="0" applyAlignment="0" applyProtection="0"/>
    <xf numFmtId="0" fontId="16"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88" fillId="0" borderId="0">
      <alignment/>
      <protection/>
    </xf>
    <xf numFmtId="0" fontId="21" fillId="0" borderId="0">
      <alignment/>
      <protection/>
    </xf>
    <xf numFmtId="37" fontId="22" fillId="0" borderId="0">
      <alignment/>
      <protection/>
    </xf>
    <xf numFmtId="0" fontId="22"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3" fillId="0" borderId="0">
      <alignment/>
      <protection/>
    </xf>
    <xf numFmtId="0" fontId="21" fillId="0" borderId="0">
      <alignment/>
      <protection/>
    </xf>
    <xf numFmtId="0" fontId="21" fillId="0" borderId="0">
      <alignment/>
      <protection/>
    </xf>
    <xf numFmtId="0" fontId="2" fillId="0" borderId="0">
      <alignment/>
      <protection/>
    </xf>
    <xf numFmtId="0" fontId="2"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3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1" fillId="0" borderId="0">
      <alignment/>
      <protection/>
    </xf>
    <xf numFmtId="0" fontId="21"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8" fillId="0" borderId="0">
      <alignment/>
      <protection/>
    </xf>
    <xf numFmtId="0" fontId="88" fillId="0" borderId="0">
      <alignment/>
      <protection/>
    </xf>
    <xf numFmtId="0" fontId="88" fillId="0" borderId="0">
      <alignment/>
      <protection/>
    </xf>
    <xf numFmtId="0" fontId="0" fillId="57" borderId="16" applyNumberFormat="0" applyFont="0" applyAlignment="0" applyProtection="0"/>
    <xf numFmtId="0" fontId="2" fillId="8" borderId="17"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0" fontId="2" fillId="8" borderId="2" applyNumberFormat="0" applyFont="0" applyAlignment="0" applyProtection="0"/>
    <xf numFmtId="43" fontId="50" fillId="0" borderId="0">
      <alignment/>
      <protection/>
    </xf>
    <xf numFmtId="173" fontId="57" fillId="0" borderId="0">
      <alignment/>
      <protection/>
    </xf>
    <xf numFmtId="0" fontId="89" fillId="51" borderId="18" applyNumberFormat="0" applyAlignment="0" applyProtection="0"/>
    <xf numFmtId="0" fontId="17" fillId="3" borderId="19" applyNumberFormat="0" applyAlignment="0" applyProtection="0"/>
    <xf numFmtId="0" fontId="58" fillId="3" borderId="19" applyNumberFormat="0" applyAlignment="0" applyProtection="0"/>
    <xf numFmtId="0" fontId="58" fillId="3" borderId="19" applyNumberFormat="0" applyAlignment="0" applyProtection="0"/>
    <xf numFmtId="0" fontId="58" fillId="3" borderId="19" applyNumberFormat="0" applyAlignment="0" applyProtection="0"/>
    <xf numFmtId="0" fontId="59" fillId="3" borderId="19"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5" fontId="3" fillId="0" borderId="0" applyFont="0" applyFill="0" applyBorder="0" applyAlignment="0" applyProtection="0"/>
    <xf numFmtId="15" fontId="3" fillId="0" borderId="0" applyFont="0" applyFill="0" applyBorder="0" applyAlignment="0" applyProtection="0"/>
    <xf numFmtId="15" fontId="3" fillId="0" borderId="0" applyFont="0" applyFill="0" applyBorder="0" applyAlignment="0" applyProtection="0"/>
    <xf numFmtId="15" fontId="3" fillId="0" borderId="0" applyFont="0" applyFill="0" applyBorder="0" applyAlignment="0" applyProtection="0"/>
    <xf numFmtId="15" fontId="3" fillId="0" borderId="0" applyFont="0" applyFill="0" applyBorder="0" applyAlignment="0" applyProtection="0"/>
    <xf numFmtId="15" fontId="3" fillId="0" borderId="0" applyFont="0" applyFill="0" applyBorder="0" applyAlignment="0" applyProtection="0"/>
    <xf numFmtId="15" fontId="3" fillId="0" borderId="0" applyFont="0" applyFill="0" applyBorder="0" applyAlignment="0" applyProtection="0"/>
    <xf numFmtId="15" fontId="3" fillId="0" borderId="0" applyFont="0" applyFill="0" applyBorder="0" applyAlignment="0" applyProtection="0"/>
    <xf numFmtId="15" fontId="3"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0" fontId="4" fillId="0" borderId="20">
      <alignment horizontal="center"/>
      <protection/>
    </xf>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9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8" fillId="0" borderId="0" applyNumberFormat="0" applyFill="0" applyBorder="0" applyAlignment="0" applyProtection="0"/>
    <xf numFmtId="0" fontId="91" fillId="0" borderId="21" applyNumberFormat="0" applyFill="0" applyAlignment="0" applyProtection="0"/>
    <xf numFmtId="0" fontId="19"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2" fillId="0" borderId="23" applyNumberFormat="0" applyFill="0" applyAlignment="0" applyProtection="0"/>
    <xf numFmtId="0" fontId="61" fillId="0" borderId="23" applyNumberFormat="0" applyFill="0" applyAlignment="0" applyProtection="0"/>
    <xf numFmtId="0" fontId="19" fillId="0" borderId="23" applyNumberFormat="0" applyFill="0" applyAlignment="0" applyProtection="0"/>
    <xf numFmtId="0" fontId="92" fillId="0" borderId="0" applyNumberFormat="0" applyFill="0" applyBorder="0" applyAlignment="0" applyProtection="0"/>
    <xf numFmtId="0" fontId="2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135">
    <xf numFmtId="0" fontId="0" fillId="0" borderId="0" xfId="0" applyFont="1" applyAlignment="1">
      <alignment/>
    </xf>
    <xf numFmtId="8" fontId="0" fillId="0" borderId="0" xfId="0" applyNumberFormat="1" applyAlignment="1">
      <alignment/>
    </xf>
    <xf numFmtId="10" fontId="0" fillId="0" borderId="0" xfId="0" applyNumberFormat="1" applyAlignment="1">
      <alignment/>
    </xf>
    <xf numFmtId="43" fontId="0" fillId="0" borderId="0" xfId="0" applyNumberFormat="1" applyAlignment="1">
      <alignment/>
    </xf>
    <xf numFmtId="49" fontId="0" fillId="0" borderId="0" xfId="0" applyNumberFormat="1" applyAlignment="1">
      <alignment/>
    </xf>
    <xf numFmtId="165" fontId="0" fillId="0" borderId="0" xfId="0" applyNumberFormat="1" applyAlignment="1">
      <alignment/>
    </xf>
    <xf numFmtId="5" fontId="0" fillId="0" borderId="0" xfId="0" applyNumberFormat="1" applyAlignment="1">
      <alignment/>
    </xf>
    <xf numFmtId="37"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0" fontId="0" fillId="0" borderId="0" xfId="0" applyAlignment="1">
      <alignment wrapText="1"/>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0" fontId="0" fillId="0" borderId="0" xfId="664" applyNumberFormat="1" applyFont="1" applyAlignment="1">
      <alignment/>
    </xf>
    <xf numFmtId="0" fontId="93" fillId="0" borderId="0" xfId="0" applyFont="1" applyAlignment="1">
      <alignment wrapText="1"/>
    </xf>
    <xf numFmtId="0" fontId="93" fillId="0" borderId="0" xfId="0" applyFont="1" applyAlignment="1">
      <alignment/>
    </xf>
    <xf numFmtId="5" fontId="93" fillId="0" borderId="0" xfId="0" applyNumberFormat="1" applyFont="1" applyAlignment="1">
      <alignment/>
    </xf>
    <xf numFmtId="37" fontId="93" fillId="0" borderId="0" xfId="0" applyNumberFormat="1" applyFont="1" applyAlignment="1">
      <alignment/>
    </xf>
    <xf numFmtId="0" fontId="91" fillId="0" borderId="0" xfId="0" applyFont="1" applyAlignment="1">
      <alignment wrapText="1"/>
    </xf>
    <xf numFmtId="43" fontId="0" fillId="0" borderId="0" xfId="219" applyFont="1" applyAlignment="1">
      <alignment/>
    </xf>
    <xf numFmtId="175" fontId="0" fillId="0" borderId="0" xfId="0" applyNumberFormat="1" applyAlignment="1">
      <alignment/>
    </xf>
    <xf numFmtId="164" fontId="0" fillId="0" borderId="0" xfId="219" applyNumberFormat="1" applyFont="1" applyAlignment="1">
      <alignment/>
    </xf>
    <xf numFmtId="0" fontId="0" fillId="59" borderId="0" xfId="0" applyFill="1" applyAlignment="1">
      <alignment/>
    </xf>
    <xf numFmtId="8" fontId="0" fillId="59" borderId="0" xfId="0" applyNumberFormat="1" applyFill="1" applyAlignment="1">
      <alignment/>
    </xf>
    <xf numFmtId="0" fontId="0" fillId="0" borderId="0" xfId="0" applyFill="1" applyAlignment="1">
      <alignment horizontal="center"/>
    </xf>
    <xf numFmtId="14" fontId="0" fillId="0" borderId="0" xfId="0" applyNumberFormat="1" applyFill="1" applyAlignment="1">
      <alignment/>
    </xf>
    <xf numFmtId="8" fontId="0" fillId="0" borderId="0" xfId="0" applyNumberFormat="1" applyFill="1" applyAlignment="1">
      <alignment/>
    </xf>
    <xf numFmtId="43" fontId="94" fillId="0" borderId="0" xfId="219" applyNumberFormat="1" applyFont="1" applyFill="1" applyAlignment="1">
      <alignment/>
    </xf>
    <xf numFmtId="43" fontId="0" fillId="0" borderId="0" xfId="0" applyNumberFormat="1" applyFill="1" applyAlignment="1">
      <alignment/>
    </xf>
    <xf numFmtId="0" fontId="94" fillId="0" borderId="0" xfId="0" applyFont="1" applyFill="1" applyAlignment="1">
      <alignment/>
    </xf>
    <xf numFmtId="0" fontId="91" fillId="0" borderId="20" xfId="0" applyFont="1" applyFill="1" applyBorder="1" applyAlignment="1">
      <alignment horizontal="center"/>
    </xf>
    <xf numFmtId="164" fontId="0" fillId="60" borderId="0" xfId="219" applyNumberFormat="1" applyFont="1" applyFill="1" applyAlignment="1">
      <alignment wrapText="1"/>
    </xf>
    <xf numFmtId="164" fontId="0" fillId="0" borderId="0" xfId="219" applyNumberFormat="1" applyFont="1" applyAlignment="1">
      <alignment/>
    </xf>
    <xf numFmtId="164" fontId="0" fillId="59" borderId="0" xfId="219" applyNumberFormat="1" applyFont="1" applyFill="1" applyAlignment="1">
      <alignment/>
    </xf>
    <xf numFmtId="164" fontId="0" fillId="61" borderId="0" xfId="219" applyNumberFormat="1" applyFont="1" applyFill="1" applyAlignment="1">
      <alignment/>
    </xf>
    <xf numFmtId="164" fontId="0" fillId="61" borderId="0" xfId="219" applyNumberFormat="1" applyFont="1" applyFill="1" applyAlignment="1">
      <alignment wrapText="1"/>
    </xf>
    <xf numFmtId="164" fontId="0" fillId="0" borderId="0" xfId="219" applyNumberFormat="1" applyFont="1" applyFill="1" applyAlignment="1">
      <alignment wrapText="1"/>
    </xf>
    <xf numFmtId="164" fontId="0" fillId="0" borderId="0" xfId="0" applyNumberFormat="1" applyAlignment="1">
      <alignment/>
    </xf>
    <xf numFmtId="43" fontId="0" fillId="0" borderId="24" xfId="219" applyNumberFormat="1" applyFont="1" applyBorder="1" applyAlignment="1">
      <alignment/>
    </xf>
    <xf numFmtId="43" fontId="0" fillId="0" borderId="0" xfId="219" applyNumberFormat="1" applyFont="1" applyBorder="1" applyAlignment="1">
      <alignment/>
    </xf>
    <xf numFmtId="164" fontId="0" fillId="59" borderId="0" xfId="219" applyNumberFormat="1" applyFont="1" applyFill="1" applyBorder="1" applyAlignment="1">
      <alignment/>
    </xf>
    <xf numFmtId="164" fontId="0" fillId="61" borderId="0" xfId="219" applyNumberFormat="1" applyFont="1" applyFill="1" applyBorder="1" applyAlignment="1">
      <alignment/>
    </xf>
    <xf numFmtId="0" fontId="0" fillId="0" borderId="24" xfId="0" applyBorder="1" applyAlignment="1">
      <alignment/>
    </xf>
    <xf numFmtId="164" fontId="0" fillId="0" borderId="0" xfId="219" applyNumberFormat="1" applyFont="1" applyBorder="1" applyAlignment="1">
      <alignment/>
    </xf>
    <xf numFmtId="176" fontId="0" fillId="0" borderId="0" xfId="0" applyNumberFormat="1" applyAlignment="1">
      <alignment/>
    </xf>
    <xf numFmtId="176" fontId="0" fillId="0" borderId="0" xfId="0" applyNumberFormat="1" applyFill="1" applyAlignment="1">
      <alignment/>
    </xf>
    <xf numFmtId="14" fontId="0" fillId="0" borderId="0" xfId="0" applyNumberFormat="1" applyFill="1" applyAlignment="1" quotePrefix="1">
      <alignment horizontal="right"/>
    </xf>
    <xf numFmtId="0" fontId="0" fillId="0" borderId="0" xfId="0" applyAlignment="1">
      <alignment/>
    </xf>
    <xf numFmtId="164" fontId="0" fillId="0" borderId="0" xfId="219" applyNumberFormat="1" applyFont="1" applyAlignment="1">
      <alignment/>
    </xf>
    <xf numFmtId="0" fontId="0" fillId="59" borderId="0" xfId="0" applyFill="1" applyAlignment="1">
      <alignment/>
    </xf>
    <xf numFmtId="8" fontId="0" fillId="59" borderId="0" xfId="0" applyNumberFormat="1" applyFill="1" applyAlignment="1">
      <alignment/>
    </xf>
    <xf numFmtId="8" fontId="94" fillId="0" borderId="0" xfId="0" applyNumberFormat="1" applyFont="1" applyFill="1" applyAlignment="1">
      <alignment/>
    </xf>
    <xf numFmtId="0" fontId="0" fillId="0" borderId="0" xfId="0" applyFill="1" applyAlignment="1">
      <alignment/>
    </xf>
    <xf numFmtId="43" fontId="0" fillId="0" borderId="0" xfId="219" applyFont="1" applyFill="1" applyAlignment="1">
      <alignment/>
    </xf>
    <xf numFmtId="8" fontId="94" fillId="0" borderId="0" xfId="219" applyNumberFormat="1" applyFont="1" applyFill="1" applyAlignment="1">
      <alignment/>
    </xf>
    <xf numFmtId="0" fontId="0" fillId="0" borderId="0" xfId="0" applyFill="1" applyBorder="1" applyAlignment="1">
      <alignment/>
    </xf>
    <xf numFmtId="0" fontId="0" fillId="0" borderId="0" xfId="0" applyBorder="1" applyAlignment="1">
      <alignment/>
    </xf>
    <xf numFmtId="164" fontId="0" fillId="59" borderId="0" xfId="219" applyNumberFormat="1" applyFont="1" applyFill="1" applyAlignment="1">
      <alignment/>
    </xf>
    <xf numFmtId="164" fontId="0" fillId="0" borderId="24" xfId="219" applyNumberFormat="1" applyFont="1" applyBorder="1" applyAlignment="1">
      <alignment/>
    </xf>
    <xf numFmtId="164" fontId="0" fillId="59" borderId="24" xfId="219" applyNumberFormat="1" applyFont="1" applyFill="1" applyBorder="1" applyAlignment="1">
      <alignment/>
    </xf>
    <xf numFmtId="164" fontId="0" fillId="61" borderId="24" xfId="219" applyNumberFormat="1" applyFont="1" applyFill="1" applyBorder="1" applyAlignment="1">
      <alignment/>
    </xf>
    <xf numFmtId="176" fontId="0" fillId="0" borderId="24" xfId="0" applyNumberFormat="1" applyFill="1" applyBorder="1" applyAlignment="1">
      <alignment/>
    </xf>
    <xf numFmtId="8" fontId="94" fillId="0" borderId="24" xfId="219" applyNumberFormat="1" applyFont="1" applyFill="1" applyBorder="1" applyAlignment="1">
      <alignment/>
    </xf>
    <xf numFmtId="164" fontId="0" fillId="0" borderId="24" xfId="0" applyNumberFormat="1" applyBorder="1" applyAlignment="1">
      <alignment/>
    </xf>
    <xf numFmtId="164" fontId="91" fillId="0" borderId="0" xfId="219" applyNumberFormat="1" applyFont="1" applyBorder="1" applyAlignment="1">
      <alignment/>
    </xf>
    <xf numFmtId="177" fontId="0" fillId="0" borderId="0" xfId="0" applyNumberFormat="1" applyFill="1" applyAlignment="1">
      <alignment/>
    </xf>
    <xf numFmtId="167" fontId="0" fillId="0" borderId="0" xfId="664" applyNumberFormat="1" applyFont="1" applyFill="1" applyAlignment="1">
      <alignment/>
    </xf>
    <xf numFmtId="0" fontId="69" fillId="0" borderId="0" xfId="0" applyFont="1" applyFill="1" applyAlignment="1">
      <alignment/>
    </xf>
    <xf numFmtId="0" fontId="70" fillId="0" borderId="0" xfId="0" applyFont="1" applyFill="1" applyAlignment="1">
      <alignment/>
    </xf>
    <xf numFmtId="174" fontId="0" fillId="0" borderId="0" xfId="219" applyNumberFormat="1" applyFont="1" applyFill="1" applyAlignment="1">
      <alignment horizontal="center"/>
    </xf>
    <xf numFmtId="167" fontId="0" fillId="0" borderId="0" xfId="664" applyNumberFormat="1" applyFont="1" applyFill="1" applyAlignment="1">
      <alignment horizontal="center"/>
    </xf>
    <xf numFmtId="0" fontId="91" fillId="0" borderId="0" xfId="0" applyFont="1" applyFill="1" applyBorder="1" applyAlignment="1">
      <alignment horizontal="center"/>
    </xf>
    <xf numFmtId="0" fontId="70" fillId="0" borderId="0" xfId="0" applyFont="1" applyFill="1" applyAlignment="1">
      <alignment horizontal="center" wrapText="1"/>
    </xf>
    <xf numFmtId="44" fontId="0" fillId="0" borderId="0" xfId="370" applyFont="1" applyFill="1" applyAlignment="1">
      <alignment/>
    </xf>
    <xf numFmtId="44" fontId="0" fillId="0" borderId="0" xfId="0" applyNumberFormat="1" applyFill="1" applyAlignment="1">
      <alignment/>
    </xf>
    <xf numFmtId="6" fontId="94" fillId="0" borderId="0" xfId="0" applyNumberFormat="1" applyFont="1" applyFill="1" applyAlignment="1">
      <alignment/>
    </xf>
    <xf numFmtId="6" fontId="94" fillId="0" borderId="0" xfId="0" applyNumberFormat="1" applyFont="1" applyFill="1" applyAlignment="1">
      <alignment horizontal="center"/>
    </xf>
    <xf numFmtId="6" fontId="70" fillId="0" borderId="0" xfId="0" applyNumberFormat="1" applyFont="1" applyFill="1" applyAlignment="1">
      <alignment horizontal="center" wrapText="1"/>
    </xf>
    <xf numFmtId="6" fontId="94" fillId="0" borderId="0" xfId="219" applyNumberFormat="1" applyFont="1" applyFill="1" applyAlignment="1">
      <alignment/>
    </xf>
    <xf numFmtId="43" fontId="0" fillId="0" borderId="24" xfId="219" applyFont="1" applyFill="1" applyBorder="1" applyAlignment="1">
      <alignment/>
    </xf>
    <xf numFmtId="0" fontId="0" fillId="59" borderId="24" xfId="0" applyFill="1" applyBorder="1" applyAlignment="1">
      <alignment horizontal="center"/>
    </xf>
    <xf numFmtId="178" fontId="95" fillId="61" borderId="25" xfId="370" applyNumberFormat="1" applyFont="1" applyFill="1" applyBorder="1" applyAlignment="1">
      <alignment/>
    </xf>
    <xf numFmtId="0" fontId="95" fillId="61" borderId="26" xfId="0" applyFont="1" applyFill="1" applyBorder="1" applyAlignment="1">
      <alignment/>
    </xf>
    <xf numFmtId="178" fontId="96" fillId="61" borderId="27" xfId="370" applyNumberFormat="1" applyFont="1" applyFill="1" applyBorder="1" applyAlignment="1">
      <alignment/>
    </xf>
    <xf numFmtId="0" fontId="96" fillId="61" borderId="28" xfId="0" applyFont="1" applyFill="1" applyBorder="1" applyAlignment="1">
      <alignment/>
    </xf>
    <xf numFmtId="178" fontId="95" fillId="61" borderId="29" xfId="370" applyNumberFormat="1" applyFont="1" applyFill="1" applyBorder="1" applyAlignment="1">
      <alignment/>
    </xf>
    <xf numFmtId="0" fontId="95" fillId="61" borderId="30" xfId="0" applyFont="1" applyFill="1" applyBorder="1" applyAlignment="1">
      <alignment/>
    </xf>
    <xf numFmtId="178" fontId="95" fillId="61" borderId="27" xfId="370" applyNumberFormat="1" applyFont="1" applyFill="1" applyBorder="1" applyAlignment="1">
      <alignment/>
    </xf>
    <xf numFmtId="0" fontId="95" fillId="61" borderId="28" xfId="0" applyFont="1" applyFill="1" applyBorder="1" applyAlignment="1">
      <alignment/>
    </xf>
    <xf numFmtId="0" fontId="95" fillId="61" borderId="31" xfId="0" applyFont="1" applyFill="1" applyBorder="1" applyAlignment="1">
      <alignment/>
    </xf>
    <xf numFmtId="0" fontId="95" fillId="61" borderId="32" xfId="0" applyFont="1" applyFill="1" applyBorder="1" applyAlignment="1">
      <alignment/>
    </xf>
    <xf numFmtId="0" fontId="0" fillId="61" borderId="33" xfId="0" applyFill="1" applyBorder="1" applyAlignment="1">
      <alignment/>
    </xf>
    <xf numFmtId="0" fontId="0" fillId="61" borderId="28" xfId="0" applyFill="1" applyBorder="1" applyAlignment="1">
      <alignment/>
    </xf>
    <xf numFmtId="0" fontId="0" fillId="61" borderId="0" xfId="0" applyFill="1" applyAlignment="1">
      <alignment/>
    </xf>
    <xf numFmtId="8" fontId="94" fillId="0" borderId="0" xfId="0" applyNumberFormat="1" applyFont="1" applyFill="1" applyAlignment="1">
      <alignment/>
    </xf>
    <xf numFmtId="0" fontId="0" fillId="0" borderId="0" xfId="0" applyFill="1" applyAlignment="1">
      <alignment horizontal="center"/>
    </xf>
    <xf numFmtId="0" fontId="0" fillId="0" borderId="0" xfId="0" applyFill="1" applyAlignment="1">
      <alignment/>
    </xf>
    <xf numFmtId="43" fontId="0" fillId="0" borderId="0" xfId="219" applyFont="1" applyFill="1" applyAlignment="1">
      <alignment/>
    </xf>
    <xf numFmtId="14" fontId="0" fillId="0" borderId="0" xfId="0" applyNumberFormat="1" applyFill="1" applyAlignment="1">
      <alignment/>
    </xf>
    <xf numFmtId="43" fontId="94" fillId="0" borderId="0" xfId="219" applyNumberFormat="1" applyFont="1" applyFill="1" applyAlignment="1">
      <alignment/>
    </xf>
    <xf numFmtId="8" fontId="94" fillId="0" borderId="0" xfId="219" applyNumberFormat="1" applyFont="1" applyFill="1" applyAlignment="1">
      <alignment/>
    </xf>
    <xf numFmtId="0" fontId="0" fillId="0" borderId="0" xfId="0" applyFill="1" applyBorder="1" applyAlignment="1">
      <alignment/>
    </xf>
    <xf numFmtId="0" fontId="94" fillId="0" borderId="0" xfId="0" applyFont="1" applyFill="1" applyAlignment="1">
      <alignment/>
    </xf>
    <xf numFmtId="8" fontId="0" fillId="0" borderId="24" xfId="0" applyNumberFormat="1" applyFill="1" applyBorder="1" applyAlignment="1">
      <alignment/>
    </xf>
    <xf numFmtId="43" fontId="0" fillId="0" borderId="24" xfId="0" applyNumberFormat="1" applyFill="1" applyBorder="1" applyAlignment="1">
      <alignment/>
    </xf>
    <xf numFmtId="8" fontId="0" fillId="0" borderId="0" xfId="0" applyNumberFormat="1" applyFill="1" applyAlignment="1">
      <alignment/>
    </xf>
    <xf numFmtId="43" fontId="0" fillId="0" borderId="0" xfId="0" applyNumberFormat="1" applyFill="1" applyAlignment="1">
      <alignment/>
    </xf>
    <xf numFmtId="167" fontId="0" fillId="0" borderId="0" xfId="664" applyNumberFormat="1" applyFont="1" applyFill="1" applyAlignment="1">
      <alignment/>
    </xf>
    <xf numFmtId="0" fontId="69" fillId="0" borderId="0" xfId="0" applyFont="1" applyFill="1" applyAlignment="1">
      <alignment/>
    </xf>
    <xf numFmtId="0" fontId="70" fillId="0" borderId="0" xfId="0" applyFont="1" applyFill="1" applyAlignment="1">
      <alignment/>
    </xf>
    <xf numFmtId="174" fontId="0" fillId="0" borderId="0" xfId="219" applyNumberFormat="1" applyFont="1" applyFill="1" applyAlignment="1">
      <alignment horizontal="center"/>
    </xf>
    <xf numFmtId="167" fontId="0" fillId="0" borderId="0" xfId="664" applyNumberFormat="1" applyFont="1" applyFill="1" applyAlignment="1">
      <alignment horizontal="center"/>
    </xf>
    <xf numFmtId="0" fontId="91" fillId="0" borderId="0" xfId="0" applyFont="1" applyFill="1" applyBorder="1" applyAlignment="1">
      <alignment horizontal="center"/>
    </xf>
    <xf numFmtId="0" fontId="94" fillId="0" borderId="0" xfId="0" applyFont="1" applyFill="1" applyAlignment="1">
      <alignment horizontal="center"/>
    </xf>
    <xf numFmtId="0" fontId="70" fillId="0" borderId="0" xfId="0" applyFont="1" applyFill="1" applyAlignment="1">
      <alignment horizontal="center" wrapText="1"/>
    </xf>
    <xf numFmtId="43" fontId="94" fillId="0" borderId="0" xfId="0" applyNumberFormat="1" applyFont="1" applyFill="1" applyAlignment="1">
      <alignment/>
    </xf>
    <xf numFmtId="0" fontId="0" fillId="0" borderId="0" xfId="0" applyFill="1" applyAlignment="1">
      <alignment horizontal="center" wrapText="1"/>
    </xf>
    <xf numFmtId="176" fontId="0" fillId="0" borderId="0" xfId="0" applyNumberFormat="1" applyFill="1" applyAlignment="1" quotePrefix="1">
      <alignment/>
    </xf>
    <xf numFmtId="0" fontId="0" fillId="0" borderId="0" xfId="0" applyAlignment="1">
      <alignment horizontal="center"/>
    </xf>
    <xf numFmtId="0" fontId="0" fillId="0" borderId="0" xfId="0" applyAlignment="1">
      <alignment horizontal="center" wrapText="1"/>
    </xf>
    <xf numFmtId="0" fontId="97" fillId="61" borderId="34" xfId="0" applyFont="1" applyFill="1" applyBorder="1" applyAlignment="1">
      <alignment horizontal="center" vertical="center"/>
    </xf>
    <xf numFmtId="0" fontId="97" fillId="61" borderId="35" xfId="0" applyFont="1" applyFill="1" applyBorder="1" applyAlignment="1">
      <alignment horizontal="center" vertical="center"/>
    </xf>
    <xf numFmtId="0" fontId="0" fillId="0" borderId="24" xfId="0" applyBorder="1" applyAlignment="1">
      <alignment horizontal="center"/>
    </xf>
    <xf numFmtId="0" fontId="91" fillId="0" borderId="0" xfId="0" applyFont="1" applyAlignment="1">
      <alignment horizontal="center"/>
    </xf>
    <xf numFmtId="0" fontId="0" fillId="0" borderId="0" xfId="0" applyAlignment="1">
      <alignment horizontal="left" wrapText="1"/>
    </xf>
    <xf numFmtId="0" fontId="91" fillId="0" borderId="0" xfId="0" applyFont="1" applyFill="1" applyBorder="1" applyAlignment="1">
      <alignment horizontal="center"/>
    </xf>
    <xf numFmtId="0" fontId="91" fillId="0" borderId="0" xfId="0" applyFont="1" applyFill="1" applyAlignment="1">
      <alignment horizontal="center"/>
    </xf>
    <xf numFmtId="0" fontId="91" fillId="0" borderId="24" xfId="0" applyFont="1" applyFill="1" applyBorder="1" applyAlignment="1">
      <alignment horizontal="center"/>
    </xf>
    <xf numFmtId="0" fontId="98" fillId="0" borderId="0" xfId="0" applyFont="1" applyAlignment="1">
      <alignment horizontal="left" vertical="center" wrapText="1"/>
    </xf>
    <xf numFmtId="0" fontId="70" fillId="0" borderId="36" xfId="0" applyFont="1" applyFill="1" applyBorder="1" applyAlignment="1">
      <alignment horizontal="center" vertical="top" wrapText="1"/>
    </xf>
    <xf numFmtId="0" fontId="70" fillId="0" borderId="37" xfId="0" applyFont="1" applyFill="1" applyBorder="1" applyAlignment="1">
      <alignment horizontal="center" vertical="top" wrapText="1"/>
    </xf>
    <xf numFmtId="0" fontId="70" fillId="0" borderId="38" xfId="0" applyFont="1" applyFill="1" applyBorder="1" applyAlignment="1">
      <alignment horizontal="center" vertical="top" wrapText="1"/>
    </xf>
    <xf numFmtId="0" fontId="91" fillId="0" borderId="0" xfId="0" applyFont="1" applyAlignment="1">
      <alignment/>
    </xf>
  </cellXfs>
  <cellStyles count="768">
    <cellStyle name="Normal" xfId="0"/>
    <cellStyle name="20% - Accent1" xfId="15"/>
    <cellStyle name="20% - Accent1 2" xfId="16"/>
    <cellStyle name="20% - Accent1 2 2" xfId="17"/>
    <cellStyle name="20% - Accent1 3" xfId="18"/>
    <cellStyle name="20% - Accent1 4" xfId="19"/>
    <cellStyle name="20% - Accent1 5" xfId="20"/>
    <cellStyle name="20% - Accent1 6" xfId="21"/>
    <cellStyle name="20% - Accent1 7" xfId="22"/>
    <cellStyle name="20% - Accent1 8" xfId="23"/>
    <cellStyle name="20% - Accent2" xfId="24"/>
    <cellStyle name="20% - Accent2 2" xfId="25"/>
    <cellStyle name="20% - Accent2 2 2" xfId="26"/>
    <cellStyle name="20% - Accent2 3" xfId="27"/>
    <cellStyle name="20% - Accent2 4" xfId="28"/>
    <cellStyle name="20% - Accent2 5" xfId="29"/>
    <cellStyle name="20% - Accent2 6" xfId="30"/>
    <cellStyle name="20% - Accent3" xfId="31"/>
    <cellStyle name="20% - Accent3 2" xfId="32"/>
    <cellStyle name="20% - Accent3 2 2" xfId="33"/>
    <cellStyle name="20% - Accent3 3" xfId="34"/>
    <cellStyle name="20% - Accent3 4" xfId="35"/>
    <cellStyle name="20% - Accent3 5" xfId="36"/>
    <cellStyle name="20% - Accent3 6" xfId="37"/>
    <cellStyle name="20% - Accent3 7" xfId="38"/>
    <cellStyle name="20% - Accent3 8" xfId="39"/>
    <cellStyle name="20% - Accent4" xfId="40"/>
    <cellStyle name="20% - Accent4 2" xfId="41"/>
    <cellStyle name="20% - Accent4 2 2" xfId="42"/>
    <cellStyle name="20% - Accent4 3" xfId="43"/>
    <cellStyle name="20% - Accent4 4" xfId="44"/>
    <cellStyle name="20% - Accent4 5" xfId="45"/>
    <cellStyle name="20% - Accent4 6" xfId="46"/>
    <cellStyle name="20% - Accent4 7" xfId="47"/>
    <cellStyle name="20% - Accent4 8" xfId="48"/>
    <cellStyle name="20% - Accent5" xfId="49"/>
    <cellStyle name="20% - Accent5 2" xfId="50"/>
    <cellStyle name="20% - Accent5 2 2" xfId="51"/>
    <cellStyle name="20% - Accent5 3" xfId="52"/>
    <cellStyle name="20% - Accent5 4" xfId="53"/>
    <cellStyle name="20% - Accent5 5" xfId="54"/>
    <cellStyle name="20% - Accent5 6" xfId="55"/>
    <cellStyle name="20% - Accent6" xfId="56"/>
    <cellStyle name="20% - Accent6 2" xfId="57"/>
    <cellStyle name="20% - Accent6 2 2" xfId="58"/>
    <cellStyle name="20% - Accent6 3" xfId="59"/>
    <cellStyle name="20% - Accent6 4" xfId="60"/>
    <cellStyle name="20% - Accent6 5" xfId="61"/>
    <cellStyle name="20% - Accent6 6" xfId="62"/>
    <cellStyle name="40% - Accent1" xfId="63"/>
    <cellStyle name="40% - Accent1 2" xfId="64"/>
    <cellStyle name="40% - Accent1 2 2" xfId="65"/>
    <cellStyle name="40% - Accent1 3" xfId="66"/>
    <cellStyle name="40% - Accent1 4" xfId="67"/>
    <cellStyle name="40% - Accent1 5" xfId="68"/>
    <cellStyle name="40% - Accent1 6" xfId="69"/>
    <cellStyle name="40% - Accent1 7" xfId="70"/>
    <cellStyle name="40% - Accent1 8" xfId="71"/>
    <cellStyle name="40% - Accent2" xfId="72"/>
    <cellStyle name="40% - Accent2 2" xfId="73"/>
    <cellStyle name="40% - Accent2 2 2" xfId="74"/>
    <cellStyle name="40% - Accent2 3" xfId="75"/>
    <cellStyle name="40% - Accent2 4" xfId="76"/>
    <cellStyle name="40% - Accent2 5" xfId="77"/>
    <cellStyle name="40% - Accent2 6" xfId="78"/>
    <cellStyle name="40% - Accent3" xfId="79"/>
    <cellStyle name="40% - Accent3 2" xfId="80"/>
    <cellStyle name="40% - Accent3 2 2" xfId="81"/>
    <cellStyle name="40% - Accent3 3" xfId="82"/>
    <cellStyle name="40% - Accent3 4" xfId="83"/>
    <cellStyle name="40% - Accent3 5" xfId="84"/>
    <cellStyle name="40% - Accent3 6" xfId="85"/>
    <cellStyle name="40% - Accent3 7" xfId="86"/>
    <cellStyle name="40% - Accent3 8" xfId="87"/>
    <cellStyle name="40% - Accent4" xfId="88"/>
    <cellStyle name="40% - Accent4 2" xfId="89"/>
    <cellStyle name="40% - Accent4 2 2" xfId="90"/>
    <cellStyle name="40% - Accent4 3" xfId="91"/>
    <cellStyle name="40% - Accent4 4" xfId="92"/>
    <cellStyle name="40% - Accent4 5" xfId="93"/>
    <cellStyle name="40% - Accent4 6" xfId="94"/>
    <cellStyle name="40% - Accent4 7" xfId="95"/>
    <cellStyle name="40% - Accent4 8" xfId="96"/>
    <cellStyle name="40% - Accent5" xfId="97"/>
    <cellStyle name="40% - Accent5 2" xfId="98"/>
    <cellStyle name="40% - Accent5 2 2" xfId="99"/>
    <cellStyle name="40% - Accent5 3" xfId="100"/>
    <cellStyle name="40% - Accent5 4" xfId="101"/>
    <cellStyle name="40% - Accent5 5" xfId="102"/>
    <cellStyle name="40% - Accent5 6" xfId="103"/>
    <cellStyle name="40% - Accent6" xfId="104"/>
    <cellStyle name="40% - Accent6 2" xfId="105"/>
    <cellStyle name="40% - Accent6 2 2" xfId="106"/>
    <cellStyle name="40% - Accent6 3" xfId="107"/>
    <cellStyle name="40% - Accent6 4" xfId="108"/>
    <cellStyle name="40% - Accent6 5" xfId="109"/>
    <cellStyle name="40% - Accent6 6" xfId="110"/>
    <cellStyle name="40% - Accent6 7" xfId="111"/>
    <cellStyle name="40% - Accent6 8" xfId="112"/>
    <cellStyle name="60% - Accent1" xfId="113"/>
    <cellStyle name="60% - Accent1 2" xfId="114"/>
    <cellStyle name="60% - Accent1 3" xfId="115"/>
    <cellStyle name="60% - Accent1 4" xfId="116"/>
    <cellStyle name="60% - Accent1 5" xfId="117"/>
    <cellStyle name="60% - Accent1 6" xfId="118"/>
    <cellStyle name="60% - Accent1 7" xfId="119"/>
    <cellStyle name="60% - Accent1 8" xfId="120"/>
    <cellStyle name="60% - Accent2" xfId="121"/>
    <cellStyle name="60% - Accent2 2" xfId="122"/>
    <cellStyle name="60% - Accent2 3" xfId="123"/>
    <cellStyle name="60% - Accent2 4" xfId="124"/>
    <cellStyle name="60% - Accent2 5" xfId="125"/>
    <cellStyle name="60% - Accent2 6" xfId="126"/>
    <cellStyle name="60% - Accent3" xfId="127"/>
    <cellStyle name="60% - Accent3 2" xfId="128"/>
    <cellStyle name="60% - Accent3 3" xfId="129"/>
    <cellStyle name="60% - Accent3 4" xfId="130"/>
    <cellStyle name="60% - Accent3 5" xfId="131"/>
    <cellStyle name="60% - Accent3 6" xfId="132"/>
    <cellStyle name="60% - Accent3 7" xfId="133"/>
    <cellStyle name="60% - Accent3 8" xfId="134"/>
    <cellStyle name="60% - Accent4" xfId="135"/>
    <cellStyle name="60% - Accent4 2" xfId="136"/>
    <cellStyle name="60% - Accent4 3" xfId="137"/>
    <cellStyle name="60% - Accent4 4" xfId="138"/>
    <cellStyle name="60% - Accent4 5" xfId="139"/>
    <cellStyle name="60% - Accent4 6" xfId="140"/>
    <cellStyle name="60% - Accent4 7" xfId="141"/>
    <cellStyle name="60% - Accent4 8" xfId="142"/>
    <cellStyle name="60% - Accent5" xfId="143"/>
    <cellStyle name="60% - Accent5 2" xfId="144"/>
    <cellStyle name="60% - Accent5 3" xfId="145"/>
    <cellStyle name="60% - Accent5 4" xfId="146"/>
    <cellStyle name="60% - Accent5 5" xfId="147"/>
    <cellStyle name="60% - Accent5 6" xfId="148"/>
    <cellStyle name="60% - Accent6" xfId="149"/>
    <cellStyle name="60% - Accent6 2" xfId="150"/>
    <cellStyle name="60% - Accent6 3" xfId="151"/>
    <cellStyle name="60% - Accent6 4" xfId="152"/>
    <cellStyle name="60% - Accent6 5" xfId="153"/>
    <cellStyle name="60% - Accent6 6" xfId="154"/>
    <cellStyle name="60% - Accent6 7" xfId="155"/>
    <cellStyle name="60% - Accent6 8" xfId="156"/>
    <cellStyle name="Accent1" xfId="157"/>
    <cellStyle name="Accent1 2" xfId="158"/>
    <cellStyle name="Accent1 3" xfId="159"/>
    <cellStyle name="Accent1 4" xfId="160"/>
    <cellStyle name="Accent1 5" xfId="161"/>
    <cellStyle name="Accent1 6" xfId="162"/>
    <cellStyle name="Accent1 7" xfId="163"/>
    <cellStyle name="Accent1 8" xfId="164"/>
    <cellStyle name="Accent2" xfId="165"/>
    <cellStyle name="Accent2 2" xfId="166"/>
    <cellStyle name="Accent2 3" xfId="167"/>
    <cellStyle name="Accent2 4" xfId="168"/>
    <cellStyle name="Accent2 5" xfId="169"/>
    <cellStyle name="Accent2 6" xfId="170"/>
    <cellStyle name="Accent3" xfId="171"/>
    <cellStyle name="Accent3 2" xfId="172"/>
    <cellStyle name="Accent3 3" xfId="173"/>
    <cellStyle name="Accent3 4" xfId="174"/>
    <cellStyle name="Accent3 5" xfId="175"/>
    <cellStyle name="Accent3 6" xfId="176"/>
    <cellStyle name="Accent4" xfId="177"/>
    <cellStyle name="Accent4 2" xfId="178"/>
    <cellStyle name="Accent4 3" xfId="179"/>
    <cellStyle name="Accent4 4" xfId="180"/>
    <cellStyle name="Accent4 5" xfId="181"/>
    <cellStyle name="Accent4 6" xfId="182"/>
    <cellStyle name="Accent4 7" xfId="183"/>
    <cellStyle name="Accent4 8" xfId="184"/>
    <cellStyle name="Accent5" xfId="185"/>
    <cellStyle name="Accent5 2" xfId="186"/>
    <cellStyle name="Accent5 3" xfId="187"/>
    <cellStyle name="Accent5 4" xfId="188"/>
    <cellStyle name="Accent5 5" xfId="189"/>
    <cellStyle name="Accent5 6" xfId="190"/>
    <cellStyle name="Accent6" xfId="191"/>
    <cellStyle name="Accent6 2" xfId="192"/>
    <cellStyle name="Accent6 3" xfId="193"/>
    <cellStyle name="Accent6 4" xfId="194"/>
    <cellStyle name="Accent6 5" xfId="195"/>
    <cellStyle name="Accent6 6" xfId="196"/>
    <cellStyle name="Bad" xfId="197"/>
    <cellStyle name="Bad 2" xfId="198"/>
    <cellStyle name="Bad 3" xfId="199"/>
    <cellStyle name="Bad 4" xfId="200"/>
    <cellStyle name="Bad 5" xfId="201"/>
    <cellStyle name="Bad 6" xfId="202"/>
    <cellStyle name="Bad 7" xfId="203"/>
    <cellStyle name="Bad 8" xfId="204"/>
    <cellStyle name="Calculation" xfId="205"/>
    <cellStyle name="Calculation 2" xfId="206"/>
    <cellStyle name="Calculation 3" xfId="207"/>
    <cellStyle name="Calculation 4" xfId="208"/>
    <cellStyle name="Calculation 5" xfId="209"/>
    <cellStyle name="Calculation 6" xfId="210"/>
    <cellStyle name="Check Cell" xfId="211"/>
    <cellStyle name="Check Cell 2" xfId="212"/>
    <cellStyle name="Check Cell 3" xfId="213"/>
    <cellStyle name="Check Cell 4" xfId="214"/>
    <cellStyle name="Check Cell 5" xfId="215"/>
    <cellStyle name="Check Cell 6" xfId="216"/>
    <cellStyle name="Check Cell 7" xfId="217"/>
    <cellStyle name="Check Cell 8" xfId="218"/>
    <cellStyle name="Comma" xfId="219"/>
    <cellStyle name="Comma [0]" xfId="220"/>
    <cellStyle name="Comma 10" xfId="221"/>
    <cellStyle name="Comma 11" xfId="222"/>
    <cellStyle name="Comma 12" xfId="223"/>
    <cellStyle name="Comma 13" xfId="224"/>
    <cellStyle name="Comma 14" xfId="225"/>
    <cellStyle name="Comma 15" xfId="226"/>
    <cellStyle name="Comma 16" xfId="227"/>
    <cellStyle name="Comma 17" xfId="228"/>
    <cellStyle name="Comma 17 2" xfId="229"/>
    <cellStyle name="Comma 17 2 2" xfId="230"/>
    <cellStyle name="Comma 17 2 2 2" xfId="231"/>
    <cellStyle name="Comma 17 2 3" xfId="232"/>
    <cellStyle name="Comma 17 3" xfId="233"/>
    <cellStyle name="Comma 17 3 2" xfId="234"/>
    <cellStyle name="Comma 17 3 2 2" xfId="235"/>
    <cellStyle name="Comma 17 3 3" xfId="236"/>
    <cellStyle name="Comma 17 4" xfId="237"/>
    <cellStyle name="Comma 17 4 2" xfId="238"/>
    <cellStyle name="Comma 17 5" xfId="239"/>
    <cellStyle name="Comma 18" xfId="240"/>
    <cellStyle name="Comma 19" xfId="241"/>
    <cellStyle name="Comma 2" xfId="242"/>
    <cellStyle name="Comma 2 2" xfId="243"/>
    <cellStyle name="Comma 2 2 2" xfId="244"/>
    <cellStyle name="Comma 2 2 3" xfId="245"/>
    <cellStyle name="Comma 2 3" xfId="246"/>
    <cellStyle name="Comma 2 4" xfId="247"/>
    <cellStyle name="Comma 2 5" xfId="248"/>
    <cellStyle name="Comma 2_Allocators" xfId="249"/>
    <cellStyle name="Comma 20" xfId="250"/>
    <cellStyle name="Comma 20 2" xfId="251"/>
    <cellStyle name="Comma 20 2 2" xfId="252"/>
    <cellStyle name="Comma 20 2 2 2" xfId="253"/>
    <cellStyle name="Comma 20 2 3" xfId="254"/>
    <cellStyle name="Comma 20 3" xfId="255"/>
    <cellStyle name="Comma 20 3 2" xfId="256"/>
    <cellStyle name="Comma 20 3 2 2" xfId="257"/>
    <cellStyle name="Comma 20 3 3" xfId="258"/>
    <cellStyle name="Comma 20 4" xfId="259"/>
    <cellStyle name="Comma 20 4 2" xfId="260"/>
    <cellStyle name="Comma 20 5" xfId="261"/>
    <cellStyle name="Comma 21" xfId="262"/>
    <cellStyle name="Comma 3" xfId="263"/>
    <cellStyle name="Comma 3 10" xfId="264"/>
    <cellStyle name="Comma 3 10 2" xfId="265"/>
    <cellStyle name="Comma 3 10 2 2" xfId="266"/>
    <cellStyle name="Comma 3 10 2 2 2" xfId="267"/>
    <cellStyle name="Comma 3 10 2 3" xfId="268"/>
    <cellStyle name="Comma 3 10 3" xfId="269"/>
    <cellStyle name="Comma 3 10 3 2" xfId="270"/>
    <cellStyle name="Comma 3 10 3 2 2" xfId="271"/>
    <cellStyle name="Comma 3 10 3 3" xfId="272"/>
    <cellStyle name="Comma 3 10 4" xfId="273"/>
    <cellStyle name="Comma 3 10 4 2" xfId="274"/>
    <cellStyle name="Comma 3 10 5" xfId="275"/>
    <cellStyle name="Comma 3 11" xfId="276"/>
    <cellStyle name="Comma 3 12" xfId="277"/>
    <cellStyle name="Comma 3 12 2" xfId="278"/>
    <cellStyle name="Comma 3 12 2 2" xfId="279"/>
    <cellStyle name="Comma 3 12 3" xfId="280"/>
    <cellStyle name="Comma 3 13" xfId="281"/>
    <cellStyle name="Comma 3 2" xfId="282"/>
    <cellStyle name="Comma 3 3" xfId="283"/>
    <cellStyle name="Comma 3 4" xfId="284"/>
    <cellStyle name="Comma 3 4 2" xfId="285"/>
    <cellStyle name="Comma 3 4 2 2" xfId="286"/>
    <cellStyle name="Comma 3 4 2 2 2" xfId="287"/>
    <cellStyle name="Comma 3 4 2 3" xfId="288"/>
    <cellStyle name="Comma 3 4 3" xfId="289"/>
    <cellStyle name="Comma 3 4 3 2" xfId="290"/>
    <cellStyle name="Comma 3 4 3 2 2" xfId="291"/>
    <cellStyle name="Comma 3 4 3 3" xfId="292"/>
    <cellStyle name="Comma 3 4 4" xfId="293"/>
    <cellStyle name="Comma 3 4 4 2" xfId="294"/>
    <cellStyle name="Comma 3 4 5" xfId="295"/>
    <cellStyle name="Comma 3 5" xfId="296"/>
    <cellStyle name="Comma 3 5 2" xfId="297"/>
    <cellStyle name="Comma 3 5 2 2" xfId="298"/>
    <cellStyle name="Comma 3 5 2 2 2" xfId="299"/>
    <cellStyle name="Comma 3 5 2 3" xfId="300"/>
    <cellStyle name="Comma 3 5 3" xfId="301"/>
    <cellStyle name="Comma 3 5 3 2" xfId="302"/>
    <cellStyle name="Comma 3 5 3 2 2" xfId="303"/>
    <cellStyle name="Comma 3 5 3 3" xfId="304"/>
    <cellStyle name="Comma 3 5 4" xfId="305"/>
    <cellStyle name="Comma 3 5 4 2" xfId="306"/>
    <cellStyle name="Comma 3 5 5" xfId="307"/>
    <cellStyle name="Comma 3 6" xfId="308"/>
    <cellStyle name="Comma 3 6 2" xfId="309"/>
    <cellStyle name="Comma 3 6 2 2" xfId="310"/>
    <cellStyle name="Comma 3 6 2 2 2" xfId="311"/>
    <cellStyle name="Comma 3 6 2 3" xfId="312"/>
    <cellStyle name="Comma 3 6 3" xfId="313"/>
    <cellStyle name="Comma 3 6 3 2" xfId="314"/>
    <cellStyle name="Comma 3 6 3 2 2" xfId="315"/>
    <cellStyle name="Comma 3 6 3 3" xfId="316"/>
    <cellStyle name="Comma 3 6 4" xfId="317"/>
    <cellStyle name="Comma 3 6 4 2" xfId="318"/>
    <cellStyle name="Comma 3 6 5" xfId="319"/>
    <cellStyle name="Comma 3 7" xfId="320"/>
    <cellStyle name="Comma 3 7 2" xfId="321"/>
    <cellStyle name="Comma 3 7 2 2" xfId="322"/>
    <cellStyle name="Comma 3 7 2 2 2" xfId="323"/>
    <cellStyle name="Comma 3 7 2 3" xfId="324"/>
    <cellStyle name="Comma 3 7 3" xfId="325"/>
    <cellStyle name="Comma 3 7 3 2" xfId="326"/>
    <cellStyle name="Comma 3 7 3 2 2" xfId="327"/>
    <cellStyle name="Comma 3 7 3 3" xfId="328"/>
    <cellStyle name="Comma 3 7 4" xfId="329"/>
    <cellStyle name="Comma 3 7 4 2" xfId="330"/>
    <cellStyle name="Comma 3 7 5" xfId="331"/>
    <cellStyle name="Comma 3 8" xfId="332"/>
    <cellStyle name="Comma 3 8 2" xfId="333"/>
    <cellStyle name="Comma 3 8 2 2" xfId="334"/>
    <cellStyle name="Comma 3 8 2 2 2" xfId="335"/>
    <cellStyle name="Comma 3 8 2 3" xfId="336"/>
    <cellStyle name="Comma 3 8 3" xfId="337"/>
    <cellStyle name="Comma 3 8 3 2" xfId="338"/>
    <cellStyle name="Comma 3 8 3 2 2" xfId="339"/>
    <cellStyle name="Comma 3 8 3 3" xfId="340"/>
    <cellStyle name="Comma 3 8 4" xfId="341"/>
    <cellStyle name="Comma 3 8 4 2" xfId="342"/>
    <cellStyle name="Comma 3 8 5" xfId="343"/>
    <cellStyle name="Comma 3 9" xfId="344"/>
    <cellStyle name="Comma 3 9 2" xfId="345"/>
    <cellStyle name="Comma 3 9 2 2" xfId="346"/>
    <cellStyle name="Comma 3 9 2 2 2" xfId="347"/>
    <cellStyle name="Comma 3 9 2 3" xfId="348"/>
    <cellStyle name="Comma 3 9 3" xfId="349"/>
    <cellStyle name="Comma 3 9 3 2" xfId="350"/>
    <cellStyle name="Comma 3 9 3 2 2" xfId="351"/>
    <cellStyle name="Comma 3 9 3 3" xfId="352"/>
    <cellStyle name="Comma 3 9 4" xfId="353"/>
    <cellStyle name="Comma 3 9 4 2" xfId="354"/>
    <cellStyle name="Comma 3 9 5" xfId="355"/>
    <cellStyle name="Comma 4" xfId="356"/>
    <cellStyle name="Comma 4 2" xfId="357"/>
    <cellStyle name="Comma 4 3" xfId="358"/>
    <cellStyle name="Comma 4 4" xfId="359"/>
    <cellStyle name="Comma 5" xfId="360"/>
    <cellStyle name="Comma 6" xfId="361"/>
    <cellStyle name="Comma 6 2" xfId="362"/>
    <cellStyle name="Comma 7" xfId="363"/>
    <cellStyle name="Comma 7 2" xfId="364"/>
    <cellStyle name="Comma 8" xfId="365"/>
    <cellStyle name="Comma 8 2" xfId="366"/>
    <cellStyle name="Comma 9" xfId="367"/>
    <cellStyle name="CommaBlank" xfId="368"/>
    <cellStyle name="CommaBlank 2" xfId="369"/>
    <cellStyle name="Currency" xfId="370"/>
    <cellStyle name="Currency [0]" xfId="371"/>
    <cellStyle name="Currency 10" xfId="372"/>
    <cellStyle name="Currency 10 2" xfId="373"/>
    <cellStyle name="Currency 10 2 2" xfId="374"/>
    <cellStyle name="Currency 10 2 2 2" xfId="375"/>
    <cellStyle name="Currency 10 2 3" xfId="376"/>
    <cellStyle name="Currency 10 3" xfId="377"/>
    <cellStyle name="Currency 10 3 2" xfId="378"/>
    <cellStyle name="Currency 10 3 2 2" xfId="379"/>
    <cellStyle name="Currency 10 3 3" xfId="380"/>
    <cellStyle name="Currency 10 4" xfId="381"/>
    <cellStyle name="Currency 10 4 2" xfId="382"/>
    <cellStyle name="Currency 10 5" xfId="383"/>
    <cellStyle name="Currency 11" xfId="384"/>
    <cellStyle name="Currency 2" xfId="385"/>
    <cellStyle name="Currency 2 2" xfId="386"/>
    <cellStyle name="Currency 2 3" xfId="387"/>
    <cellStyle name="Currency 2 4" xfId="388"/>
    <cellStyle name="Currency 3" xfId="389"/>
    <cellStyle name="Currency 3 2" xfId="390"/>
    <cellStyle name="Currency 3 3" xfId="391"/>
    <cellStyle name="Currency 3 4" xfId="392"/>
    <cellStyle name="Currency 3 5" xfId="393"/>
    <cellStyle name="Currency 4" xfId="394"/>
    <cellStyle name="Currency 4 2" xfId="395"/>
    <cellStyle name="Currency 4 3" xfId="396"/>
    <cellStyle name="Currency 4 4" xfId="397"/>
    <cellStyle name="Currency 5" xfId="398"/>
    <cellStyle name="Currency 6" xfId="399"/>
    <cellStyle name="Currency 7" xfId="400"/>
    <cellStyle name="Currency 8" xfId="401"/>
    <cellStyle name="Currency 9" xfId="402"/>
    <cellStyle name="Explanatory Text" xfId="403"/>
    <cellStyle name="Explanatory Text 2" xfId="404"/>
    <cellStyle name="Explanatory Text 3" xfId="405"/>
    <cellStyle name="Explanatory Text 4" xfId="406"/>
    <cellStyle name="Explanatory Text 5" xfId="407"/>
    <cellStyle name="Explanatory Text 6" xfId="408"/>
    <cellStyle name="Followed Hyperlink" xfId="409"/>
    <cellStyle name="Good" xfId="410"/>
    <cellStyle name="Good 2" xfId="411"/>
    <cellStyle name="Good 3" xfId="412"/>
    <cellStyle name="Good 4" xfId="413"/>
    <cellStyle name="Good 5" xfId="414"/>
    <cellStyle name="Good 6" xfId="415"/>
    <cellStyle name="Heading 1" xfId="416"/>
    <cellStyle name="Heading 1 2" xfId="417"/>
    <cellStyle name="Heading 1 3" xfId="418"/>
    <cellStyle name="Heading 1 4" xfId="419"/>
    <cellStyle name="Heading 1 5" xfId="420"/>
    <cellStyle name="Heading 1 6" xfId="421"/>
    <cellStyle name="Heading 1 7" xfId="422"/>
    <cellStyle name="Heading 1 8" xfId="423"/>
    <cellStyle name="Heading 2" xfId="424"/>
    <cellStyle name="Heading 2 2" xfId="425"/>
    <cellStyle name="Heading 2 3" xfId="426"/>
    <cellStyle name="Heading 2 4" xfId="427"/>
    <cellStyle name="Heading 2 5" xfId="428"/>
    <cellStyle name="Heading 2 6" xfId="429"/>
    <cellStyle name="Heading 2 7" xfId="430"/>
    <cellStyle name="Heading 2 8" xfId="431"/>
    <cellStyle name="Heading 3" xfId="432"/>
    <cellStyle name="Heading 3 2" xfId="433"/>
    <cellStyle name="Heading 3 3" xfId="434"/>
    <cellStyle name="Heading 3 4" xfId="435"/>
    <cellStyle name="Heading 3 5" xfId="436"/>
    <cellStyle name="Heading 3 6" xfId="437"/>
    <cellStyle name="Heading 3 7" xfId="438"/>
    <cellStyle name="Heading 3 8" xfId="439"/>
    <cellStyle name="Heading 4" xfId="440"/>
    <cellStyle name="Heading 4 2" xfId="441"/>
    <cellStyle name="Heading 4 3" xfId="442"/>
    <cellStyle name="Heading 4 4" xfId="443"/>
    <cellStyle name="Heading 4 5" xfId="444"/>
    <cellStyle name="Heading 4 6" xfId="445"/>
    <cellStyle name="Heading 4 7" xfId="446"/>
    <cellStyle name="Heading 4 8" xfId="447"/>
    <cellStyle name="Hyperlink" xfId="448"/>
    <cellStyle name="Input" xfId="449"/>
    <cellStyle name="Input 2" xfId="450"/>
    <cellStyle name="Input 3" xfId="451"/>
    <cellStyle name="Input 4" xfId="452"/>
    <cellStyle name="Input 5" xfId="453"/>
    <cellStyle name="Input 6" xfId="454"/>
    <cellStyle name="kirkdollars" xfId="455"/>
    <cellStyle name="Linked Cell" xfId="456"/>
    <cellStyle name="Linked Cell 2" xfId="457"/>
    <cellStyle name="Linked Cell 3" xfId="458"/>
    <cellStyle name="Linked Cell 4" xfId="459"/>
    <cellStyle name="Linked Cell 5" xfId="460"/>
    <cellStyle name="Linked Cell 6" xfId="461"/>
    <cellStyle name="Neutral" xfId="462"/>
    <cellStyle name="Neutral 2" xfId="463"/>
    <cellStyle name="Neutral 3" xfId="464"/>
    <cellStyle name="Neutral 4" xfId="465"/>
    <cellStyle name="Neutral 5" xfId="466"/>
    <cellStyle name="Neutral 6" xfId="467"/>
    <cellStyle name="Normal 10" xfId="468"/>
    <cellStyle name="Normal 11" xfId="469"/>
    <cellStyle name="Normal 12" xfId="470"/>
    <cellStyle name="Normal 13" xfId="471"/>
    <cellStyle name="Normal 14" xfId="472"/>
    <cellStyle name="Normal 15" xfId="473"/>
    <cellStyle name="Normal 15 2" xfId="474"/>
    <cellStyle name="Normal 15 2 2" xfId="475"/>
    <cellStyle name="Normal 15 2 2 2" xfId="476"/>
    <cellStyle name="Normal 15 2 3" xfId="477"/>
    <cellStyle name="Normal 15 3" xfId="478"/>
    <cellStyle name="Normal 15 3 2" xfId="479"/>
    <cellStyle name="Normal 15 3 2 2" xfId="480"/>
    <cellStyle name="Normal 15 3 3" xfId="481"/>
    <cellStyle name="Normal 15 4" xfId="482"/>
    <cellStyle name="Normal 15 4 2" xfId="483"/>
    <cellStyle name="Normal 15 5" xfId="484"/>
    <cellStyle name="Normal 16" xfId="485"/>
    <cellStyle name="Normal 17" xfId="486"/>
    <cellStyle name="Normal 18" xfId="487"/>
    <cellStyle name="Normal 19" xfId="488"/>
    <cellStyle name="Normal 2" xfId="489"/>
    <cellStyle name="Normal 2 2" xfId="490"/>
    <cellStyle name="Normal 2 2 2" xfId="491"/>
    <cellStyle name="Normal 2 3" xfId="492"/>
    <cellStyle name="Normal 2 4" xfId="493"/>
    <cellStyle name="Normal 2 5" xfId="494"/>
    <cellStyle name="Normal 2_Adjustment WP" xfId="495"/>
    <cellStyle name="Normal 20" xfId="496"/>
    <cellStyle name="Normal 21" xfId="497"/>
    <cellStyle name="Normal 22" xfId="498"/>
    <cellStyle name="Normal 23" xfId="499"/>
    <cellStyle name="Normal 24" xfId="500"/>
    <cellStyle name="Normal 25" xfId="501"/>
    <cellStyle name="Normal 26" xfId="502"/>
    <cellStyle name="Normal 27" xfId="503"/>
    <cellStyle name="Normal 28" xfId="504"/>
    <cellStyle name="Normal 29" xfId="505"/>
    <cellStyle name="Normal 3" xfId="506"/>
    <cellStyle name="Normal 3 2" xfId="507"/>
    <cellStyle name="Normal 3 3" xfId="508"/>
    <cellStyle name="Normal 3 4" xfId="509"/>
    <cellStyle name="Normal 3 5" xfId="510"/>
    <cellStyle name="Normal 3 6" xfId="511"/>
    <cellStyle name="Normal 3 7" xfId="512"/>
    <cellStyle name="Normal 3 8" xfId="513"/>
    <cellStyle name="Normal 3_108 Summary" xfId="514"/>
    <cellStyle name="Normal 30" xfId="515"/>
    <cellStyle name="Normal 31" xfId="516"/>
    <cellStyle name="Normal 32" xfId="517"/>
    <cellStyle name="Normal 33" xfId="518"/>
    <cellStyle name="Normal 34" xfId="519"/>
    <cellStyle name="Normal 35" xfId="520"/>
    <cellStyle name="Normal 35 2" xfId="521"/>
    <cellStyle name="Normal 35 2 2" xfId="522"/>
    <cellStyle name="Normal 35 2 2 2" xfId="523"/>
    <cellStyle name="Normal 35 2 3" xfId="524"/>
    <cellStyle name="Normal 35 3" xfId="525"/>
    <cellStyle name="Normal 35 3 2" xfId="526"/>
    <cellStyle name="Normal 35 3 2 2" xfId="527"/>
    <cellStyle name="Normal 35 3 3" xfId="528"/>
    <cellStyle name="Normal 35 4" xfId="529"/>
    <cellStyle name="Normal 35 4 2" xfId="530"/>
    <cellStyle name="Normal 35 5" xfId="531"/>
    <cellStyle name="Normal 36" xfId="532"/>
    <cellStyle name="Normal 36 2" xfId="533"/>
    <cellStyle name="Normal 4" xfId="534"/>
    <cellStyle name="Normal 4 2" xfId="535"/>
    <cellStyle name="Normal 4 3" xfId="536"/>
    <cellStyle name="Normal 4 4" xfId="537"/>
    <cellStyle name="Normal 4 5" xfId="538"/>
    <cellStyle name="Normal 5" xfId="539"/>
    <cellStyle name="Normal 5 2" xfId="540"/>
    <cellStyle name="Normal 5 3" xfId="541"/>
    <cellStyle name="Normal 6" xfId="542"/>
    <cellStyle name="Normal 6 10" xfId="543"/>
    <cellStyle name="Normal 6 10 2" xfId="544"/>
    <cellStyle name="Normal 6 10 2 2" xfId="545"/>
    <cellStyle name="Normal 6 10 3" xfId="546"/>
    <cellStyle name="Normal 6 2" xfId="547"/>
    <cellStyle name="Normal 6 2 2" xfId="548"/>
    <cellStyle name="Normal 6 2 2 2" xfId="549"/>
    <cellStyle name="Normal 6 2 2 2 2" xfId="550"/>
    <cellStyle name="Normal 6 2 2 3" xfId="551"/>
    <cellStyle name="Normal 6 2 3" xfId="552"/>
    <cellStyle name="Normal 6 2 3 2" xfId="553"/>
    <cellStyle name="Normal 6 2 3 2 2" xfId="554"/>
    <cellStyle name="Normal 6 2 3 3" xfId="555"/>
    <cellStyle name="Normal 6 2 4" xfId="556"/>
    <cellStyle name="Normal 6 2 4 2" xfId="557"/>
    <cellStyle name="Normal 6 2 5" xfId="558"/>
    <cellStyle name="Normal 6 3" xfId="559"/>
    <cellStyle name="Normal 6 3 2" xfId="560"/>
    <cellStyle name="Normal 6 3 2 2" xfId="561"/>
    <cellStyle name="Normal 6 3 2 2 2" xfId="562"/>
    <cellStyle name="Normal 6 3 2 3" xfId="563"/>
    <cellStyle name="Normal 6 3 3" xfId="564"/>
    <cellStyle name="Normal 6 3 3 2" xfId="565"/>
    <cellStyle name="Normal 6 3 3 2 2" xfId="566"/>
    <cellStyle name="Normal 6 3 3 3" xfId="567"/>
    <cellStyle name="Normal 6 3 4" xfId="568"/>
    <cellStyle name="Normal 6 3 4 2" xfId="569"/>
    <cellStyle name="Normal 6 3 5" xfId="570"/>
    <cellStyle name="Normal 6 4" xfId="571"/>
    <cellStyle name="Normal 6 4 2" xfId="572"/>
    <cellStyle name="Normal 6 4 2 2" xfId="573"/>
    <cellStyle name="Normal 6 4 2 2 2" xfId="574"/>
    <cellStyle name="Normal 6 4 2 3" xfId="575"/>
    <cellStyle name="Normal 6 4 3" xfId="576"/>
    <cellStyle name="Normal 6 4 3 2" xfId="577"/>
    <cellStyle name="Normal 6 4 3 2 2" xfId="578"/>
    <cellStyle name="Normal 6 4 3 3" xfId="579"/>
    <cellStyle name="Normal 6 4 4" xfId="580"/>
    <cellStyle name="Normal 6 4 4 2" xfId="581"/>
    <cellStyle name="Normal 6 4 5" xfId="582"/>
    <cellStyle name="Normal 6 5" xfId="583"/>
    <cellStyle name="Normal 6 5 2" xfId="584"/>
    <cellStyle name="Normal 6 5 2 2" xfId="585"/>
    <cellStyle name="Normal 6 5 2 2 2" xfId="586"/>
    <cellStyle name="Normal 6 5 2 3" xfId="587"/>
    <cellStyle name="Normal 6 5 3" xfId="588"/>
    <cellStyle name="Normal 6 5 3 2" xfId="589"/>
    <cellStyle name="Normal 6 5 3 2 2" xfId="590"/>
    <cellStyle name="Normal 6 5 3 3" xfId="591"/>
    <cellStyle name="Normal 6 5 4" xfId="592"/>
    <cellStyle name="Normal 6 5 4 2" xfId="593"/>
    <cellStyle name="Normal 6 5 5" xfId="594"/>
    <cellStyle name="Normal 6 6" xfId="595"/>
    <cellStyle name="Normal 6 6 2" xfId="596"/>
    <cellStyle name="Normal 6 6 2 2" xfId="597"/>
    <cellStyle name="Normal 6 6 2 2 2" xfId="598"/>
    <cellStyle name="Normal 6 6 2 3" xfId="599"/>
    <cellStyle name="Normal 6 6 3" xfId="600"/>
    <cellStyle name="Normal 6 6 3 2" xfId="601"/>
    <cellStyle name="Normal 6 6 3 2 2" xfId="602"/>
    <cellStyle name="Normal 6 6 3 3" xfId="603"/>
    <cellStyle name="Normal 6 6 4" xfId="604"/>
    <cellStyle name="Normal 6 6 4 2" xfId="605"/>
    <cellStyle name="Normal 6 6 5" xfId="606"/>
    <cellStyle name="Normal 6 7" xfId="607"/>
    <cellStyle name="Normal 6 7 2" xfId="608"/>
    <cellStyle name="Normal 6 7 2 2" xfId="609"/>
    <cellStyle name="Normal 6 7 2 2 2" xfId="610"/>
    <cellStyle name="Normal 6 7 2 3" xfId="611"/>
    <cellStyle name="Normal 6 7 3" xfId="612"/>
    <cellStyle name="Normal 6 7 3 2" xfId="613"/>
    <cellStyle name="Normal 6 7 3 2 2" xfId="614"/>
    <cellStyle name="Normal 6 7 3 3" xfId="615"/>
    <cellStyle name="Normal 6 7 4" xfId="616"/>
    <cellStyle name="Normal 6 7 4 2" xfId="617"/>
    <cellStyle name="Normal 6 7 5" xfId="618"/>
    <cellStyle name="Normal 6 8" xfId="619"/>
    <cellStyle name="Normal 6 8 2" xfId="620"/>
    <cellStyle name="Normal 6 8 2 2" xfId="621"/>
    <cellStyle name="Normal 6 8 2 2 2" xfId="622"/>
    <cellStyle name="Normal 6 8 2 3" xfId="623"/>
    <cellStyle name="Normal 6 8 3" xfId="624"/>
    <cellStyle name="Normal 6 8 3 2" xfId="625"/>
    <cellStyle name="Normal 6 8 3 2 2" xfId="626"/>
    <cellStyle name="Normal 6 8 3 3" xfId="627"/>
    <cellStyle name="Normal 6 8 4" xfId="628"/>
    <cellStyle name="Normal 6 8 4 2" xfId="629"/>
    <cellStyle name="Normal 6 8 5" xfId="630"/>
    <cellStyle name="Normal 6 9" xfId="631"/>
    <cellStyle name="Normal 7" xfId="632"/>
    <cellStyle name="Normal 8" xfId="633"/>
    <cellStyle name="Normal 9" xfId="634"/>
    <cellStyle name="Note" xfId="635"/>
    <cellStyle name="Note 10" xfId="636"/>
    <cellStyle name="Note 11" xfId="637"/>
    <cellStyle name="Note 2" xfId="638"/>
    <cellStyle name="Note 2 2" xfId="639"/>
    <cellStyle name="Note 2_Allocators" xfId="640"/>
    <cellStyle name="Note 3" xfId="641"/>
    <cellStyle name="Note 3 2" xfId="642"/>
    <cellStyle name="Note 3 3" xfId="643"/>
    <cellStyle name="Note 3_Allocators" xfId="644"/>
    <cellStyle name="Note 4" xfId="645"/>
    <cellStyle name="Note 4 2" xfId="646"/>
    <cellStyle name="Note 4_Allocators" xfId="647"/>
    <cellStyle name="Note 5" xfId="648"/>
    <cellStyle name="Note 6" xfId="649"/>
    <cellStyle name="Note 6 2" xfId="650"/>
    <cellStyle name="Note 6_Allocators" xfId="651"/>
    <cellStyle name="Note 7" xfId="652"/>
    <cellStyle name="Note 7 2" xfId="653"/>
    <cellStyle name="Note 8" xfId="654"/>
    <cellStyle name="Note 9" xfId="655"/>
    <cellStyle name="nPlosion" xfId="656"/>
    <cellStyle name="nvision" xfId="657"/>
    <cellStyle name="Output" xfId="658"/>
    <cellStyle name="Output 2" xfId="659"/>
    <cellStyle name="Output 3" xfId="660"/>
    <cellStyle name="Output 4" xfId="661"/>
    <cellStyle name="Output 5" xfId="662"/>
    <cellStyle name="Output 6" xfId="663"/>
    <cellStyle name="Percent" xfId="664"/>
    <cellStyle name="Percent 10" xfId="665"/>
    <cellStyle name="Percent 11" xfId="666"/>
    <cellStyle name="Percent 12" xfId="667"/>
    <cellStyle name="Percent 13" xfId="668"/>
    <cellStyle name="Percent 13 2" xfId="669"/>
    <cellStyle name="Percent 13 2 2" xfId="670"/>
    <cellStyle name="Percent 13 2 2 2" xfId="671"/>
    <cellStyle name="Percent 13 2 3" xfId="672"/>
    <cellStyle name="Percent 13 3" xfId="673"/>
    <cellStyle name="Percent 13 3 2" xfId="674"/>
    <cellStyle name="Percent 13 3 2 2" xfId="675"/>
    <cellStyle name="Percent 13 3 3" xfId="676"/>
    <cellStyle name="Percent 13 4" xfId="677"/>
    <cellStyle name="Percent 13 4 2" xfId="678"/>
    <cellStyle name="Percent 13 5" xfId="679"/>
    <cellStyle name="Percent 14" xfId="680"/>
    <cellStyle name="Percent 2" xfId="681"/>
    <cellStyle name="Percent 2 2" xfId="682"/>
    <cellStyle name="Percent 2 3" xfId="683"/>
    <cellStyle name="Percent 3" xfId="684"/>
    <cellStyle name="Percent 3 2" xfId="685"/>
    <cellStyle name="Percent 3 3" xfId="686"/>
    <cellStyle name="Percent 3 4" xfId="687"/>
    <cellStyle name="Percent 3 5" xfId="688"/>
    <cellStyle name="Percent 3 6" xfId="689"/>
    <cellStyle name="Percent 4" xfId="690"/>
    <cellStyle name="Percent 4 2" xfId="691"/>
    <cellStyle name="Percent 4 3" xfId="692"/>
    <cellStyle name="Percent 4 4" xfId="693"/>
    <cellStyle name="Percent 5" xfId="694"/>
    <cellStyle name="Percent 5 2" xfId="695"/>
    <cellStyle name="Percent 6" xfId="696"/>
    <cellStyle name="Percent 6 2" xfId="697"/>
    <cellStyle name="Percent 7" xfId="698"/>
    <cellStyle name="Percent 8" xfId="699"/>
    <cellStyle name="Percent 9" xfId="700"/>
    <cellStyle name="PSChar" xfId="701"/>
    <cellStyle name="PSChar 2" xfId="702"/>
    <cellStyle name="PSChar 2 2" xfId="703"/>
    <cellStyle name="PSChar 2 3" xfId="704"/>
    <cellStyle name="PSChar 3" xfId="705"/>
    <cellStyle name="PSChar 3 2" xfId="706"/>
    <cellStyle name="PSChar 4" xfId="707"/>
    <cellStyle name="PSChar 5" xfId="708"/>
    <cellStyle name="PSChar 6" xfId="709"/>
    <cellStyle name="PSDate" xfId="710"/>
    <cellStyle name="PSDate 2" xfId="711"/>
    <cellStyle name="PSDate 2 2" xfId="712"/>
    <cellStyle name="PSDate 2 3" xfId="713"/>
    <cellStyle name="PSDate 3" xfId="714"/>
    <cellStyle name="PSDate 3 2" xfId="715"/>
    <cellStyle name="PSDate 4" xfId="716"/>
    <cellStyle name="PSDate 5" xfId="717"/>
    <cellStyle name="PSDate 6" xfId="718"/>
    <cellStyle name="PSDec" xfId="719"/>
    <cellStyle name="PSDec 2" xfId="720"/>
    <cellStyle name="PSDec 2 2" xfId="721"/>
    <cellStyle name="PSDec 2 3" xfId="722"/>
    <cellStyle name="PSDec 3" xfId="723"/>
    <cellStyle name="PSDec 3 2" xfId="724"/>
    <cellStyle name="PSDec 4" xfId="725"/>
    <cellStyle name="PSDec 5" xfId="726"/>
    <cellStyle name="PSDec 6" xfId="727"/>
    <cellStyle name="PSHeading" xfId="728"/>
    <cellStyle name="PSHeading 10" xfId="729"/>
    <cellStyle name="PSHeading 11" xfId="730"/>
    <cellStyle name="PSHeading 2" xfId="731"/>
    <cellStyle name="PSHeading 2 2" xfId="732"/>
    <cellStyle name="PSHeading 2 3" xfId="733"/>
    <cellStyle name="PSHeading 2_108 Summary" xfId="734"/>
    <cellStyle name="PSHeading 3" xfId="735"/>
    <cellStyle name="PSHeading 3 2" xfId="736"/>
    <cellStyle name="PSHeading 3_108 Summary" xfId="737"/>
    <cellStyle name="PSHeading 4" xfId="738"/>
    <cellStyle name="PSHeading 5" xfId="739"/>
    <cellStyle name="PSHeading 6" xfId="740"/>
    <cellStyle name="PSHeading 7" xfId="741"/>
    <cellStyle name="PSHeading 8" xfId="742"/>
    <cellStyle name="PSHeading 9" xfId="743"/>
    <cellStyle name="PSHeading_101 check" xfId="744"/>
    <cellStyle name="PSInt" xfId="745"/>
    <cellStyle name="PSInt 2" xfId="746"/>
    <cellStyle name="PSInt 2 2" xfId="747"/>
    <cellStyle name="PSInt 2 3" xfId="748"/>
    <cellStyle name="PSInt 3" xfId="749"/>
    <cellStyle name="PSInt 3 2" xfId="750"/>
    <cellStyle name="PSInt 4" xfId="751"/>
    <cellStyle name="PSInt 5" xfId="752"/>
    <cellStyle name="PSInt 6" xfId="753"/>
    <cellStyle name="PSSpacer" xfId="754"/>
    <cellStyle name="PSSpacer 2" xfId="755"/>
    <cellStyle name="PSSpacer 2 2" xfId="756"/>
    <cellStyle name="PSSpacer 2 3" xfId="757"/>
    <cellStyle name="PSSpacer 3" xfId="758"/>
    <cellStyle name="PSSpacer 3 2" xfId="759"/>
    <cellStyle name="PSSpacer 4" xfId="760"/>
    <cellStyle name="PSSpacer 5" xfId="761"/>
    <cellStyle name="PSSpacer 6" xfId="762"/>
    <cellStyle name="Title" xfId="763"/>
    <cellStyle name="Title 2" xfId="764"/>
    <cellStyle name="Title 3" xfId="765"/>
    <cellStyle name="Title 4" xfId="766"/>
    <cellStyle name="Title 5" xfId="767"/>
    <cellStyle name="Total" xfId="768"/>
    <cellStyle name="Total 2" xfId="769"/>
    <cellStyle name="Total 3" xfId="770"/>
    <cellStyle name="Total 4" xfId="771"/>
    <cellStyle name="Total 5" xfId="772"/>
    <cellStyle name="Total 6" xfId="773"/>
    <cellStyle name="Total 7" xfId="774"/>
    <cellStyle name="Total 8" xfId="775"/>
    <cellStyle name="Warning Text" xfId="776"/>
    <cellStyle name="Warning Text 2" xfId="777"/>
    <cellStyle name="Warning Text 3" xfId="778"/>
    <cellStyle name="Warning Text 4" xfId="779"/>
    <cellStyle name="Warning Text 5" xfId="780"/>
    <cellStyle name="Warning Text 6" xfId="7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10"/>
  <sheetViews>
    <sheetView tabSelected="1" view="pageBreakPreview" zoomScale="60" zoomScalePageLayoutView="0" workbookViewId="0" topLeftCell="A1">
      <selection activeCell="B54" sqref="B54"/>
    </sheetView>
  </sheetViews>
  <sheetFormatPr defaultColWidth="9.140625" defaultRowHeight="15"/>
  <cols>
    <col min="1" max="1" width="4.00390625" style="95" customWidth="1"/>
    <col min="2" max="2" width="80.421875" style="95" bestFit="1" customWidth="1"/>
    <col min="3" max="3" width="21.140625" style="95" customWidth="1"/>
    <col min="4" max="16384" width="9.140625" style="95" customWidth="1"/>
  </cols>
  <sheetData>
    <row r="1" ht="8.25" customHeight="1" thickBot="1"/>
    <row r="2" spans="2:3" ht="21" thickBot="1">
      <c r="B2" s="122" t="s">
        <v>129</v>
      </c>
      <c r="C2" s="123"/>
    </row>
    <row r="3" spans="2:3" ht="14.25">
      <c r="B3" s="94"/>
      <c r="C3" s="93"/>
    </row>
    <row r="4" spans="2:3" ht="18">
      <c r="B4" s="92" t="s">
        <v>123</v>
      </c>
      <c r="C4" s="91"/>
    </row>
    <row r="5" spans="2:3" ht="18">
      <c r="B5" s="90" t="s">
        <v>124</v>
      </c>
      <c r="C5" s="89">
        <f>Components!K14</f>
        <v>238580214.95060873</v>
      </c>
    </row>
    <row r="6" spans="2:3" ht="18">
      <c r="B6" s="88" t="s">
        <v>125</v>
      </c>
      <c r="C6" s="87">
        <f>'23 Yr Amortization '!F285</f>
        <v>225092919.1923513</v>
      </c>
    </row>
    <row r="7" spans="2:3" ht="18">
      <c r="B7" s="90" t="s">
        <v>126</v>
      </c>
      <c r="C7" s="89">
        <f>C6+C5</f>
        <v>463673134.1429601</v>
      </c>
    </row>
    <row r="8" spans="2:3" ht="18">
      <c r="B8" s="86"/>
      <c r="C8" s="85"/>
    </row>
    <row r="9" spans="2:3" ht="18">
      <c r="B9" s="90" t="s">
        <v>128</v>
      </c>
      <c r="C9" s="89">
        <f>C7/23</f>
        <v>20159701.484476525</v>
      </c>
    </row>
    <row r="10" spans="2:3" ht="18" thickBot="1">
      <c r="B10" s="84" t="s">
        <v>127</v>
      </c>
      <c r="C10" s="83">
        <f>C9/12</f>
        <v>1679975.123706377</v>
      </c>
    </row>
  </sheetData>
  <sheetProtection/>
  <mergeCells count="1">
    <mergeCell ref="B2:C2"/>
  </mergeCells>
  <printOptions/>
  <pageMargins left="0.7" right="0.7" top="0.75" bottom="0.75" header="0.3" footer="0.3"/>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F29" sqref="F29"/>
    </sheetView>
  </sheetViews>
  <sheetFormatPr defaultColWidth="9.140625" defaultRowHeight="15"/>
  <cols>
    <col min="1" max="1" width="27.140625" style="0" customWidth="1"/>
    <col min="2" max="2" width="16.421875" style="0" bestFit="1" customWidth="1"/>
    <col min="3" max="3" width="15.57421875" style="0" bestFit="1" customWidth="1"/>
    <col min="4" max="4" width="15.8515625" style="0" bestFit="1" customWidth="1"/>
    <col min="5" max="5" width="0.9921875" style="24" customWidth="1"/>
    <col min="6" max="8" width="15.7109375" style="0" customWidth="1"/>
    <col min="9" max="9" width="0.9921875" style="24" customWidth="1"/>
    <col min="10" max="10" width="30.57421875" style="0" bestFit="1" customWidth="1"/>
    <col min="11" max="11" width="15.7109375" style="0" customWidth="1"/>
    <col min="12" max="12" width="1.1484375" style="51" customWidth="1"/>
    <col min="13" max="13" width="17.57421875" style="0" customWidth="1"/>
  </cols>
  <sheetData>
    <row r="1" ht="14.25">
      <c r="A1" s="134" t="s">
        <v>131</v>
      </c>
    </row>
    <row r="2" spans="10:11" ht="14.25">
      <c r="J2" s="125" t="s">
        <v>109</v>
      </c>
      <c r="K2" s="125"/>
    </row>
    <row r="3" spans="1:13" ht="14.25">
      <c r="A3" s="44"/>
      <c r="B3" s="124" t="s">
        <v>86</v>
      </c>
      <c r="C3" s="124"/>
      <c r="D3" s="124"/>
      <c r="E3" s="82"/>
      <c r="F3" s="124" t="s">
        <v>85</v>
      </c>
      <c r="G3" s="124"/>
      <c r="H3" s="124"/>
      <c r="I3" s="82"/>
      <c r="J3" s="124" t="s">
        <v>110</v>
      </c>
      <c r="K3" s="124"/>
      <c r="L3" s="82"/>
      <c r="M3" s="44" t="s">
        <v>118</v>
      </c>
    </row>
    <row r="4" spans="1:13" ht="28.5">
      <c r="A4" s="11" t="s">
        <v>65</v>
      </c>
      <c r="B4" s="121" t="s">
        <v>78</v>
      </c>
      <c r="C4" s="121" t="s">
        <v>137</v>
      </c>
      <c r="D4" s="121" t="s">
        <v>136</v>
      </c>
      <c r="F4" s="121" t="s">
        <v>137</v>
      </c>
      <c r="G4" s="121" t="s">
        <v>137</v>
      </c>
      <c r="H4" s="121" t="s">
        <v>136</v>
      </c>
      <c r="J4" s="11"/>
      <c r="K4" s="11"/>
      <c r="M4" s="46" t="s">
        <v>138</v>
      </c>
    </row>
    <row r="5" spans="1:13" ht="14.25">
      <c r="A5" s="11" t="s">
        <v>79</v>
      </c>
      <c r="B5" s="33">
        <f>251384137.3-66333380.8+1854094.4</f>
        <v>186904850.9</v>
      </c>
      <c r="C5" s="33">
        <f aca="true" t="shared" si="0" ref="C5:C10">SUM(M5:M5)</f>
        <v>30766965.320000008</v>
      </c>
      <c r="D5" s="34">
        <f aca="true" t="shared" si="1" ref="D5:D10">SUM(B5:C5)</f>
        <v>217671816.22000003</v>
      </c>
      <c r="E5" s="35"/>
      <c r="F5" s="34">
        <f>B5*'23 Yr Amortization '!$C$5</f>
        <v>184288182.9874</v>
      </c>
      <c r="G5" s="34">
        <f>C5*'23 Yr Amortization '!$C$5</f>
        <v>30336227.805520006</v>
      </c>
      <c r="H5" s="36">
        <f aca="true" t="shared" si="2" ref="H5:H11">F5+G5</f>
        <v>214624410.79292</v>
      </c>
      <c r="I5" s="35"/>
      <c r="J5" s="50" t="s">
        <v>111</v>
      </c>
      <c r="K5" s="34">
        <f>F14</f>
        <v>193208573.36056</v>
      </c>
      <c r="L5" s="59"/>
      <c r="M5" s="23">
        <f>SUM(Additions!C6:D30)</f>
        <v>30766965.320000008</v>
      </c>
    </row>
    <row r="6" spans="1:13" ht="14.25">
      <c r="A6" s="20" t="s">
        <v>92</v>
      </c>
      <c r="B6" s="37">
        <v>2671359.25</v>
      </c>
      <c r="C6" s="33">
        <f t="shared" si="0"/>
        <v>-2671359.25</v>
      </c>
      <c r="D6" s="34">
        <f>SUM(B6:C6)</f>
        <v>0</v>
      </c>
      <c r="E6" s="35"/>
      <c r="F6" s="34">
        <f>B6*'23 Yr Amortization '!$C$5</f>
        <v>2633960.2205</v>
      </c>
      <c r="G6" s="34">
        <f>C6*'23 Yr Amortization '!$C$5</f>
        <v>-2633960.2205</v>
      </c>
      <c r="H6" s="36">
        <f t="shared" si="2"/>
        <v>0</v>
      </c>
      <c r="I6" s="35"/>
      <c r="J6" s="50" t="s">
        <v>112</v>
      </c>
      <c r="K6" s="60">
        <f>G11</f>
        <v>49526790.915020004</v>
      </c>
      <c r="L6" s="59"/>
      <c r="M6" s="23">
        <f>SUM(Additions!H6:H18)</f>
        <v>-2671359.25</v>
      </c>
    </row>
    <row r="7" spans="1:13" ht="14.25">
      <c r="A7" t="s">
        <v>93</v>
      </c>
      <c r="B7" s="34">
        <v>4101526.44</v>
      </c>
      <c r="C7" s="33">
        <f t="shared" si="0"/>
        <v>-373861.24</v>
      </c>
      <c r="D7" s="34">
        <f t="shared" si="1"/>
        <v>3727665.2</v>
      </c>
      <c r="E7" s="35"/>
      <c r="F7" s="34">
        <f>B7*'23 Yr Amortization '!$C$5</f>
        <v>4044105.06984</v>
      </c>
      <c r="G7" s="34">
        <f>C7*'23 Yr Amortization '!$C$5</f>
        <v>-368627.18264</v>
      </c>
      <c r="H7" s="36">
        <f t="shared" si="2"/>
        <v>3675477.8871999998</v>
      </c>
      <c r="I7" s="35"/>
      <c r="J7" s="50" t="s">
        <v>71</v>
      </c>
      <c r="K7" s="34">
        <f>K6+K5</f>
        <v>242735364.27558</v>
      </c>
      <c r="L7" s="59"/>
      <c r="M7" s="23">
        <f>SUM(Additions!E6:E30)</f>
        <v>-373861.24</v>
      </c>
    </row>
    <row r="8" spans="1:13" ht="14.25">
      <c r="A8" s="20" t="s">
        <v>94</v>
      </c>
      <c r="B8" s="38">
        <v>514215</v>
      </c>
      <c r="C8" s="33">
        <f>SUM(M8:M8)</f>
        <v>-514215</v>
      </c>
      <c r="D8" s="34">
        <f>SUM(B8:C8)</f>
        <v>0</v>
      </c>
      <c r="E8" s="35"/>
      <c r="F8" s="34">
        <f>B8*'23 Yr Amortization '!$C$5</f>
        <v>507015.99</v>
      </c>
      <c r="G8" s="34">
        <f>C8*'23 Yr Amortization '!$C$5</f>
        <v>-507015.99</v>
      </c>
      <c r="H8" s="36">
        <f t="shared" si="2"/>
        <v>0</v>
      </c>
      <c r="I8" s="35"/>
      <c r="J8" s="50"/>
      <c r="K8" s="34"/>
      <c r="L8" s="59"/>
      <c r="M8" s="23">
        <f>SUM(Additions!I6:I18)</f>
        <v>-514215</v>
      </c>
    </row>
    <row r="9" spans="1:13" ht="14.25">
      <c r="A9" t="s">
        <v>91</v>
      </c>
      <c r="B9" s="34">
        <v>0</v>
      </c>
      <c r="C9" s="33">
        <f t="shared" si="0"/>
        <v>882601.0199999998</v>
      </c>
      <c r="D9" s="34">
        <f t="shared" si="1"/>
        <v>882601.0199999998</v>
      </c>
      <c r="E9" s="35"/>
      <c r="F9" s="34">
        <f>B9*'23 Yr Amortization '!$C$5</f>
        <v>0</v>
      </c>
      <c r="G9" s="34">
        <f>C9*'23 Yr Amortization '!$C$5</f>
        <v>870244.6057199998</v>
      </c>
      <c r="H9" s="36">
        <f t="shared" si="2"/>
        <v>870244.6057199998</v>
      </c>
      <c r="I9" s="35"/>
      <c r="J9" s="50" t="s">
        <v>113</v>
      </c>
      <c r="K9" s="34">
        <f>'Actual Yr 1&amp;2 Amortization'!F33</f>
        <v>28481724.35167586</v>
      </c>
      <c r="L9" s="59"/>
      <c r="M9" s="23">
        <f>SUM(Additions!G6:G30)</f>
        <v>882601.0199999998</v>
      </c>
    </row>
    <row r="10" spans="1:13" s="58" customFormat="1" ht="14.25">
      <c r="A10" s="58" t="s">
        <v>80</v>
      </c>
      <c r="B10" s="60">
        <f>3333431.55-1573483.18</f>
        <v>1759948.3699999999</v>
      </c>
      <c r="C10" s="60">
        <f t="shared" si="0"/>
        <v>22139880.220000003</v>
      </c>
      <c r="D10" s="60">
        <f t="shared" si="1"/>
        <v>23899828.590000004</v>
      </c>
      <c r="E10" s="61"/>
      <c r="F10" s="60">
        <f>B10*'23 Yr Amortization '!$C$5</f>
        <v>1735309.09282</v>
      </c>
      <c r="G10" s="60">
        <f>C10*'23 Yr Amortization '!$C$5</f>
        <v>21829921.896920003</v>
      </c>
      <c r="H10" s="60">
        <f t="shared" si="2"/>
        <v>23565230.989740003</v>
      </c>
      <c r="I10" s="61"/>
      <c r="J10" s="60" t="s">
        <v>114</v>
      </c>
      <c r="K10" s="60">
        <f>'Actual Yr 1&amp;2 Amortization'!G33</f>
        <v>32636873.676647104</v>
      </c>
      <c r="L10" s="61"/>
      <c r="M10" s="60">
        <f>SUM(Additions!F6:F30)</f>
        <v>22139880.220000003</v>
      </c>
    </row>
    <row r="11" spans="1:13" ht="14.25">
      <c r="A11" s="16" t="s">
        <v>71</v>
      </c>
      <c r="B11" s="34">
        <f>SUM(B5:B10)</f>
        <v>195951899.96</v>
      </c>
      <c r="C11" s="50">
        <f>SUM(C5:C10)</f>
        <v>50230011.07000001</v>
      </c>
      <c r="D11" s="34">
        <f>B11+C11</f>
        <v>246181911.03000003</v>
      </c>
      <c r="E11" s="35"/>
      <c r="F11" s="50">
        <f>SUM(F5:F10)</f>
        <v>193208573.36056</v>
      </c>
      <c r="G11" s="50">
        <f>SUM(G5:G10)</f>
        <v>49526790.915020004</v>
      </c>
      <c r="H11" s="34">
        <f t="shared" si="2"/>
        <v>242735364.27558</v>
      </c>
      <c r="I11" s="35"/>
      <c r="J11" s="50" t="s">
        <v>83</v>
      </c>
      <c r="K11" s="50">
        <f>K9-K10</f>
        <v>-4155149.3249712437</v>
      </c>
      <c r="L11" s="59"/>
      <c r="M11" s="50">
        <f>SUM(M5:M10)</f>
        <v>50230011.07000001</v>
      </c>
    </row>
    <row r="12" spans="1:13" s="49" customFormat="1" ht="14.25">
      <c r="A12" s="57"/>
      <c r="B12" s="50"/>
      <c r="C12" s="50"/>
      <c r="D12" s="50"/>
      <c r="E12" s="59"/>
      <c r="F12" s="50"/>
      <c r="G12" s="50"/>
      <c r="H12" s="50"/>
      <c r="I12" s="59"/>
      <c r="J12" s="50"/>
      <c r="K12" s="50"/>
      <c r="L12" s="59"/>
      <c r="M12" s="50"/>
    </row>
    <row r="13" spans="1:13" s="49" customFormat="1" ht="14.25">
      <c r="A13" s="57"/>
      <c r="B13" s="62"/>
      <c r="C13" s="62"/>
      <c r="D13" s="60"/>
      <c r="E13" s="61"/>
      <c r="F13" s="40"/>
      <c r="G13" s="60"/>
      <c r="H13" s="60"/>
      <c r="I13" s="61"/>
      <c r="L13" s="61"/>
      <c r="M13" s="60"/>
    </row>
    <row r="14" spans="1:13" ht="14.25">
      <c r="A14" s="49" t="s">
        <v>96</v>
      </c>
      <c r="B14" s="39">
        <f>B11</f>
        <v>195951899.96</v>
      </c>
      <c r="C14" s="39">
        <f>C11</f>
        <v>50230011.07000001</v>
      </c>
      <c r="D14" s="39">
        <f>D11</f>
        <v>246181911.03000003</v>
      </c>
      <c r="F14" s="39">
        <f>F11</f>
        <v>193208573.36056</v>
      </c>
      <c r="G14" s="39">
        <f>G11</f>
        <v>49526790.915020004</v>
      </c>
      <c r="H14" s="39">
        <f>H11</f>
        <v>242735364.27558</v>
      </c>
      <c r="J14" s="45" t="s">
        <v>115</v>
      </c>
      <c r="K14" s="45">
        <f>K7+K11</f>
        <v>238580214.95060873</v>
      </c>
      <c r="M14" s="39"/>
    </row>
    <row r="15" spans="2:13" s="58" customFormat="1" ht="14.25">
      <c r="B15" s="43"/>
      <c r="C15" s="43"/>
      <c r="D15" s="45"/>
      <c r="E15" s="42"/>
      <c r="F15" s="41"/>
      <c r="G15" s="41"/>
      <c r="H15" s="45"/>
      <c r="I15" s="42"/>
      <c r="J15" s="65" t="s">
        <v>116</v>
      </c>
      <c r="K15" s="65">
        <f>-0.35*K14</f>
        <v>-83503075.23271304</v>
      </c>
      <c r="L15" s="42"/>
      <c r="M15" s="45">
        <f>-C22</f>
        <v>0</v>
      </c>
    </row>
    <row r="16" spans="1:13" ht="14.25">
      <c r="A16" s="11"/>
      <c r="B16" s="34"/>
      <c r="C16" s="50"/>
      <c r="D16" s="50"/>
      <c r="E16" s="35"/>
      <c r="F16" s="50"/>
      <c r="G16" s="50"/>
      <c r="H16" s="50"/>
      <c r="I16" s="35"/>
      <c r="J16" s="66" t="s">
        <v>117</v>
      </c>
      <c r="K16" s="66">
        <f>K14+K15</f>
        <v>155077139.7178957</v>
      </c>
      <c r="L16" s="59"/>
      <c r="M16" s="50">
        <f>M14+M15</f>
        <v>0</v>
      </c>
    </row>
    <row r="17" spans="2:13" ht="14.25">
      <c r="B17" s="34"/>
      <c r="C17" s="34"/>
      <c r="D17" s="34"/>
      <c r="E17" s="35"/>
      <c r="F17" s="34"/>
      <c r="G17" s="34"/>
      <c r="H17" s="34"/>
      <c r="I17" s="35"/>
      <c r="J17" s="34"/>
      <c r="K17" s="34"/>
      <c r="L17" s="59"/>
      <c r="M17" s="34"/>
    </row>
    <row r="18" spans="1:13" ht="45.75" customHeight="1">
      <c r="A18" s="126" t="s">
        <v>130</v>
      </c>
      <c r="B18" s="126"/>
      <c r="C18" s="126"/>
      <c r="E18" s="25"/>
      <c r="F18" s="1"/>
      <c r="G18" s="1"/>
      <c r="H18" s="1"/>
      <c r="I18" s="25"/>
      <c r="J18" s="1"/>
      <c r="K18" s="1"/>
      <c r="L18" s="52"/>
      <c r="M18" s="1"/>
    </row>
    <row r="19" spans="1:9" ht="14.25">
      <c r="A19" s="17"/>
      <c r="B19" s="1"/>
      <c r="H19" s="1"/>
      <c r="I19" s="25"/>
    </row>
    <row r="20" spans="2:3" ht="14.25">
      <c r="B20" s="34"/>
      <c r="C20" s="50"/>
    </row>
    <row r="21" ht="14.25">
      <c r="C21" s="49"/>
    </row>
    <row r="22" spans="2:3" ht="14.25">
      <c r="B22" s="34"/>
      <c r="C22" s="50"/>
    </row>
  </sheetData>
  <sheetProtection/>
  <mergeCells count="5">
    <mergeCell ref="B3:D3"/>
    <mergeCell ref="F3:H3"/>
    <mergeCell ref="J3:K3"/>
    <mergeCell ref="J2:K2"/>
    <mergeCell ref="A18:C18"/>
  </mergeCells>
  <printOptions/>
  <pageMargins left="0.7" right="0.7" top="0.75" bottom="0.75" header="0.3" footer="0.3"/>
  <pageSetup firstPageNumber="2" useFirstPageNumber="1" fitToHeight="1" fitToWidth="1" horizontalDpi="600" verticalDpi="600" orientation="landscape" scale="64" r:id="rId1"/>
  <headerFooter>
    <oddHeader>&amp;RUpdated KIUC_1_17_Attachment71_Retirement_Cost_Calculation
Page  &amp;P of 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320"/>
  <sheetViews>
    <sheetView view="pageBreakPreview" zoomScale="60" zoomScalePageLayoutView="0" workbookViewId="0" topLeftCell="A1">
      <pane ySplit="4" topLeftCell="A5" activePane="bottomLeft" state="frozen"/>
      <selection pane="topLeft" activeCell="A1" sqref="A1"/>
      <selection pane="bottomLeft" activeCell="D28" sqref="D28"/>
    </sheetView>
  </sheetViews>
  <sheetFormatPr defaultColWidth="9.140625" defaultRowHeight="15"/>
  <cols>
    <col min="1" max="1" width="9.140625" style="98" customWidth="1"/>
    <col min="2" max="2" width="43.140625" style="98" customWidth="1"/>
    <col min="3" max="3" width="25.00390625" style="98" customWidth="1"/>
    <col min="4" max="4" width="19.28125" style="98" customWidth="1"/>
    <col min="5" max="5" width="22.00390625" style="98" customWidth="1"/>
    <col min="6" max="6" width="15.57421875" style="98" customWidth="1"/>
    <col min="7" max="7" width="16.8515625" style="98" customWidth="1"/>
    <col min="8" max="8" width="19.8515625" style="98" customWidth="1"/>
    <col min="9" max="9" width="25.7109375" style="98" customWidth="1"/>
    <col min="10" max="10" width="15.7109375" style="98" customWidth="1"/>
    <col min="11" max="11" width="20.28125" style="98" customWidth="1"/>
    <col min="12" max="12" width="16.00390625" style="98" customWidth="1"/>
    <col min="13" max="13" width="9.140625" style="98" customWidth="1"/>
    <col min="14" max="14" width="13.28125" style="98" bestFit="1" customWidth="1"/>
    <col min="15" max="16384" width="9.140625" style="98" customWidth="1"/>
  </cols>
  <sheetData>
    <row r="1" spans="1:12" ht="81.75" customHeight="1">
      <c r="A1" s="97" t="s">
        <v>1</v>
      </c>
      <c r="B1" s="97" t="s">
        <v>67</v>
      </c>
      <c r="C1" s="118" t="s">
        <v>100</v>
      </c>
      <c r="D1" s="118" t="s">
        <v>101</v>
      </c>
      <c r="E1" s="118" t="s">
        <v>102</v>
      </c>
      <c r="F1" s="118" t="s">
        <v>103</v>
      </c>
      <c r="G1" s="118" t="s">
        <v>104</v>
      </c>
      <c r="H1" s="118" t="s">
        <v>3</v>
      </c>
      <c r="I1" s="118" t="s">
        <v>3</v>
      </c>
      <c r="K1" s="118" t="s">
        <v>98</v>
      </c>
      <c r="L1" s="118" t="s">
        <v>95</v>
      </c>
    </row>
    <row r="2" spans="1:12" ht="14.25">
      <c r="A2" s="97"/>
      <c r="B2" s="97"/>
      <c r="C2" s="97">
        <v>1823379</v>
      </c>
      <c r="D2" s="97">
        <v>1823376</v>
      </c>
      <c r="E2" s="97">
        <v>1823378</v>
      </c>
      <c r="F2" s="97">
        <v>1823380</v>
      </c>
      <c r="G2" s="97">
        <v>1823518</v>
      </c>
      <c r="H2" s="97" t="s">
        <v>81</v>
      </c>
      <c r="I2" s="97" t="s">
        <v>82</v>
      </c>
      <c r="J2" s="98" t="s">
        <v>4</v>
      </c>
      <c r="L2" s="98" t="s">
        <v>89</v>
      </c>
    </row>
    <row r="3" spans="1:12" ht="14.25">
      <c r="A3" s="97"/>
      <c r="B3" s="97"/>
      <c r="C3" s="97"/>
      <c r="D3" s="97"/>
      <c r="E3" s="97"/>
      <c r="F3" s="97"/>
      <c r="G3" s="97"/>
      <c r="H3" s="97"/>
      <c r="I3" s="97"/>
      <c r="L3" s="98">
        <f>+'23 Yr Amortization '!C5</f>
        <v>0.986</v>
      </c>
    </row>
    <row r="4" spans="1:9" ht="14.25">
      <c r="A4" s="97"/>
      <c r="B4" s="97"/>
      <c r="C4" s="97"/>
      <c r="D4" s="97"/>
      <c r="E4" s="97"/>
      <c r="F4" s="97"/>
      <c r="G4" s="97"/>
      <c r="H4" s="97"/>
      <c r="I4" s="97"/>
    </row>
    <row r="5" spans="2:15" ht="14.25">
      <c r="B5" s="119">
        <v>42185</v>
      </c>
      <c r="C5" s="99">
        <f>251384137.3+1854094.4</f>
        <v>253238231.70000002</v>
      </c>
      <c r="D5" s="99">
        <v>-66333380.8</v>
      </c>
      <c r="E5" s="99">
        <v>4101526.44</v>
      </c>
      <c r="F5" s="99">
        <f>3333431.55-1573483.18</f>
        <v>1759948.3699999999</v>
      </c>
      <c r="G5" s="99">
        <v>0</v>
      </c>
      <c r="H5" s="99">
        <v>2671359.25</v>
      </c>
      <c r="I5" s="99">
        <v>514215</v>
      </c>
      <c r="J5" s="99">
        <f>SUM(C5:I5)</f>
        <v>195951899.96000004</v>
      </c>
      <c r="K5" s="99">
        <f aca="true" t="shared" si="0" ref="K5:K19">C5+D5+F5+G5</f>
        <v>188664799.27000004</v>
      </c>
      <c r="L5" s="99">
        <f aca="true" t="shared" si="1" ref="L5:L69">ROUND(K5*L$3,0)</f>
        <v>186023492</v>
      </c>
      <c r="M5" s="99"/>
      <c r="N5" s="99"/>
      <c r="O5" s="99"/>
    </row>
    <row r="6" spans="1:15" ht="14.25">
      <c r="A6" s="98">
        <v>1</v>
      </c>
      <c r="B6" s="119">
        <v>42186</v>
      </c>
      <c r="C6" s="99">
        <v>0</v>
      </c>
      <c r="D6" s="99">
        <v>840287.23</v>
      </c>
      <c r="E6" s="99">
        <v>-4187.43</v>
      </c>
      <c r="F6" s="99">
        <f>290708.16-1024.09</f>
        <v>289684.06999999995</v>
      </c>
      <c r="G6" s="99">
        <v>115952.93</v>
      </c>
      <c r="H6" s="99">
        <v>1104019.23</v>
      </c>
      <c r="I6" s="99">
        <v>-11891.62</v>
      </c>
      <c r="J6" s="99">
        <f>SUM(C6:I6)</f>
        <v>2333864.4099999997</v>
      </c>
      <c r="K6" s="99">
        <f t="shared" si="0"/>
        <v>1245924.2299999997</v>
      </c>
      <c r="L6" s="99">
        <f t="shared" si="1"/>
        <v>1228481</v>
      </c>
      <c r="M6" s="99"/>
      <c r="N6" s="99"/>
      <c r="O6" s="99"/>
    </row>
    <row r="7" spans="1:15" ht="14.25">
      <c r="A7" s="98">
        <v>2</v>
      </c>
      <c r="B7" s="119">
        <v>42217</v>
      </c>
      <c r="C7" s="99">
        <v>0</v>
      </c>
      <c r="D7" s="99">
        <v>343381.42</v>
      </c>
      <c r="E7" s="99">
        <v>0</v>
      </c>
      <c r="F7" s="99">
        <f>417656.42-19048.87</f>
        <v>398607.55</v>
      </c>
      <c r="G7" s="99">
        <v>104922.68</v>
      </c>
      <c r="H7" s="99">
        <v>-12551.59</v>
      </c>
      <c r="I7" s="99">
        <v>-6094.13</v>
      </c>
      <c r="J7" s="99">
        <f aca="true" t="shared" si="2" ref="J7:J71">SUM(C7:I7)</f>
        <v>828265.9299999999</v>
      </c>
      <c r="K7" s="99">
        <f t="shared" si="0"/>
        <v>846911.6499999999</v>
      </c>
      <c r="L7" s="99">
        <f t="shared" si="1"/>
        <v>835055</v>
      </c>
      <c r="M7" s="99"/>
      <c r="N7" s="99"/>
      <c r="O7" s="99"/>
    </row>
    <row r="8" spans="1:15" ht="14.25">
      <c r="A8" s="98">
        <v>3</v>
      </c>
      <c r="B8" s="119">
        <v>42248</v>
      </c>
      <c r="C8" s="99">
        <v>0</v>
      </c>
      <c r="D8" s="99">
        <v>312465.07</v>
      </c>
      <c r="E8" s="99">
        <v>-75294.1</v>
      </c>
      <c r="F8" s="99">
        <f>547092-24718.75</f>
        <v>522373.25</v>
      </c>
      <c r="G8" s="99">
        <f>114590.19</f>
        <v>114590.19</v>
      </c>
      <c r="H8" s="99">
        <v>119767.28</v>
      </c>
      <c r="I8" s="99">
        <v>8331.79</v>
      </c>
      <c r="J8" s="99">
        <f t="shared" si="2"/>
        <v>1002233.48</v>
      </c>
      <c r="K8" s="99">
        <f t="shared" si="0"/>
        <v>949428.51</v>
      </c>
      <c r="L8" s="99">
        <f t="shared" si="1"/>
        <v>936137</v>
      </c>
      <c r="M8" s="99"/>
      <c r="N8" s="99"/>
      <c r="O8" s="99"/>
    </row>
    <row r="9" spans="1:15" ht="14.25">
      <c r="A9" s="98">
        <v>4</v>
      </c>
      <c r="B9" s="119">
        <v>42278</v>
      </c>
      <c r="C9" s="99">
        <v>0</v>
      </c>
      <c r="D9" s="99">
        <v>300515.27</v>
      </c>
      <c r="E9" s="99">
        <v>-6966.07</v>
      </c>
      <c r="F9" s="99">
        <f>635813.61-76143.26</f>
        <v>559670.35</v>
      </c>
      <c r="G9" s="99">
        <v>116350.79000000001</v>
      </c>
      <c r="H9" s="99">
        <v>-19420.67</v>
      </c>
      <c r="I9" s="99">
        <f>499420.03-504561.04</f>
        <v>-5141.009999999951</v>
      </c>
      <c r="J9" s="99">
        <f>SUM(C9:I9)</f>
        <v>945008.6600000001</v>
      </c>
      <c r="K9" s="99">
        <f t="shared" si="0"/>
        <v>976536.41</v>
      </c>
      <c r="L9" s="99">
        <f t="shared" si="1"/>
        <v>962865</v>
      </c>
      <c r="M9" s="99"/>
      <c r="N9" s="99"/>
      <c r="O9" s="99"/>
    </row>
    <row r="10" spans="1:15" ht="14.25">
      <c r="A10" s="98">
        <v>5</v>
      </c>
      <c r="B10" s="119">
        <v>42309</v>
      </c>
      <c r="C10" s="99">
        <v>0</v>
      </c>
      <c r="D10" s="99">
        <v>964785.46</v>
      </c>
      <c r="E10" s="99">
        <f>488957.12-499420.03</f>
        <v>-10462.910000000033</v>
      </c>
      <c r="F10" s="99">
        <f>1065555.58-348199.31</f>
        <v>717356.27</v>
      </c>
      <c r="G10" s="99">
        <v>189475.55</v>
      </c>
      <c r="H10" s="99">
        <f>-3863173.5+3957711.96</f>
        <v>94538.45999999996</v>
      </c>
      <c r="I10" s="99">
        <v>0</v>
      </c>
      <c r="J10" s="99">
        <f>SUM(C10:I10)</f>
        <v>1955692.8299999998</v>
      </c>
      <c r="K10" s="99">
        <f t="shared" si="0"/>
        <v>1871617.28</v>
      </c>
      <c r="L10" s="99">
        <f t="shared" si="1"/>
        <v>1845415</v>
      </c>
      <c r="M10" s="99"/>
      <c r="N10" s="99"/>
      <c r="O10" s="99"/>
    </row>
    <row r="11" spans="1:15" ht="14.25">
      <c r="A11" s="98">
        <v>6</v>
      </c>
      <c r="B11" s="48" t="s">
        <v>107</v>
      </c>
      <c r="C11" s="99">
        <v>3957711.96</v>
      </c>
      <c r="D11" s="99">
        <v>0</v>
      </c>
      <c r="E11" s="99">
        <v>499420.03</v>
      </c>
      <c r="F11" s="99"/>
      <c r="G11" s="99"/>
      <c r="H11" s="99">
        <v>-3957711.96</v>
      </c>
      <c r="I11" s="99">
        <v>-499420.03</v>
      </c>
      <c r="J11" s="99">
        <f>SUM(C11:I11)</f>
        <v>0</v>
      </c>
      <c r="K11" s="99">
        <f>C11+D11+F11+G11</f>
        <v>3957711.96</v>
      </c>
      <c r="L11" s="99">
        <f>ROUND(K11*L$3,0)</f>
        <v>3902304</v>
      </c>
      <c r="M11" s="99"/>
      <c r="N11" s="99"/>
      <c r="O11" s="99"/>
    </row>
    <row r="12" spans="1:15" ht="14.25">
      <c r="A12" s="98">
        <v>7</v>
      </c>
      <c r="B12" s="119">
        <v>42339</v>
      </c>
      <c r="C12" s="99">
        <v>0</v>
      </c>
      <c r="D12" s="99">
        <v>1419647.09</v>
      </c>
      <c r="E12" s="99">
        <v>-19049.3</v>
      </c>
      <c r="F12" s="99">
        <f>1349754.85-571453.74</f>
        <v>778301.1100000001</v>
      </c>
      <c r="G12" s="99">
        <v>103167.71</v>
      </c>
      <c r="H12" s="99">
        <v>0</v>
      </c>
      <c r="I12" s="99">
        <v>0</v>
      </c>
      <c r="J12" s="99">
        <f t="shared" si="2"/>
        <v>2282066.6100000003</v>
      </c>
      <c r="K12" s="99">
        <f t="shared" si="0"/>
        <v>2301115.91</v>
      </c>
      <c r="L12" s="99">
        <f>ROUND(K12*L$3,0)</f>
        <v>2268900</v>
      </c>
      <c r="M12" s="99"/>
      <c r="N12" s="99"/>
      <c r="O12" s="99"/>
    </row>
    <row r="13" spans="1:15" ht="14.25">
      <c r="A13" s="98">
        <v>8</v>
      </c>
      <c r="B13" s="119">
        <v>42370</v>
      </c>
      <c r="C13" s="99">
        <v>0</v>
      </c>
      <c r="D13" s="99">
        <v>1695447.26</v>
      </c>
      <c r="E13" s="99">
        <v>-105006.32</v>
      </c>
      <c r="F13" s="99">
        <f>414514.39-0</f>
        <v>414514.39</v>
      </c>
      <c r="G13" s="99">
        <v>35152.19</v>
      </c>
      <c r="H13" s="99">
        <v>0</v>
      </c>
      <c r="I13" s="99">
        <v>0</v>
      </c>
      <c r="J13" s="99">
        <f t="shared" si="2"/>
        <v>2040107.52</v>
      </c>
      <c r="K13" s="99">
        <f t="shared" si="0"/>
        <v>2145113.84</v>
      </c>
      <c r="L13" s="99">
        <f>ROUND(K13*L$3,0)</f>
        <v>2115082</v>
      </c>
      <c r="M13" s="99"/>
      <c r="N13" s="99"/>
      <c r="O13" s="99"/>
    </row>
    <row r="14" spans="1:15" ht="14.25">
      <c r="A14" s="98">
        <v>9</v>
      </c>
      <c r="B14" s="119">
        <v>42401</v>
      </c>
      <c r="C14" s="99">
        <v>0</v>
      </c>
      <c r="D14" s="99">
        <v>1637034.82</v>
      </c>
      <c r="E14" s="99">
        <v>-816.31</v>
      </c>
      <c r="F14" s="99">
        <f>726971.8-293826.27</f>
        <v>433145.53</v>
      </c>
      <c r="G14" s="99">
        <v>-939.0699999999999</v>
      </c>
      <c r="H14" s="99">
        <v>0</v>
      </c>
      <c r="I14" s="99">
        <v>0</v>
      </c>
      <c r="J14" s="99">
        <f t="shared" si="2"/>
        <v>2068424.97</v>
      </c>
      <c r="K14" s="99">
        <f t="shared" si="0"/>
        <v>2069241.28</v>
      </c>
      <c r="L14" s="99">
        <f t="shared" si="1"/>
        <v>2040272</v>
      </c>
      <c r="M14" s="99"/>
      <c r="N14" s="99"/>
      <c r="O14" s="99"/>
    </row>
    <row r="15" spans="1:15" ht="14.25">
      <c r="A15" s="98">
        <v>10</v>
      </c>
      <c r="B15" s="119">
        <v>42430</v>
      </c>
      <c r="C15" s="99">
        <v>0</v>
      </c>
      <c r="D15" s="99">
        <v>2794090.93</v>
      </c>
      <c r="E15" s="99">
        <v>-36284.83</v>
      </c>
      <c r="F15" s="99">
        <v>347167.77</v>
      </c>
      <c r="G15" s="99">
        <v>47351.46</v>
      </c>
      <c r="H15" s="99">
        <v>0</v>
      </c>
      <c r="I15" s="99">
        <v>0</v>
      </c>
      <c r="J15" s="99">
        <f t="shared" si="2"/>
        <v>3152325.33</v>
      </c>
      <c r="K15" s="99">
        <f t="shared" si="0"/>
        <v>3188610.16</v>
      </c>
      <c r="L15" s="99">
        <f t="shared" si="1"/>
        <v>3143970</v>
      </c>
      <c r="M15" s="99"/>
      <c r="N15" s="99"/>
      <c r="O15" s="99"/>
    </row>
    <row r="16" spans="1:15" ht="14.25">
      <c r="A16" s="98">
        <v>11</v>
      </c>
      <c r="B16" s="119">
        <v>42461</v>
      </c>
      <c r="C16" s="99">
        <v>0</v>
      </c>
      <c r="D16" s="99">
        <v>1834502.55</v>
      </c>
      <c r="E16" s="99">
        <v>-123904.34</v>
      </c>
      <c r="F16" s="99">
        <v>558244.76</v>
      </c>
      <c r="G16" s="99">
        <v>1180.11</v>
      </c>
      <c r="H16" s="99">
        <v>0</v>
      </c>
      <c r="I16" s="99">
        <v>0</v>
      </c>
      <c r="J16" s="99">
        <f t="shared" si="2"/>
        <v>2270023.0799999996</v>
      </c>
      <c r="K16" s="99">
        <f t="shared" si="0"/>
        <v>2393927.42</v>
      </c>
      <c r="L16" s="99">
        <f t="shared" si="1"/>
        <v>2360412</v>
      </c>
      <c r="M16" s="99"/>
      <c r="N16" s="99"/>
      <c r="O16" s="99"/>
    </row>
    <row r="17" spans="1:15" ht="14.25">
      <c r="A17" s="98">
        <v>12</v>
      </c>
      <c r="B17" s="119">
        <v>42491</v>
      </c>
      <c r="C17" s="99">
        <v>0</v>
      </c>
      <c r="D17" s="99">
        <v>2068364.38</v>
      </c>
      <c r="E17" s="99">
        <v>-55835.95</v>
      </c>
      <c r="F17" s="99">
        <v>368938.67</v>
      </c>
      <c r="G17" s="99">
        <v>3087.47</v>
      </c>
      <c r="H17" s="99">
        <v>0</v>
      </c>
      <c r="I17" s="99">
        <v>0</v>
      </c>
      <c r="J17" s="99">
        <f t="shared" si="2"/>
        <v>2384554.5700000003</v>
      </c>
      <c r="K17" s="99">
        <f t="shared" si="0"/>
        <v>2440390.52</v>
      </c>
      <c r="L17" s="99">
        <f t="shared" si="1"/>
        <v>2406225</v>
      </c>
      <c r="M17" s="99"/>
      <c r="N17" s="99"/>
      <c r="O17" s="99"/>
    </row>
    <row r="18" spans="1:15" ht="14.25">
      <c r="A18" s="98">
        <v>13</v>
      </c>
      <c r="B18" s="119">
        <v>42522</v>
      </c>
      <c r="C18" s="99">
        <v>0</v>
      </c>
      <c r="D18" s="99">
        <v>668830.92</v>
      </c>
      <c r="E18" s="99">
        <v>-77242.42</v>
      </c>
      <c r="F18" s="99">
        <v>336185.51</v>
      </c>
      <c r="G18" s="99">
        <v>6369.09</v>
      </c>
      <c r="H18" s="99">
        <v>0</v>
      </c>
      <c r="I18" s="99"/>
      <c r="J18" s="99">
        <f t="shared" si="2"/>
        <v>934143.1</v>
      </c>
      <c r="K18" s="99">
        <f t="shared" si="0"/>
        <v>1011385.52</v>
      </c>
      <c r="L18" s="99">
        <f t="shared" si="1"/>
        <v>997226</v>
      </c>
      <c r="M18" s="99"/>
      <c r="N18" s="99"/>
      <c r="O18" s="99"/>
    </row>
    <row r="19" spans="1:15" ht="14.25">
      <c r="A19" s="98">
        <v>14</v>
      </c>
      <c r="B19" s="119">
        <v>42552</v>
      </c>
      <c r="C19" s="99">
        <v>0</v>
      </c>
      <c r="D19" s="99">
        <v>1234700.31</v>
      </c>
      <c r="E19" s="99">
        <v>-44807.34</v>
      </c>
      <c r="F19" s="99">
        <v>310127.66</v>
      </c>
      <c r="G19" s="99">
        <v>2340.17</v>
      </c>
      <c r="H19" s="99">
        <v>0</v>
      </c>
      <c r="I19" s="99">
        <v>0</v>
      </c>
      <c r="J19" s="99">
        <f t="shared" si="2"/>
        <v>1502360.7999999998</v>
      </c>
      <c r="K19" s="99">
        <f t="shared" si="0"/>
        <v>1547168.14</v>
      </c>
      <c r="L19" s="99">
        <f>ROUND(K19*L$3,0)</f>
        <v>1525508</v>
      </c>
      <c r="M19" s="99"/>
      <c r="N19" s="99"/>
      <c r="O19" s="99"/>
    </row>
    <row r="20" spans="1:15" ht="14.25">
      <c r="A20" s="98">
        <v>15</v>
      </c>
      <c r="B20" s="119">
        <v>42583</v>
      </c>
      <c r="C20" s="99">
        <v>0</v>
      </c>
      <c r="D20" s="99">
        <v>2524749.6</v>
      </c>
      <c r="E20" s="99">
        <v>-35699.89</v>
      </c>
      <c r="F20" s="99">
        <v>2067656.87</v>
      </c>
      <c r="G20" s="99">
        <v>738.54</v>
      </c>
      <c r="H20" s="99">
        <v>0</v>
      </c>
      <c r="I20" s="99">
        <v>0</v>
      </c>
      <c r="J20" s="99">
        <f t="shared" si="2"/>
        <v>4557445.12</v>
      </c>
      <c r="K20" s="99">
        <f aca="true" t="shared" si="3" ref="K20:K79">C20+D20+F20+G20</f>
        <v>4593145.010000001</v>
      </c>
      <c r="L20" s="99">
        <f t="shared" si="1"/>
        <v>4528841</v>
      </c>
      <c r="M20" s="99"/>
      <c r="N20" s="99"/>
      <c r="O20" s="99"/>
    </row>
    <row r="21" spans="1:15" ht="14.25">
      <c r="A21" s="98">
        <v>16</v>
      </c>
      <c r="B21" s="119">
        <v>42614</v>
      </c>
      <c r="C21" s="99">
        <v>0</v>
      </c>
      <c r="D21" s="99">
        <v>2207110.67</v>
      </c>
      <c r="E21" s="99">
        <v>-8662.65</v>
      </c>
      <c r="F21" s="99">
        <v>1232171.94</v>
      </c>
      <c r="G21" s="99">
        <v>6022.85</v>
      </c>
      <c r="H21" s="99">
        <v>0</v>
      </c>
      <c r="I21" s="99">
        <v>0</v>
      </c>
      <c r="J21" s="99">
        <f t="shared" si="2"/>
        <v>3436642.81</v>
      </c>
      <c r="K21" s="99">
        <f t="shared" si="3"/>
        <v>3445305.46</v>
      </c>
      <c r="L21" s="99">
        <f t="shared" si="1"/>
        <v>3397071</v>
      </c>
      <c r="M21" s="99"/>
      <c r="N21" s="99"/>
      <c r="O21" s="99"/>
    </row>
    <row r="22" spans="1:15" ht="14.25">
      <c r="A22" s="98">
        <v>17</v>
      </c>
      <c r="B22" s="119">
        <v>42644</v>
      </c>
      <c r="C22" s="99"/>
      <c r="D22" s="99">
        <v>2463907.35</v>
      </c>
      <c r="E22" s="99">
        <v>-56336.6</v>
      </c>
      <c r="F22" s="99">
        <v>4450113.54</v>
      </c>
      <c r="G22" s="99">
        <v>-10151.1</v>
      </c>
      <c r="H22" s="99">
        <v>0</v>
      </c>
      <c r="I22" s="99">
        <v>0</v>
      </c>
      <c r="J22" s="99">
        <f t="shared" si="2"/>
        <v>6847533.19</v>
      </c>
      <c r="K22" s="99">
        <f t="shared" si="3"/>
        <v>6903869.790000001</v>
      </c>
      <c r="L22" s="99">
        <f t="shared" si="1"/>
        <v>6807216</v>
      </c>
      <c r="M22" s="99"/>
      <c r="N22" s="99"/>
      <c r="O22" s="99"/>
    </row>
    <row r="23" spans="1:15" ht="14.25">
      <c r="A23" s="98">
        <v>18</v>
      </c>
      <c r="B23" s="119">
        <v>42675</v>
      </c>
      <c r="C23" s="99"/>
      <c r="D23" s="99">
        <v>747204.6</v>
      </c>
      <c r="E23" s="99">
        <v>-24789.84</v>
      </c>
      <c r="F23" s="99">
        <v>1186265.59</v>
      </c>
      <c r="G23" s="99">
        <v>1339.61</v>
      </c>
      <c r="H23" s="99">
        <v>0</v>
      </c>
      <c r="I23" s="99">
        <v>0</v>
      </c>
      <c r="J23" s="99">
        <f t="shared" si="2"/>
        <v>1910019.9600000002</v>
      </c>
      <c r="K23" s="99">
        <f t="shared" si="3"/>
        <v>1934809.8</v>
      </c>
      <c r="L23" s="99">
        <f t="shared" si="1"/>
        <v>1907722</v>
      </c>
      <c r="M23" s="99"/>
      <c r="N23" s="99"/>
      <c r="O23" s="99"/>
    </row>
    <row r="24" spans="1:15" ht="14.25">
      <c r="A24" s="98">
        <v>19</v>
      </c>
      <c r="B24" s="119">
        <v>42705</v>
      </c>
      <c r="C24" s="99"/>
      <c r="D24" s="99">
        <v>544351.33</v>
      </c>
      <c r="E24" s="99">
        <v>-12306.62</v>
      </c>
      <c r="F24" s="99">
        <v>1613520.77</v>
      </c>
      <c r="G24" s="99">
        <v>3964.88</v>
      </c>
      <c r="H24" s="99">
        <v>0</v>
      </c>
      <c r="I24" s="99">
        <v>0</v>
      </c>
      <c r="J24" s="99">
        <f t="shared" si="2"/>
        <v>2149530.36</v>
      </c>
      <c r="K24" s="99">
        <f t="shared" si="3"/>
        <v>2161836.98</v>
      </c>
      <c r="L24" s="99">
        <f t="shared" si="1"/>
        <v>2131571</v>
      </c>
      <c r="M24" s="99"/>
      <c r="N24" s="99"/>
      <c r="O24" s="99"/>
    </row>
    <row r="25" spans="1:15" ht="14.25">
      <c r="A25" s="98">
        <v>20</v>
      </c>
      <c r="B25" s="119">
        <v>42736</v>
      </c>
      <c r="C25" s="99"/>
      <c r="D25" s="99">
        <v>389656.8</v>
      </c>
      <c r="E25" s="99">
        <v>-139081.98</v>
      </c>
      <c r="F25" s="99">
        <v>425944.87</v>
      </c>
      <c r="G25" s="99">
        <v>17037.37</v>
      </c>
      <c r="H25" s="99">
        <v>0</v>
      </c>
      <c r="I25" s="99">
        <v>0</v>
      </c>
      <c r="J25" s="99">
        <f t="shared" si="2"/>
        <v>693557.0599999999</v>
      </c>
      <c r="K25" s="99">
        <f t="shared" si="3"/>
        <v>832639.0399999999</v>
      </c>
      <c r="L25" s="99">
        <f t="shared" si="1"/>
        <v>820982</v>
      </c>
      <c r="M25" s="99"/>
      <c r="N25" s="99"/>
      <c r="O25" s="99"/>
    </row>
    <row r="26" spans="1:15" ht="14.25">
      <c r="A26" s="98">
        <v>20</v>
      </c>
      <c r="B26" s="119">
        <v>42767</v>
      </c>
      <c r="C26" s="99"/>
      <c r="D26" s="99">
        <v>184500.84</v>
      </c>
      <c r="E26" s="99">
        <v>-8969.81</v>
      </c>
      <c r="F26" s="99">
        <v>557995.5</v>
      </c>
      <c r="G26" s="99">
        <v>8041.96</v>
      </c>
      <c r="H26" s="99"/>
      <c r="I26" s="99"/>
      <c r="J26" s="99">
        <f t="shared" si="2"/>
        <v>741568.49</v>
      </c>
      <c r="K26" s="99">
        <f t="shared" si="3"/>
        <v>750538.2999999999</v>
      </c>
      <c r="L26" s="99">
        <f t="shared" si="1"/>
        <v>740031</v>
      </c>
      <c r="M26" s="99"/>
      <c r="N26" s="99"/>
      <c r="O26" s="99"/>
    </row>
    <row r="27" spans="1:15" ht="14.25">
      <c r="A27" s="98">
        <v>21</v>
      </c>
      <c r="B27" s="119">
        <v>42795</v>
      </c>
      <c r="C27" s="99"/>
      <c r="D27" s="99">
        <v>238426.61</v>
      </c>
      <c r="E27" s="99">
        <v>-3680.12</v>
      </c>
      <c r="F27" s="99">
        <v>1035427.53</v>
      </c>
      <c r="G27" s="99">
        <v>3847.6</v>
      </c>
      <c r="H27" s="99"/>
      <c r="I27" s="99"/>
      <c r="J27" s="99">
        <f>SUM(C27:I27)</f>
        <v>1274021.62</v>
      </c>
      <c r="K27" s="99">
        <f t="shared" si="3"/>
        <v>1277701.7400000002</v>
      </c>
      <c r="L27" s="99">
        <f t="shared" si="1"/>
        <v>1259814</v>
      </c>
      <c r="M27" s="99"/>
      <c r="N27" s="99"/>
      <c r="O27" s="99"/>
    </row>
    <row r="28" spans="1:15" ht="14.25">
      <c r="A28" s="98">
        <v>22</v>
      </c>
      <c r="B28" s="119">
        <v>42826</v>
      </c>
      <c r="C28" s="99"/>
      <c r="D28" s="99">
        <v>311671.76</v>
      </c>
      <c r="E28" s="99">
        <v>-2873.88</v>
      </c>
      <c r="F28" s="99">
        <v>894131.94</v>
      </c>
      <c r="G28" s="99">
        <v>11298.29</v>
      </c>
      <c r="H28" s="99"/>
      <c r="I28" s="99"/>
      <c r="J28" s="99">
        <f t="shared" si="2"/>
        <v>1214228.1099999999</v>
      </c>
      <c r="K28" s="99">
        <f t="shared" si="3"/>
        <v>1217101.99</v>
      </c>
      <c r="L28" s="99">
        <f t="shared" si="1"/>
        <v>1200063</v>
      </c>
      <c r="M28" s="99"/>
      <c r="N28" s="99"/>
      <c r="O28" s="99"/>
    </row>
    <row r="29" spans="1:15" ht="14.25">
      <c r="A29" s="98">
        <v>23</v>
      </c>
      <c r="B29" s="119">
        <v>42856</v>
      </c>
      <c r="C29" s="99"/>
      <c r="D29" s="99">
        <v>829727.28</v>
      </c>
      <c r="E29" s="99">
        <v>-7404.24</v>
      </c>
      <c r="F29" s="99">
        <v>1112697.69</v>
      </c>
      <c r="G29" s="99">
        <v>624.36</v>
      </c>
      <c r="H29" s="99"/>
      <c r="I29" s="99"/>
      <c r="J29" s="99">
        <f t="shared" si="2"/>
        <v>1935645.09</v>
      </c>
      <c r="K29" s="99">
        <f t="shared" si="3"/>
        <v>1943049.33</v>
      </c>
      <c r="L29" s="99">
        <f t="shared" si="1"/>
        <v>1915847</v>
      </c>
      <c r="M29" s="99"/>
      <c r="N29" s="99"/>
      <c r="O29" s="99"/>
    </row>
    <row r="30" spans="1:15" ht="14.25">
      <c r="A30" s="98">
        <v>24</v>
      </c>
      <c r="B30" s="119">
        <v>42887</v>
      </c>
      <c r="C30" s="99"/>
      <c r="D30" s="99">
        <v>253893.81</v>
      </c>
      <c r="E30" s="99">
        <v>-13618.32</v>
      </c>
      <c r="F30" s="99">
        <v>1529637.09</v>
      </c>
      <c r="G30" s="99">
        <v>835.39</v>
      </c>
      <c r="H30" s="99"/>
      <c r="I30" s="99"/>
      <c r="J30" s="99">
        <f t="shared" si="2"/>
        <v>1770747.97</v>
      </c>
      <c r="K30" s="99">
        <f t="shared" si="3"/>
        <v>1784366.29</v>
      </c>
      <c r="L30" s="99">
        <f t="shared" si="1"/>
        <v>1759385</v>
      </c>
      <c r="M30" s="99"/>
      <c r="N30" s="99"/>
      <c r="O30" s="99"/>
    </row>
    <row r="31" spans="1:15" ht="14.25" hidden="1">
      <c r="A31" s="98">
        <v>25</v>
      </c>
      <c r="B31" s="119">
        <v>42917</v>
      </c>
      <c r="C31" s="99"/>
      <c r="D31" s="99"/>
      <c r="E31" s="99"/>
      <c r="F31" s="99"/>
      <c r="G31" s="99"/>
      <c r="H31" s="99"/>
      <c r="I31" s="99"/>
      <c r="J31" s="99">
        <f t="shared" si="2"/>
        <v>0</v>
      </c>
      <c r="K31" s="99">
        <f t="shared" si="3"/>
        <v>0</v>
      </c>
      <c r="L31" s="99">
        <f t="shared" si="1"/>
        <v>0</v>
      </c>
      <c r="M31" s="99"/>
      <c r="N31" s="99"/>
      <c r="O31" s="99"/>
    </row>
    <row r="32" spans="1:15" ht="14.25" hidden="1">
      <c r="A32" s="98">
        <v>26</v>
      </c>
      <c r="B32" s="119">
        <v>42948</v>
      </c>
      <c r="C32" s="99"/>
      <c r="D32" s="99"/>
      <c r="E32" s="99"/>
      <c r="F32" s="99"/>
      <c r="G32" s="99"/>
      <c r="H32" s="99"/>
      <c r="I32" s="99"/>
      <c r="J32" s="99">
        <f t="shared" si="2"/>
        <v>0</v>
      </c>
      <c r="K32" s="99">
        <f t="shared" si="3"/>
        <v>0</v>
      </c>
      <c r="L32" s="99">
        <f t="shared" si="1"/>
        <v>0</v>
      </c>
      <c r="M32" s="99"/>
      <c r="N32" s="99"/>
      <c r="O32" s="99"/>
    </row>
    <row r="33" spans="1:15" ht="14.25" hidden="1">
      <c r="A33" s="98">
        <v>27</v>
      </c>
      <c r="B33" s="119">
        <v>42979</v>
      </c>
      <c r="C33" s="99"/>
      <c r="D33" s="99"/>
      <c r="E33" s="99"/>
      <c r="F33" s="99"/>
      <c r="G33" s="99"/>
      <c r="H33" s="99"/>
      <c r="I33" s="99"/>
      <c r="J33" s="99">
        <f t="shared" si="2"/>
        <v>0</v>
      </c>
      <c r="K33" s="99">
        <f t="shared" si="3"/>
        <v>0</v>
      </c>
      <c r="L33" s="99">
        <f t="shared" si="1"/>
        <v>0</v>
      </c>
      <c r="M33" s="99"/>
      <c r="N33" s="99"/>
      <c r="O33" s="99"/>
    </row>
    <row r="34" spans="1:15" ht="14.25" hidden="1">
      <c r="A34" s="98">
        <v>28</v>
      </c>
      <c r="B34" s="119">
        <v>43009</v>
      </c>
      <c r="C34" s="99"/>
      <c r="D34" s="99"/>
      <c r="E34" s="99"/>
      <c r="F34" s="99"/>
      <c r="G34" s="99"/>
      <c r="H34" s="99"/>
      <c r="I34" s="99"/>
      <c r="J34" s="99">
        <f t="shared" si="2"/>
        <v>0</v>
      </c>
      <c r="K34" s="99">
        <f t="shared" si="3"/>
        <v>0</v>
      </c>
      <c r="L34" s="99">
        <f t="shared" si="1"/>
        <v>0</v>
      </c>
      <c r="M34" s="99"/>
      <c r="N34" s="99"/>
      <c r="O34" s="99"/>
    </row>
    <row r="35" spans="1:15" ht="14.25" hidden="1">
      <c r="A35" s="98">
        <v>29</v>
      </c>
      <c r="B35" s="119">
        <v>43040</v>
      </c>
      <c r="C35" s="99"/>
      <c r="D35" s="99"/>
      <c r="E35" s="99"/>
      <c r="F35" s="99"/>
      <c r="G35" s="99"/>
      <c r="H35" s="99"/>
      <c r="I35" s="99"/>
      <c r="J35" s="99">
        <f t="shared" si="2"/>
        <v>0</v>
      </c>
      <c r="K35" s="99">
        <f t="shared" si="3"/>
        <v>0</v>
      </c>
      <c r="L35" s="99">
        <f t="shared" si="1"/>
        <v>0</v>
      </c>
      <c r="M35" s="99"/>
      <c r="N35" s="99"/>
      <c r="O35" s="99"/>
    </row>
    <row r="36" spans="1:15" ht="14.25" hidden="1">
      <c r="A36" s="98">
        <v>30</v>
      </c>
      <c r="B36" s="119">
        <v>43070</v>
      </c>
      <c r="C36" s="99"/>
      <c r="D36" s="99"/>
      <c r="E36" s="99"/>
      <c r="F36" s="99"/>
      <c r="G36" s="99"/>
      <c r="H36" s="99"/>
      <c r="I36" s="99"/>
      <c r="J36" s="99">
        <f t="shared" si="2"/>
        <v>0</v>
      </c>
      <c r="K36" s="99">
        <f t="shared" si="3"/>
        <v>0</v>
      </c>
      <c r="L36" s="99">
        <f t="shared" si="1"/>
        <v>0</v>
      </c>
      <c r="M36" s="99"/>
      <c r="N36" s="99"/>
      <c r="O36" s="99"/>
    </row>
    <row r="37" spans="1:15" ht="14.25" hidden="1">
      <c r="A37" s="98">
        <v>31</v>
      </c>
      <c r="B37" s="119">
        <v>43101</v>
      </c>
      <c r="C37" s="99"/>
      <c r="D37" s="99"/>
      <c r="E37" s="99"/>
      <c r="F37" s="99"/>
      <c r="G37" s="99"/>
      <c r="H37" s="99"/>
      <c r="I37" s="99"/>
      <c r="J37" s="99">
        <f t="shared" si="2"/>
        <v>0</v>
      </c>
      <c r="K37" s="99">
        <f t="shared" si="3"/>
        <v>0</v>
      </c>
      <c r="L37" s="99">
        <f t="shared" si="1"/>
        <v>0</v>
      </c>
      <c r="M37" s="99"/>
      <c r="N37" s="99"/>
      <c r="O37" s="99"/>
    </row>
    <row r="38" spans="1:15" ht="14.25" hidden="1">
      <c r="A38" s="98">
        <v>32</v>
      </c>
      <c r="B38" s="119">
        <v>43132</v>
      </c>
      <c r="C38" s="99"/>
      <c r="D38" s="99"/>
      <c r="E38" s="99"/>
      <c r="F38" s="99"/>
      <c r="G38" s="99"/>
      <c r="H38" s="99"/>
      <c r="I38" s="99"/>
      <c r="J38" s="99">
        <f t="shared" si="2"/>
        <v>0</v>
      </c>
      <c r="K38" s="99">
        <f t="shared" si="3"/>
        <v>0</v>
      </c>
      <c r="L38" s="99">
        <f t="shared" si="1"/>
        <v>0</v>
      </c>
      <c r="M38" s="99"/>
      <c r="N38" s="99"/>
      <c r="O38" s="99"/>
    </row>
    <row r="39" spans="1:15" ht="14.25" hidden="1">
      <c r="A39" s="98">
        <v>33</v>
      </c>
      <c r="B39" s="119">
        <v>43160</v>
      </c>
      <c r="C39" s="99"/>
      <c r="D39" s="99"/>
      <c r="E39" s="99"/>
      <c r="F39" s="99"/>
      <c r="G39" s="99"/>
      <c r="H39" s="99"/>
      <c r="I39" s="99"/>
      <c r="J39" s="99">
        <f t="shared" si="2"/>
        <v>0</v>
      </c>
      <c r="K39" s="99">
        <f t="shared" si="3"/>
        <v>0</v>
      </c>
      <c r="L39" s="99">
        <f t="shared" si="1"/>
        <v>0</v>
      </c>
      <c r="M39" s="99"/>
      <c r="N39" s="99"/>
      <c r="O39" s="99"/>
    </row>
    <row r="40" spans="1:15" ht="14.25" hidden="1">
      <c r="A40" s="98">
        <v>34</v>
      </c>
      <c r="B40" s="119">
        <v>43191</v>
      </c>
      <c r="C40" s="99"/>
      <c r="D40" s="99"/>
      <c r="E40" s="99"/>
      <c r="F40" s="99"/>
      <c r="G40" s="99"/>
      <c r="H40" s="99"/>
      <c r="I40" s="99"/>
      <c r="J40" s="99">
        <f t="shared" si="2"/>
        <v>0</v>
      </c>
      <c r="K40" s="99">
        <f t="shared" si="3"/>
        <v>0</v>
      </c>
      <c r="L40" s="99">
        <f t="shared" si="1"/>
        <v>0</v>
      </c>
      <c r="M40" s="99"/>
      <c r="N40" s="99"/>
      <c r="O40" s="99"/>
    </row>
    <row r="41" spans="1:15" ht="14.25" hidden="1">
      <c r="A41" s="98">
        <v>35</v>
      </c>
      <c r="B41" s="119">
        <v>43221</v>
      </c>
      <c r="C41" s="99"/>
      <c r="D41" s="99"/>
      <c r="E41" s="99"/>
      <c r="F41" s="99"/>
      <c r="G41" s="99"/>
      <c r="H41" s="99"/>
      <c r="I41" s="99"/>
      <c r="J41" s="99">
        <f t="shared" si="2"/>
        <v>0</v>
      </c>
      <c r="K41" s="99">
        <f t="shared" si="3"/>
        <v>0</v>
      </c>
      <c r="L41" s="99">
        <f t="shared" si="1"/>
        <v>0</v>
      </c>
      <c r="M41" s="99"/>
      <c r="N41" s="99"/>
      <c r="O41" s="99"/>
    </row>
    <row r="42" spans="1:15" ht="14.25" hidden="1">
      <c r="A42" s="98">
        <v>36</v>
      </c>
      <c r="B42" s="119">
        <v>43252</v>
      </c>
      <c r="C42" s="99"/>
      <c r="D42" s="99"/>
      <c r="E42" s="99"/>
      <c r="F42" s="99"/>
      <c r="G42" s="99"/>
      <c r="H42" s="99"/>
      <c r="I42" s="99"/>
      <c r="J42" s="99">
        <f t="shared" si="2"/>
        <v>0</v>
      </c>
      <c r="K42" s="99">
        <f t="shared" si="3"/>
        <v>0</v>
      </c>
      <c r="L42" s="99">
        <f t="shared" si="1"/>
        <v>0</v>
      </c>
      <c r="M42" s="99"/>
      <c r="N42" s="99"/>
      <c r="O42" s="99"/>
    </row>
    <row r="43" spans="1:15" ht="14.25" hidden="1">
      <c r="A43" s="98">
        <v>37</v>
      </c>
      <c r="B43" s="119">
        <v>43282</v>
      </c>
      <c r="C43" s="99"/>
      <c r="D43" s="99"/>
      <c r="E43" s="99"/>
      <c r="F43" s="99"/>
      <c r="G43" s="99"/>
      <c r="H43" s="99"/>
      <c r="I43" s="99"/>
      <c r="J43" s="99">
        <f t="shared" si="2"/>
        <v>0</v>
      </c>
      <c r="K43" s="99">
        <f t="shared" si="3"/>
        <v>0</v>
      </c>
      <c r="L43" s="99">
        <f t="shared" si="1"/>
        <v>0</v>
      </c>
      <c r="M43" s="99"/>
      <c r="N43" s="99"/>
      <c r="O43" s="99"/>
    </row>
    <row r="44" spans="1:15" ht="14.25" hidden="1">
      <c r="A44" s="98">
        <v>38</v>
      </c>
      <c r="B44" s="119">
        <v>43313</v>
      </c>
      <c r="C44" s="99"/>
      <c r="D44" s="99"/>
      <c r="E44" s="99"/>
      <c r="F44" s="99"/>
      <c r="G44" s="99"/>
      <c r="H44" s="99"/>
      <c r="I44" s="99"/>
      <c r="J44" s="99">
        <f t="shared" si="2"/>
        <v>0</v>
      </c>
      <c r="K44" s="99">
        <f t="shared" si="3"/>
        <v>0</v>
      </c>
      <c r="L44" s="99">
        <f t="shared" si="1"/>
        <v>0</v>
      </c>
      <c r="M44" s="99"/>
      <c r="N44" s="99"/>
      <c r="O44" s="99"/>
    </row>
    <row r="45" spans="1:15" ht="14.25" hidden="1">
      <c r="A45" s="98">
        <v>39</v>
      </c>
      <c r="B45" s="119">
        <v>43344</v>
      </c>
      <c r="C45" s="99"/>
      <c r="D45" s="99"/>
      <c r="E45" s="99"/>
      <c r="F45" s="99"/>
      <c r="G45" s="99"/>
      <c r="H45" s="99"/>
      <c r="I45" s="99"/>
      <c r="J45" s="99">
        <f t="shared" si="2"/>
        <v>0</v>
      </c>
      <c r="K45" s="99">
        <f t="shared" si="3"/>
        <v>0</v>
      </c>
      <c r="L45" s="99">
        <f t="shared" si="1"/>
        <v>0</v>
      </c>
      <c r="M45" s="99"/>
      <c r="N45" s="99"/>
      <c r="O45" s="99"/>
    </row>
    <row r="46" spans="1:15" ht="14.25" hidden="1">
      <c r="A46" s="98">
        <v>40</v>
      </c>
      <c r="B46" s="119">
        <v>43374</v>
      </c>
      <c r="C46" s="99"/>
      <c r="D46" s="99"/>
      <c r="E46" s="99"/>
      <c r="F46" s="99"/>
      <c r="G46" s="99"/>
      <c r="H46" s="99"/>
      <c r="I46" s="99"/>
      <c r="J46" s="99">
        <f t="shared" si="2"/>
        <v>0</v>
      </c>
      <c r="K46" s="99">
        <f t="shared" si="3"/>
        <v>0</v>
      </c>
      <c r="L46" s="99">
        <f t="shared" si="1"/>
        <v>0</v>
      </c>
      <c r="M46" s="99"/>
      <c r="N46" s="99"/>
      <c r="O46" s="99"/>
    </row>
    <row r="47" spans="1:15" ht="14.25" hidden="1">
      <c r="A47" s="98">
        <v>41</v>
      </c>
      <c r="B47" s="119">
        <v>43405</v>
      </c>
      <c r="C47" s="99"/>
      <c r="D47" s="99"/>
      <c r="E47" s="99"/>
      <c r="F47" s="99"/>
      <c r="G47" s="99"/>
      <c r="H47" s="99"/>
      <c r="I47" s="99"/>
      <c r="J47" s="99">
        <f t="shared" si="2"/>
        <v>0</v>
      </c>
      <c r="K47" s="99">
        <f t="shared" si="3"/>
        <v>0</v>
      </c>
      <c r="L47" s="99">
        <f t="shared" si="1"/>
        <v>0</v>
      </c>
      <c r="M47" s="99"/>
      <c r="N47" s="99"/>
      <c r="O47" s="99"/>
    </row>
    <row r="48" spans="1:15" ht="14.25" hidden="1">
      <c r="A48" s="98">
        <v>42</v>
      </c>
      <c r="B48" s="119">
        <v>43435</v>
      </c>
      <c r="C48" s="99"/>
      <c r="D48" s="99"/>
      <c r="E48" s="99"/>
      <c r="F48" s="99"/>
      <c r="G48" s="99"/>
      <c r="H48" s="99"/>
      <c r="I48" s="99"/>
      <c r="J48" s="99">
        <f t="shared" si="2"/>
        <v>0</v>
      </c>
      <c r="K48" s="99">
        <f t="shared" si="3"/>
        <v>0</v>
      </c>
      <c r="L48" s="99">
        <f t="shared" si="1"/>
        <v>0</v>
      </c>
      <c r="M48" s="99"/>
      <c r="N48" s="99"/>
      <c r="O48" s="99"/>
    </row>
    <row r="49" spans="1:15" ht="14.25" hidden="1">
      <c r="A49" s="98">
        <v>43</v>
      </c>
      <c r="B49" s="119">
        <v>43466</v>
      </c>
      <c r="C49" s="99"/>
      <c r="D49" s="99"/>
      <c r="E49" s="99"/>
      <c r="F49" s="99"/>
      <c r="G49" s="99"/>
      <c r="H49" s="99"/>
      <c r="I49" s="99"/>
      <c r="J49" s="99">
        <f t="shared" si="2"/>
        <v>0</v>
      </c>
      <c r="K49" s="99">
        <f t="shared" si="3"/>
        <v>0</v>
      </c>
      <c r="L49" s="99">
        <f t="shared" si="1"/>
        <v>0</v>
      </c>
      <c r="M49" s="99"/>
      <c r="N49" s="99"/>
      <c r="O49" s="99"/>
    </row>
    <row r="50" spans="1:15" ht="14.25" hidden="1">
      <c r="A50" s="98">
        <v>44</v>
      </c>
      <c r="B50" s="119">
        <v>43497</v>
      </c>
      <c r="C50" s="99"/>
      <c r="D50" s="99"/>
      <c r="E50" s="99"/>
      <c r="F50" s="99"/>
      <c r="G50" s="99"/>
      <c r="H50" s="99"/>
      <c r="I50" s="99"/>
      <c r="J50" s="99">
        <f t="shared" si="2"/>
        <v>0</v>
      </c>
      <c r="K50" s="99">
        <f t="shared" si="3"/>
        <v>0</v>
      </c>
      <c r="L50" s="99">
        <f t="shared" si="1"/>
        <v>0</v>
      </c>
      <c r="M50" s="99"/>
      <c r="N50" s="99"/>
      <c r="O50" s="99"/>
    </row>
    <row r="51" spans="1:15" ht="14.25" hidden="1">
      <c r="A51" s="98">
        <v>45</v>
      </c>
      <c r="B51" s="119">
        <v>43525</v>
      </c>
      <c r="C51" s="99"/>
      <c r="D51" s="99"/>
      <c r="E51" s="99"/>
      <c r="F51" s="99"/>
      <c r="G51" s="99"/>
      <c r="H51" s="99"/>
      <c r="I51" s="99"/>
      <c r="J51" s="99">
        <f t="shared" si="2"/>
        <v>0</v>
      </c>
      <c r="K51" s="99">
        <f t="shared" si="3"/>
        <v>0</v>
      </c>
      <c r="L51" s="99">
        <f t="shared" si="1"/>
        <v>0</v>
      </c>
      <c r="M51" s="99"/>
      <c r="N51" s="99"/>
      <c r="O51" s="99"/>
    </row>
    <row r="52" spans="1:15" ht="14.25" hidden="1">
      <c r="A52" s="98">
        <v>46</v>
      </c>
      <c r="B52" s="119">
        <v>43556</v>
      </c>
      <c r="C52" s="99"/>
      <c r="D52" s="99"/>
      <c r="E52" s="99"/>
      <c r="F52" s="99"/>
      <c r="G52" s="99"/>
      <c r="H52" s="99"/>
      <c r="I52" s="99"/>
      <c r="J52" s="99">
        <f t="shared" si="2"/>
        <v>0</v>
      </c>
      <c r="K52" s="99">
        <f t="shared" si="3"/>
        <v>0</v>
      </c>
      <c r="L52" s="99">
        <f t="shared" si="1"/>
        <v>0</v>
      </c>
      <c r="M52" s="99"/>
      <c r="N52" s="99"/>
      <c r="O52" s="99"/>
    </row>
    <row r="53" spans="1:15" ht="14.25" hidden="1">
      <c r="A53" s="98">
        <v>47</v>
      </c>
      <c r="B53" s="119">
        <v>43586</v>
      </c>
      <c r="C53" s="99"/>
      <c r="D53" s="99"/>
      <c r="E53" s="99"/>
      <c r="F53" s="99"/>
      <c r="G53" s="99"/>
      <c r="H53" s="99"/>
      <c r="I53" s="99"/>
      <c r="J53" s="99">
        <f t="shared" si="2"/>
        <v>0</v>
      </c>
      <c r="K53" s="99">
        <f t="shared" si="3"/>
        <v>0</v>
      </c>
      <c r="L53" s="99">
        <f t="shared" si="1"/>
        <v>0</v>
      </c>
      <c r="M53" s="99"/>
      <c r="N53" s="99"/>
      <c r="O53" s="99"/>
    </row>
    <row r="54" spans="1:15" ht="14.25" hidden="1">
      <c r="A54" s="98">
        <v>48</v>
      </c>
      <c r="B54" s="119">
        <v>43617</v>
      </c>
      <c r="C54" s="99"/>
      <c r="D54" s="99"/>
      <c r="E54" s="99"/>
      <c r="F54" s="99"/>
      <c r="G54" s="99"/>
      <c r="H54" s="99"/>
      <c r="I54" s="99"/>
      <c r="J54" s="99">
        <f t="shared" si="2"/>
        <v>0</v>
      </c>
      <c r="K54" s="99">
        <f t="shared" si="3"/>
        <v>0</v>
      </c>
      <c r="L54" s="99">
        <f t="shared" si="1"/>
        <v>0</v>
      </c>
      <c r="M54" s="99"/>
      <c r="N54" s="99"/>
      <c r="O54" s="99"/>
    </row>
    <row r="55" spans="1:15" ht="14.25" hidden="1">
      <c r="A55" s="98">
        <v>49</v>
      </c>
      <c r="B55" s="119">
        <v>43647</v>
      </c>
      <c r="C55" s="99"/>
      <c r="D55" s="99"/>
      <c r="E55" s="99"/>
      <c r="F55" s="99"/>
      <c r="G55" s="99"/>
      <c r="H55" s="99"/>
      <c r="I55" s="99"/>
      <c r="J55" s="99">
        <f t="shared" si="2"/>
        <v>0</v>
      </c>
      <c r="K55" s="99">
        <f t="shared" si="3"/>
        <v>0</v>
      </c>
      <c r="L55" s="99">
        <f t="shared" si="1"/>
        <v>0</v>
      </c>
      <c r="M55" s="99"/>
      <c r="N55" s="99"/>
      <c r="O55" s="99"/>
    </row>
    <row r="56" spans="1:15" ht="14.25" hidden="1">
      <c r="A56" s="98">
        <v>50</v>
      </c>
      <c r="B56" s="119">
        <v>43678</v>
      </c>
      <c r="C56" s="99"/>
      <c r="D56" s="99"/>
      <c r="E56" s="99"/>
      <c r="F56" s="99"/>
      <c r="G56" s="99"/>
      <c r="H56" s="99"/>
      <c r="I56" s="99"/>
      <c r="J56" s="99">
        <f t="shared" si="2"/>
        <v>0</v>
      </c>
      <c r="K56" s="99">
        <f t="shared" si="3"/>
        <v>0</v>
      </c>
      <c r="L56" s="99">
        <f t="shared" si="1"/>
        <v>0</v>
      </c>
      <c r="M56" s="99"/>
      <c r="N56" s="99"/>
      <c r="O56" s="99"/>
    </row>
    <row r="57" spans="1:15" ht="14.25" hidden="1">
      <c r="A57" s="98">
        <v>51</v>
      </c>
      <c r="B57" s="119">
        <v>43709</v>
      </c>
      <c r="C57" s="99"/>
      <c r="D57" s="99"/>
      <c r="E57" s="99"/>
      <c r="F57" s="99"/>
      <c r="G57" s="99"/>
      <c r="H57" s="99"/>
      <c r="I57" s="99"/>
      <c r="J57" s="99">
        <f t="shared" si="2"/>
        <v>0</v>
      </c>
      <c r="K57" s="99">
        <f t="shared" si="3"/>
        <v>0</v>
      </c>
      <c r="L57" s="99">
        <f t="shared" si="1"/>
        <v>0</v>
      </c>
      <c r="M57" s="99"/>
      <c r="N57" s="99"/>
      <c r="O57" s="99"/>
    </row>
    <row r="58" spans="1:15" ht="14.25" hidden="1">
      <c r="A58" s="98">
        <v>52</v>
      </c>
      <c r="B58" s="119">
        <v>43739</v>
      </c>
      <c r="C58" s="99"/>
      <c r="D58" s="99"/>
      <c r="E58" s="99"/>
      <c r="F58" s="99"/>
      <c r="G58" s="99"/>
      <c r="H58" s="99"/>
      <c r="I58" s="99"/>
      <c r="J58" s="99">
        <f t="shared" si="2"/>
        <v>0</v>
      </c>
      <c r="K58" s="99">
        <f t="shared" si="3"/>
        <v>0</v>
      </c>
      <c r="L58" s="99">
        <f t="shared" si="1"/>
        <v>0</v>
      </c>
      <c r="M58" s="99"/>
      <c r="N58" s="99"/>
      <c r="O58" s="99"/>
    </row>
    <row r="59" spans="1:15" ht="14.25" hidden="1">
      <c r="A59" s="98">
        <v>53</v>
      </c>
      <c r="B59" s="119">
        <v>43770</v>
      </c>
      <c r="C59" s="99"/>
      <c r="D59" s="99"/>
      <c r="E59" s="99"/>
      <c r="F59" s="99"/>
      <c r="G59" s="99"/>
      <c r="H59" s="99"/>
      <c r="I59" s="99"/>
      <c r="J59" s="99">
        <f t="shared" si="2"/>
        <v>0</v>
      </c>
      <c r="K59" s="99">
        <f t="shared" si="3"/>
        <v>0</v>
      </c>
      <c r="L59" s="99">
        <f t="shared" si="1"/>
        <v>0</v>
      </c>
      <c r="M59" s="99"/>
      <c r="N59" s="99"/>
      <c r="O59" s="99"/>
    </row>
    <row r="60" spans="1:15" ht="14.25" hidden="1">
      <c r="A60" s="98">
        <v>54</v>
      </c>
      <c r="B60" s="119">
        <v>43800</v>
      </c>
      <c r="C60" s="99"/>
      <c r="D60" s="99"/>
      <c r="E60" s="99"/>
      <c r="F60" s="99"/>
      <c r="G60" s="99"/>
      <c r="H60" s="99"/>
      <c r="I60" s="99"/>
      <c r="J60" s="99">
        <f t="shared" si="2"/>
        <v>0</v>
      </c>
      <c r="K60" s="99">
        <f t="shared" si="3"/>
        <v>0</v>
      </c>
      <c r="L60" s="99">
        <f t="shared" si="1"/>
        <v>0</v>
      </c>
      <c r="M60" s="99"/>
      <c r="N60" s="99"/>
      <c r="O60" s="99"/>
    </row>
    <row r="61" spans="1:15" ht="14.25" hidden="1">
      <c r="A61" s="98">
        <v>55</v>
      </c>
      <c r="B61" s="119">
        <v>43831</v>
      </c>
      <c r="C61" s="99"/>
      <c r="D61" s="99"/>
      <c r="E61" s="99"/>
      <c r="F61" s="99"/>
      <c r="G61" s="99"/>
      <c r="H61" s="99"/>
      <c r="I61" s="99"/>
      <c r="J61" s="99">
        <f t="shared" si="2"/>
        <v>0</v>
      </c>
      <c r="K61" s="99">
        <f t="shared" si="3"/>
        <v>0</v>
      </c>
      <c r="L61" s="99">
        <f t="shared" si="1"/>
        <v>0</v>
      </c>
      <c r="M61" s="99"/>
      <c r="N61" s="99"/>
      <c r="O61" s="99"/>
    </row>
    <row r="62" spans="1:15" ht="14.25" hidden="1">
      <c r="A62" s="98">
        <v>56</v>
      </c>
      <c r="B62" s="119">
        <v>43862</v>
      </c>
      <c r="C62" s="99"/>
      <c r="D62" s="99"/>
      <c r="E62" s="99"/>
      <c r="F62" s="99"/>
      <c r="G62" s="99"/>
      <c r="H62" s="99"/>
      <c r="I62" s="99"/>
      <c r="J62" s="99">
        <f t="shared" si="2"/>
        <v>0</v>
      </c>
      <c r="K62" s="99">
        <f t="shared" si="3"/>
        <v>0</v>
      </c>
      <c r="L62" s="99">
        <f t="shared" si="1"/>
        <v>0</v>
      </c>
      <c r="M62" s="99"/>
      <c r="N62" s="99"/>
      <c r="O62" s="99"/>
    </row>
    <row r="63" spans="1:15" ht="14.25" hidden="1">
      <c r="A63" s="98">
        <v>57</v>
      </c>
      <c r="B63" s="119">
        <v>43891</v>
      </c>
      <c r="C63" s="99"/>
      <c r="D63" s="99"/>
      <c r="E63" s="99"/>
      <c r="F63" s="99"/>
      <c r="G63" s="99"/>
      <c r="H63" s="99"/>
      <c r="I63" s="99"/>
      <c r="J63" s="99">
        <f t="shared" si="2"/>
        <v>0</v>
      </c>
      <c r="K63" s="99">
        <f t="shared" si="3"/>
        <v>0</v>
      </c>
      <c r="L63" s="99">
        <f t="shared" si="1"/>
        <v>0</v>
      </c>
      <c r="M63" s="99"/>
      <c r="N63" s="99"/>
      <c r="O63" s="99"/>
    </row>
    <row r="64" spans="1:15" ht="14.25" hidden="1">
      <c r="A64" s="98">
        <v>58</v>
      </c>
      <c r="B64" s="119">
        <v>43922</v>
      </c>
      <c r="C64" s="99"/>
      <c r="D64" s="99"/>
      <c r="E64" s="99"/>
      <c r="F64" s="99"/>
      <c r="G64" s="99"/>
      <c r="H64" s="99"/>
      <c r="I64" s="99"/>
      <c r="J64" s="99">
        <f t="shared" si="2"/>
        <v>0</v>
      </c>
      <c r="K64" s="99">
        <f t="shared" si="3"/>
        <v>0</v>
      </c>
      <c r="L64" s="99">
        <f t="shared" si="1"/>
        <v>0</v>
      </c>
      <c r="M64" s="99"/>
      <c r="N64" s="99"/>
      <c r="O64" s="99"/>
    </row>
    <row r="65" spans="1:15" ht="14.25" hidden="1">
      <c r="A65" s="98">
        <v>59</v>
      </c>
      <c r="B65" s="119">
        <v>43952</v>
      </c>
      <c r="C65" s="99"/>
      <c r="D65" s="99"/>
      <c r="E65" s="99"/>
      <c r="F65" s="99"/>
      <c r="G65" s="99"/>
      <c r="H65" s="99"/>
      <c r="I65" s="99"/>
      <c r="J65" s="99">
        <f t="shared" si="2"/>
        <v>0</v>
      </c>
      <c r="K65" s="99">
        <f t="shared" si="3"/>
        <v>0</v>
      </c>
      <c r="L65" s="99">
        <f t="shared" si="1"/>
        <v>0</v>
      </c>
      <c r="M65" s="99"/>
      <c r="N65" s="99"/>
      <c r="O65" s="99"/>
    </row>
    <row r="66" spans="1:15" ht="14.25" hidden="1">
      <c r="A66" s="98">
        <v>60</v>
      </c>
      <c r="B66" s="119">
        <v>43983</v>
      </c>
      <c r="C66" s="99"/>
      <c r="D66" s="99"/>
      <c r="E66" s="99"/>
      <c r="F66" s="99"/>
      <c r="G66" s="99"/>
      <c r="H66" s="99"/>
      <c r="I66" s="99"/>
      <c r="J66" s="99">
        <f t="shared" si="2"/>
        <v>0</v>
      </c>
      <c r="K66" s="99">
        <f t="shared" si="3"/>
        <v>0</v>
      </c>
      <c r="L66" s="99">
        <f t="shared" si="1"/>
        <v>0</v>
      </c>
      <c r="M66" s="99"/>
      <c r="N66" s="99"/>
      <c r="O66" s="99"/>
    </row>
    <row r="67" spans="1:15" ht="14.25" hidden="1">
      <c r="A67" s="98">
        <v>61</v>
      </c>
      <c r="B67" s="119">
        <v>44013</v>
      </c>
      <c r="C67" s="99"/>
      <c r="D67" s="99"/>
      <c r="E67" s="99"/>
      <c r="F67" s="99"/>
      <c r="G67" s="99"/>
      <c r="H67" s="99"/>
      <c r="I67" s="99"/>
      <c r="J67" s="99">
        <f t="shared" si="2"/>
        <v>0</v>
      </c>
      <c r="K67" s="99">
        <f t="shared" si="3"/>
        <v>0</v>
      </c>
      <c r="L67" s="99">
        <f t="shared" si="1"/>
        <v>0</v>
      </c>
      <c r="M67" s="99"/>
      <c r="N67" s="99"/>
      <c r="O67" s="99"/>
    </row>
    <row r="68" spans="1:15" ht="14.25" hidden="1">
      <c r="A68" s="98">
        <v>62</v>
      </c>
      <c r="B68" s="119">
        <v>44044</v>
      </c>
      <c r="C68" s="99"/>
      <c r="D68" s="99"/>
      <c r="E68" s="99"/>
      <c r="F68" s="99"/>
      <c r="G68" s="99"/>
      <c r="H68" s="99"/>
      <c r="I68" s="99"/>
      <c r="J68" s="99">
        <f t="shared" si="2"/>
        <v>0</v>
      </c>
      <c r="K68" s="99">
        <f t="shared" si="3"/>
        <v>0</v>
      </c>
      <c r="L68" s="99">
        <f t="shared" si="1"/>
        <v>0</v>
      </c>
      <c r="M68" s="99"/>
      <c r="N68" s="99"/>
      <c r="O68" s="99"/>
    </row>
    <row r="69" spans="1:15" ht="14.25" hidden="1">
      <c r="A69" s="98">
        <v>63</v>
      </c>
      <c r="B69" s="119">
        <v>44075</v>
      </c>
      <c r="C69" s="99"/>
      <c r="D69" s="99"/>
      <c r="E69" s="99"/>
      <c r="F69" s="99"/>
      <c r="G69" s="99"/>
      <c r="H69" s="99"/>
      <c r="I69" s="99"/>
      <c r="J69" s="99">
        <f t="shared" si="2"/>
        <v>0</v>
      </c>
      <c r="K69" s="99">
        <f t="shared" si="3"/>
        <v>0</v>
      </c>
      <c r="L69" s="99">
        <f t="shared" si="1"/>
        <v>0</v>
      </c>
      <c r="M69" s="99"/>
      <c r="N69" s="99"/>
      <c r="O69" s="99"/>
    </row>
    <row r="70" spans="1:15" ht="14.25" hidden="1">
      <c r="A70" s="98">
        <v>64</v>
      </c>
      <c r="B70" s="119">
        <v>44105</v>
      </c>
      <c r="C70" s="99"/>
      <c r="D70" s="99"/>
      <c r="E70" s="99"/>
      <c r="F70" s="99"/>
      <c r="G70" s="99"/>
      <c r="H70" s="99"/>
      <c r="I70" s="99"/>
      <c r="J70" s="99">
        <f t="shared" si="2"/>
        <v>0</v>
      </c>
      <c r="K70" s="99">
        <f t="shared" si="3"/>
        <v>0</v>
      </c>
      <c r="L70" s="99">
        <f aca="true" t="shared" si="4" ref="L70:L133">ROUND(K70*L$3,0)</f>
        <v>0</v>
      </c>
      <c r="M70" s="99"/>
      <c r="N70" s="99"/>
      <c r="O70" s="99"/>
    </row>
    <row r="71" spans="1:15" ht="14.25" hidden="1">
      <c r="A71" s="98">
        <v>65</v>
      </c>
      <c r="B71" s="119">
        <v>44136</v>
      </c>
      <c r="C71" s="99"/>
      <c r="D71" s="99"/>
      <c r="E71" s="99"/>
      <c r="F71" s="99"/>
      <c r="G71" s="99"/>
      <c r="H71" s="99"/>
      <c r="I71" s="99"/>
      <c r="J71" s="99">
        <f t="shared" si="2"/>
        <v>0</v>
      </c>
      <c r="K71" s="99">
        <f t="shared" si="3"/>
        <v>0</v>
      </c>
      <c r="L71" s="99">
        <f t="shared" si="4"/>
        <v>0</v>
      </c>
      <c r="M71" s="99"/>
      <c r="N71" s="99"/>
      <c r="O71" s="99"/>
    </row>
    <row r="72" spans="1:15" ht="14.25" hidden="1">
      <c r="A72" s="98">
        <v>66</v>
      </c>
      <c r="B72" s="119">
        <v>44166</v>
      </c>
      <c r="C72" s="99"/>
      <c r="D72" s="99"/>
      <c r="E72" s="99"/>
      <c r="F72" s="99"/>
      <c r="G72" s="99"/>
      <c r="H72" s="99"/>
      <c r="I72" s="99"/>
      <c r="J72" s="99">
        <f aca="true" t="shared" si="5" ref="J72:J135">SUM(C72:I72)</f>
        <v>0</v>
      </c>
      <c r="K72" s="99">
        <f t="shared" si="3"/>
        <v>0</v>
      </c>
      <c r="L72" s="99">
        <f t="shared" si="4"/>
        <v>0</v>
      </c>
      <c r="M72" s="99"/>
      <c r="N72" s="99"/>
      <c r="O72" s="99"/>
    </row>
    <row r="73" spans="1:15" ht="14.25" hidden="1">
      <c r="A73" s="98">
        <v>67</v>
      </c>
      <c r="B73" s="119">
        <v>44197</v>
      </c>
      <c r="C73" s="99"/>
      <c r="D73" s="99"/>
      <c r="E73" s="99"/>
      <c r="F73" s="99"/>
      <c r="G73" s="99"/>
      <c r="H73" s="99"/>
      <c r="I73" s="99"/>
      <c r="J73" s="99">
        <f t="shared" si="5"/>
        <v>0</v>
      </c>
      <c r="K73" s="99">
        <f t="shared" si="3"/>
        <v>0</v>
      </c>
      <c r="L73" s="99">
        <f t="shared" si="4"/>
        <v>0</v>
      </c>
      <c r="M73" s="99"/>
      <c r="N73" s="99"/>
      <c r="O73" s="99"/>
    </row>
    <row r="74" spans="1:15" ht="14.25" hidden="1">
      <c r="A74" s="98">
        <v>68</v>
      </c>
      <c r="B74" s="119">
        <v>44228</v>
      </c>
      <c r="C74" s="99"/>
      <c r="D74" s="99"/>
      <c r="E74" s="99"/>
      <c r="F74" s="99"/>
      <c r="G74" s="99"/>
      <c r="H74" s="99"/>
      <c r="I74" s="99"/>
      <c r="J74" s="99">
        <f t="shared" si="5"/>
        <v>0</v>
      </c>
      <c r="K74" s="99">
        <f t="shared" si="3"/>
        <v>0</v>
      </c>
      <c r="L74" s="99">
        <f t="shared" si="4"/>
        <v>0</v>
      </c>
      <c r="M74" s="99"/>
      <c r="N74" s="99"/>
      <c r="O74" s="99"/>
    </row>
    <row r="75" spans="1:15" ht="14.25" hidden="1">
      <c r="A75" s="98">
        <v>69</v>
      </c>
      <c r="B75" s="119">
        <v>44256</v>
      </c>
      <c r="C75" s="99"/>
      <c r="D75" s="99"/>
      <c r="E75" s="99"/>
      <c r="F75" s="99"/>
      <c r="G75" s="99"/>
      <c r="H75" s="99"/>
      <c r="I75" s="99"/>
      <c r="J75" s="99">
        <f t="shared" si="5"/>
        <v>0</v>
      </c>
      <c r="K75" s="99">
        <f t="shared" si="3"/>
        <v>0</v>
      </c>
      <c r="L75" s="99">
        <f t="shared" si="4"/>
        <v>0</v>
      </c>
      <c r="M75" s="99"/>
      <c r="N75" s="99"/>
      <c r="O75" s="99"/>
    </row>
    <row r="76" spans="1:15" ht="14.25" hidden="1">
      <c r="A76" s="98">
        <v>70</v>
      </c>
      <c r="B76" s="119">
        <v>44287</v>
      </c>
      <c r="C76" s="99"/>
      <c r="D76" s="99"/>
      <c r="E76" s="99"/>
      <c r="F76" s="99"/>
      <c r="G76" s="99"/>
      <c r="H76" s="99"/>
      <c r="I76" s="99"/>
      <c r="J76" s="99">
        <f t="shared" si="5"/>
        <v>0</v>
      </c>
      <c r="K76" s="99">
        <f t="shared" si="3"/>
        <v>0</v>
      </c>
      <c r="L76" s="99">
        <f t="shared" si="4"/>
        <v>0</v>
      </c>
      <c r="M76" s="99"/>
      <c r="N76" s="99"/>
      <c r="O76" s="99"/>
    </row>
    <row r="77" spans="1:15" ht="14.25" hidden="1">
      <c r="A77" s="98">
        <v>71</v>
      </c>
      <c r="B77" s="119">
        <v>44317</v>
      </c>
      <c r="C77" s="99"/>
      <c r="D77" s="99"/>
      <c r="E77" s="99"/>
      <c r="F77" s="99"/>
      <c r="G77" s="99"/>
      <c r="H77" s="99"/>
      <c r="I77" s="99"/>
      <c r="J77" s="99">
        <f t="shared" si="5"/>
        <v>0</v>
      </c>
      <c r="K77" s="99">
        <f t="shared" si="3"/>
        <v>0</v>
      </c>
      <c r="L77" s="99">
        <f t="shared" si="4"/>
        <v>0</v>
      </c>
      <c r="M77" s="99"/>
      <c r="N77" s="99"/>
      <c r="O77" s="99"/>
    </row>
    <row r="78" spans="1:15" ht="14.25" hidden="1">
      <c r="A78" s="98">
        <v>72</v>
      </c>
      <c r="B78" s="119">
        <v>44348</v>
      </c>
      <c r="C78" s="99"/>
      <c r="D78" s="99"/>
      <c r="E78" s="99"/>
      <c r="F78" s="99"/>
      <c r="G78" s="99"/>
      <c r="H78" s="99"/>
      <c r="I78" s="99"/>
      <c r="J78" s="99">
        <f t="shared" si="5"/>
        <v>0</v>
      </c>
      <c r="K78" s="99">
        <f t="shared" si="3"/>
        <v>0</v>
      </c>
      <c r="L78" s="99">
        <f t="shared" si="4"/>
        <v>0</v>
      </c>
      <c r="M78" s="99"/>
      <c r="N78" s="99"/>
      <c r="O78" s="99"/>
    </row>
    <row r="79" spans="1:15" ht="14.25" hidden="1">
      <c r="A79" s="98">
        <v>73</v>
      </c>
      <c r="B79" s="119">
        <v>44378</v>
      </c>
      <c r="C79" s="99"/>
      <c r="D79" s="99"/>
      <c r="E79" s="99"/>
      <c r="F79" s="99"/>
      <c r="G79" s="99"/>
      <c r="H79" s="99"/>
      <c r="I79" s="99"/>
      <c r="J79" s="99">
        <f t="shared" si="5"/>
        <v>0</v>
      </c>
      <c r="K79" s="99">
        <f t="shared" si="3"/>
        <v>0</v>
      </c>
      <c r="L79" s="99">
        <f t="shared" si="4"/>
        <v>0</v>
      </c>
      <c r="M79" s="99"/>
      <c r="N79" s="99"/>
      <c r="O79" s="99"/>
    </row>
    <row r="80" spans="1:15" ht="14.25" hidden="1">
      <c r="A80" s="98">
        <v>74</v>
      </c>
      <c r="B80" s="119">
        <v>44409</v>
      </c>
      <c r="C80" s="99"/>
      <c r="D80" s="99"/>
      <c r="E80" s="99"/>
      <c r="F80" s="99"/>
      <c r="G80" s="99"/>
      <c r="H80" s="99"/>
      <c r="I80" s="99"/>
      <c r="J80" s="99">
        <f t="shared" si="5"/>
        <v>0</v>
      </c>
      <c r="K80" s="99">
        <f aca="true" t="shared" si="6" ref="K80:K143">C80+D80+F80+G80</f>
        <v>0</v>
      </c>
      <c r="L80" s="99">
        <f t="shared" si="4"/>
        <v>0</v>
      </c>
      <c r="M80" s="99"/>
      <c r="N80" s="99"/>
      <c r="O80" s="99"/>
    </row>
    <row r="81" spans="1:15" ht="14.25" hidden="1">
      <c r="A81" s="98">
        <v>75</v>
      </c>
      <c r="B81" s="119">
        <v>44440</v>
      </c>
      <c r="C81" s="99"/>
      <c r="D81" s="99"/>
      <c r="E81" s="99"/>
      <c r="F81" s="99"/>
      <c r="G81" s="99"/>
      <c r="H81" s="99"/>
      <c r="I81" s="99"/>
      <c r="J81" s="99">
        <f t="shared" si="5"/>
        <v>0</v>
      </c>
      <c r="K81" s="99">
        <f t="shared" si="6"/>
        <v>0</v>
      </c>
      <c r="L81" s="99">
        <f t="shared" si="4"/>
        <v>0</v>
      </c>
      <c r="M81" s="99"/>
      <c r="N81" s="99"/>
      <c r="O81" s="99"/>
    </row>
    <row r="82" spans="1:15" ht="14.25" hidden="1">
      <c r="A82" s="98">
        <v>76</v>
      </c>
      <c r="B82" s="119">
        <v>44470</v>
      </c>
      <c r="C82" s="99"/>
      <c r="D82" s="99"/>
      <c r="E82" s="99"/>
      <c r="F82" s="99"/>
      <c r="G82" s="99"/>
      <c r="H82" s="99"/>
      <c r="I82" s="99"/>
      <c r="J82" s="99">
        <f t="shared" si="5"/>
        <v>0</v>
      </c>
      <c r="K82" s="99">
        <f t="shared" si="6"/>
        <v>0</v>
      </c>
      <c r="L82" s="99">
        <f t="shared" si="4"/>
        <v>0</v>
      </c>
      <c r="M82" s="99"/>
      <c r="N82" s="99"/>
      <c r="O82" s="99"/>
    </row>
    <row r="83" spans="1:15" ht="14.25" hidden="1">
      <c r="A83" s="98">
        <v>77</v>
      </c>
      <c r="B83" s="119">
        <v>44501</v>
      </c>
      <c r="C83" s="99"/>
      <c r="D83" s="99"/>
      <c r="E83" s="99"/>
      <c r="F83" s="99"/>
      <c r="G83" s="99"/>
      <c r="H83" s="99"/>
      <c r="I83" s="99"/>
      <c r="J83" s="99">
        <f t="shared" si="5"/>
        <v>0</v>
      </c>
      <c r="K83" s="99">
        <f t="shared" si="6"/>
        <v>0</v>
      </c>
      <c r="L83" s="99">
        <f t="shared" si="4"/>
        <v>0</v>
      </c>
      <c r="M83" s="99"/>
      <c r="N83" s="99"/>
      <c r="O83" s="99"/>
    </row>
    <row r="84" spans="1:15" ht="14.25" hidden="1">
      <c r="A84" s="98">
        <v>78</v>
      </c>
      <c r="B84" s="119">
        <v>44531</v>
      </c>
      <c r="C84" s="99"/>
      <c r="D84" s="99"/>
      <c r="E84" s="99"/>
      <c r="F84" s="99"/>
      <c r="G84" s="99"/>
      <c r="H84" s="99"/>
      <c r="I84" s="99"/>
      <c r="J84" s="99">
        <f t="shared" si="5"/>
        <v>0</v>
      </c>
      <c r="K84" s="99">
        <f t="shared" si="6"/>
        <v>0</v>
      </c>
      <c r="L84" s="99">
        <f t="shared" si="4"/>
        <v>0</v>
      </c>
      <c r="M84" s="99"/>
      <c r="N84" s="99"/>
      <c r="O84" s="99"/>
    </row>
    <row r="85" spans="1:15" ht="14.25" hidden="1">
      <c r="A85" s="98">
        <v>79</v>
      </c>
      <c r="B85" s="119">
        <v>44562</v>
      </c>
      <c r="C85" s="99"/>
      <c r="D85" s="99"/>
      <c r="E85" s="99"/>
      <c r="F85" s="99"/>
      <c r="G85" s="99"/>
      <c r="H85" s="99"/>
      <c r="I85" s="99"/>
      <c r="J85" s="99">
        <f t="shared" si="5"/>
        <v>0</v>
      </c>
      <c r="K85" s="99">
        <f t="shared" si="6"/>
        <v>0</v>
      </c>
      <c r="L85" s="99">
        <f t="shared" si="4"/>
        <v>0</v>
      </c>
      <c r="M85" s="99"/>
      <c r="N85" s="99"/>
      <c r="O85" s="99"/>
    </row>
    <row r="86" spans="1:15" ht="14.25" hidden="1">
      <c r="A86" s="98">
        <v>80</v>
      </c>
      <c r="B86" s="119">
        <v>44593</v>
      </c>
      <c r="C86" s="99"/>
      <c r="D86" s="99"/>
      <c r="E86" s="99"/>
      <c r="F86" s="99"/>
      <c r="G86" s="99"/>
      <c r="H86" s="99"/>
      <c r="I86" s="99"/>
      <c r="J86" s="99">
        <f t="shared" si="5"/>
        <v>0</v>
      </c>
      <c r="K86" s="99">
        <f t="shared" si="6"/>
        <v>0</v>
      </c>
      <c r="L86" s="99">
        <f t="shared" si="4"/>
        <v>0</v>
      </c>
      <c r="M86" s="99"/>
      <c r="N86" s="99"/>
      <c r="O86" s="99"/>
    </row>
    <row r="87" spans="1:15" ht="14.25" hidden="1">
      <c r="A87" s="98">
        <v>81</v>
      </c>
      <c r="B87" s="119">
        <v>44621</v>
      </c>
      <c r="C87" s="99"/>
      <c r="D87" s="99"/>
      <c r="E87" s="99"/>
      <c r="F87" s="99"/>
      <c r="G87" s="99"/>
      <c r="H87" s="99"/>
      <c r="I87" s="99"/>
      <c r="J87" s="99">
        <f t="shared" si="5"/>
        <v>0</v>
      </c>
      <c r="K87" s="99">
        <f t="shared" si="6"/>
        <v>0</v>
      </c>
      <c r="L87" s="99">
        <f t="shared" si="4"/>
        <v>0</v>
      </c>
      <c r="M87" s="99"/>
      <c r="N87" s="99"/>
      <c r="O87" s="99"/>
    </row>
    <row r="88" spans="1:15" ht="14.25" hidden="1">
      <c r="A88" s="98">
        <v>82</v>
      </c>
      <c r="B88" s="119">
        <v>44652</v>
      </c>
      <c r="C88" s="99"/>
      <c r="D88" s="99"/>
      <c r="E88" s="99"/>
      <c r="F88" s="99"/>
      <c r="G88" s="99"/>
      <c r="H88" s="99"/>
      <c r="I88" s="99"/>
      <c r="J88" s="99">
        <f t="shared" si="5"/>
        <v>0</v>
      </c>
      <c r="K88" s="99">
        <f t="shared" si="6"/>
        <v>0</v>
      </c>
      <c r="L88" s="99">
        <f t="shared" si="4"/>
        <v>0</v>
      </c>
      <c r="M88" s="99"/>
      <c r="N88" s="99"/>
      <c r="O88" s="99"/>
    </row>
    <row r="89" spans="1:15" ht="14.25" hidden="1">
      <c r="A89" s="98">
        <v>83</v>
      </c>
      <c r="B89" s="119">
        <v>44682</v>
      </c>
      <c r="C89" s="99"/>
      <c r="D89" s="99"/>
      <c r="E89" s="99"/>
      <c r="F89" s="99"/>
      <c r="G89" s="99"/>
      <c r="H89" s="99"/>
      <c r="I89" s="99"/>
      <c r="J89" s="99">
        <f t="shared" si="5"/>
        <v>0</v>
      </c>
      <c r="K89" s="99">
        <f t="shared" si="6"/>
        <v>0</v>
      </c>
      <c r="L89" s="99">
        <f t="shared" si="4"/>
        <v>0</v>
      </c>
      <c r="M89" s="99"/>
      <c r="N89" s="99"/>
      <c r="O89" s="99"/>
    </row>
    <row r="90" spans="1:15" ht="14.25" hidden="1">
      <c r="A90" s="98">
        <v>84</v>
      </c>
      <c r="B90" s="119">
        <v>44713</v>
      </c>
      <c r="C90" s="99"/>
      <c r="D90" s="99"/>
      <c r="E90" s="99"/>
      <c r="F90" s="99"/>
      <c r="G90" s="99"/>
      <c r="H90" s="99"/>
      <c r="I90" s="99"/>
      <c r="J90" s="99">
        <f t="shared" si="5"/>
        <v>0</v>
      </c>
      <c r="K90" s="99">
        <f t="shared" si="6"/>
        <v>0</v>
      </c>
      <c r="L90" s="99">
        <f t="shared" si="4"/>
        <v>0</v>
      </c>
      <c r="M90" s="99"/>
      <c r="N90" s="99"/>
      <c r="O90" s="99"/>
    </row>
    <row r="91" spans="1:15" ht="14.25" hidden="1">
      <c r="A91" s="98">
        <v>85</v>
      </c>
      <c r="B91" s="119">
        <v>44743</v>
      </c>
      <c r="C91" s="99"/>
      <c r="D91" s="99"/>
      <c r="E91" s="99"/>
      <c r="F91" s="99"/>
      <c r="G91" s="99"/>
      <c r="H91" s="99"/>
      <c r="I91" s="99"/>
      <c r="J91" s="99">
        <f t="shared" si="5"/>
        <v>0</v>
      </c>
      <c r="K91" s="99">
        <f t="shared" si="6"/>
        <v>0</v>
      </c>
      <c r="L91" s="99">
        <f t="shared" si="4"/>
        <v>0</v>
      </c>
      <c r="M91" s="99"/>
      <c r="N91" s="99"/>
      <c r="O91" s="99"/>
    </row>
    <row r="92" spans="1:15" ht="14.25" hidden="1">
      <c r="A92" s="98">
        <v>86</v>
      </c>
      <c r="B92" s="119">
        <v>44774</v>
      </c>
      <c r="C92" s="99"/>
      <c r="D92" s="99"/>
      <c r="E92" s="99"/>
      <c r="F92" s="99"/>
      <c r="G92" s="99"/>
      <c r="H92" s="99"/>
      <c r="I92" s="99"/>
      <c r="J92" s="99">
        <f t="shared" si="5"/>
        <v>0</v>
      </c>
      <c r="K92" s="99">
        <f t="shared" si="6"/>
        <v>0</v>
      </c>
      <c r="L92" s="99">
        <f t="shared" si="4"/>
        <v>0</v>
      </c>
      <c r="M92" s="99"/>
      <c r="N92" s="99"/>
      <c r="O92" s="99"/>
    </row>
    <row r="93" spans="1:15" ht="14.25" hidden="1">
      <c r="A93" s="98">
        <v>87</v>
      </c>
      <c r="B93" s="119">
        <v>44805</v>
      </c>
      <c r="C93" s="99"/>
      <c r="D93" s="99"/>
      <c r="E93" s="99"/>
      <c r="F93" s="99"/>
      <c r="G93" s="99"/>
      <c r="H93" s="99"/>
      <c r="I93" s="99"/>
      <c r="J93" s="99">
        <f t="shared" si="5"/>
        <v>0</v>
      </c>
      <c r="K93" s="99">
        <f t="shared" si="6"/>
        <v>0</v>
      </c>
      <c r="L93" s="99">
        <f t="shared" si="4"/>
        <v>0</v>
      </c>
      <c r="M93" s="99"/>
      <c r="N93" s="99"/>
      <c r="O93" s="99"/>
    </row>
    <row r="94" spans="1:15" ht="14.25" hidden="1">
      <c r="A94" s="98">
        <v>88</v>
      </c>
      <c r="B94" s="119">
        <v>44835</v>
      </c>
      <c r="C94" s="99"/>
      <c r="D94" s="99"/>
      <c r="E94" s="99"/>
      <c r="F94" s="99"/>
      <c r="G94" s="99"/>
      <c r="H94" s="99"/>
      <c r="I94" s="99"/>
      <c r="J94" s="99">
        <f t="shared" si="5"/>
        <v>0</v>
      </c>
      <c r="K94" s="99">
        <f t="shared" si="6"/>
        <v>0</v>
      </c>
      <c r="L94" s="99">
        <f t="shared" si="4"/>
        <v>0</v>
      </c>
      <c r="M94" s="99"/>
      <c r="N94" s="99"/>
      <c r="O94" s="99"/>
    </row>
    <row r="95" spans="1:15" ht="14.25" hidden="1">
      <c r="A95" s="98">
        <v>89</v>
      </c>
      <c r="B95" s="119">
        <v>44866</v>
      </c>
      <c r="C95" s="99"/>
      <c r="D95" s="99"/>
      <c r="E95" s="99"/>
      <c r="F95" s="99"/>
      <c r="G95" s="99"/>
      <c r="H95" s="99"/>
      <c r="I95" s="99"/>
      <c r="J95" s="99">
        <f t="shared" si="5"/>
        <v>0</v>
      </c>
      <c r="K95" s="99">
        <f t="shared" si="6"/>
        <v>0</v>
      </c>
      <c r="L95" s="99">
        <f t="shared" si="4"/>
        <v>0</v>
      </c>
      <c r="M95" s="99"/>
      <c r="N95" s="99"/>
      <c r="O95" s="99"/>
    </row>
    <row r="96" spans="1:15" ht="14.25" hidden="1">
      <c r="A96" s="98">
        <v>90</v>
      </c>
      <c r="B96" s="119">
        <v>44896</v>
      </c>
      <c r="C96" s="99"/>
      <c r="D96" s="99"/>
      <c r="E96" s="99"/>
      <c r="F96" s="99"/>
      <c r="G96" s="99"/>
      <c r="H96" s="99"/>
      <c r="I96" s="99"/>
      <c r="J96" s="99">
        <f t="shared" si="5"/>
        <v>0</v>
      </c>
      <c r="K96" s="99">
        <f t="shared" si="6"/>
        <v>0</v>
      </c>
      <c r="L96" s="99">
        <f t="shared" si="4"/>
        <v>0</v>
      </c>
      <c r="M96" s="99"/>
      <c r="N96" s="99"/>
      <c r="O96" s="99"/>
    </row>
    <row r="97" spans="1:15" ht="14.25" hidden="1">
      <c r="A97" s="98">
        <v>91</v>
      </c>
      <c r="B97" s="119">
        <v>44927</v>
      </c>
      <c r="C97" s="99"/>
      <c r="D97" s="99"/>
      <c r="E97" s="99"/>
      <c r="F97" s="99"/>
      <c r="G97" s="99"/>
      <c r="H97" s="99"/>
      <c r="I97" s="99"/>
      <c r="J97" s="99">
        <f t="shared" si="5"/>
        <v>0</v>
      </c>
      <c r="K97" s="99">
        <f t="shared" si="6"/>
        <v>0</v>
      </c>
      <c r="L97" s="99">
        <f t="shared" si="4"/>
        <v>0</v>
      </c>
      <c r="M97" s="99"/>
      <c r="N97" s="99"/>
      <c r="O97" s="99"/>
    </row>
    <row r="98" spans="1:15" ht="14.25" hidden="1">
      <c r="A98" s="98">
        <v>92</v>
      </c>
      <c r="B98" s="119">
        <v>44958</v>
      </c>
      <c r="C98" s="99"/>
      <c r="D98" s="99"/>
      <c r="E98" s="99"/>
      <c r="F98" s="99"/>
      <c r="G98" s="99"/>
      <c r="H98" s="99"/>
      <c r="I98" s="99"/>
      <c r="J98" s="99">
        <f t="shared" si="5"/>
        <v>0</v>
      </c>
      <c r="K98" s="99">
        <f t="shared" si="6"/>
        <v>0</v>
      </c>
      <c r="L98" s="99">
        <f t="shared" si="4"/>
        <v>0</v>
      </c>
      <c r="M98" s="99"/>
      <c r="N98" s="99"/>
      <c r="O98" s="99"/>
    </row>
    <row r="99" spans="1:15" ht="14.25" hidden="1">
      <c r="A99" s="98">
        <v>93</v>
      </c>
      <c r="B99" s="119">
        <v>44986</v>
      </c>
      <c r="C99" s="99"/>
      <c r="D99" s="99"/>
      <c r="E99" s="99"/>
      <c r="F99" s="99"/>
      <c r="G99" s="99"/>
      <c r="H99" s="99"/>
      <c r="I99" s="99"/>
      <c r="J99" s="99">
        <f t="shared" si="5"/>
        <v>0</v>
      </c>
      <c r="K99" s="99">
        <f t="shared" si="6"/>
        <v>0</v>
      </c>
      <c r="L99" s="99">
        <f t="shared" si="4"/>
        <v>0</v>
      </c>
      <c r="M99" s="99"/>
      <c r="N99" s="99"/>
      <c r="O99" s="99"/>
    </row>
    <row r="100" spans="1:15" ht="14.25" hidden="1">
      <c r="A100" s="98">
        <v>94</v>
      </c>
      <c r="B100" s="119">
        <v>45017</v>
      </c>
      <c r="C100" s="99"/>
      <c r="D100" s="99"/>
      <c r="E100" s="99"/>
      <c r="F100" s="99"/>
      <c r="G100" s="99"/>
      <c r="H100" s="99"/>
      <c r="I100" s="99"/>
      <c r="J100" s="99">
        <f t="shared" si="5"/>
        <v>0</v>
      </c>
      <c r="K100" s="99">
        <f t="shared" si="6"/>
        <v>0</v>
      </c>
      <c r="L100" s="99">
        <f t="shared" si="4"/>
        <v>0</v>
      </c>
      <c r="M100" s="99"/>
      <c r="N100" s="99"/>
      <c r="O100" s="99"/>
    </row>
    <row r="101" spans="1:15" ht="14.25" hidden="1">
      <c r="A101" s="98">
        <v>95</v>
      </c>
      <c r="B101" s="119">
        <v>45047</v>
      </c>
      <c r="C101" s="99"/>
      <c r="D101" s="99"/>
      <c r="E101" s="99"/>
      <c r="F101" s="99"/>
      <c r="G101" s="99"/>
      <c r="H101" s="99"/>
      <c r="I101" s="99"/>
      <c r="J101" s="99">
        <f t="shared" si="5"/>
        <v>0</v>
      </c>
      <c r="K101" s="99">
        <f t="shared" si="6"/>
        <v>0</v>
      </c>
      <c r="L101" s="99">
        <f t="shared" si="4"/>
        <v>0</v>
      </c>
      <c r="M101" s="99"/>
      <c r="N101" s="99"/>
      <c r="O101" s="99"/>
    </row>
    <row r="102" spans="1:15" ht="14.25" hidden="1">
      <c r="A102" s="98">
        <v>96</v>
      </c>
      <c r="B102" s="119">
        <v>45078</v>
      </c>
      <c r="C102" s="99"/>
      <c r="D102" s="99"/>
      <c r="E102" s="99"/>
      <c r="F102" s="99"/>
      <c r="G102" s="99"/>
      <c r="H102" s="99"/>
      <c r="I102" s="99"/>
      <c r="J102" s="99">
        <f t="shared" si="5"/>
        <v>0</v>
      </c>
      <c r="K102" s="99">
        <f t="shared" si="6"/>
        <v>0</v>
      </c>
      <c r="L102" s="99">
        <f t="shared" si="4"/>
        <v>0</v>
      </c>
      <c r="M102" s="99"/>
      <c r="N102" s="99"/>
      <c r="O102" s="99"/>
    </row>
    <row r="103" spans="1:15" ht="14.25" hidden="1">
      <c r="A103" s="98">
        <v>97</v>
      </c>
      <c r="B103" s="119">
        <v>45108</v>
      </c>
      <c r="C103" s="99"/>
      <c r="D103" s="99"/>
      <c r="E103" s="99"/>
      <c r="F103" s="99"/>
      <c r="G103" s="99"/>
      <c r="H103" s="99"/>
      <c r="I103" s="99"/>
      <c r="J103" s="99">
        <f t="shared" si="5"/>
        <v>0</v>
      </c>
      <c r="K103" s="99">
        <f t="shared" si="6"/>
        <v>0</v>
      </c>
      <c r="L103" s="99">
        <f t="shared" si="4"/>
        <v>0</v>
      </c>
      <c r="M103" s="99"/>
      <c r="N103" s="99"/>
      <c r="O103" s="99"/>
    </row>
    <row r="104" spans="1:15" ht="14.25" hidden="1">
      <c r="A104" s="98">
        <v>98</v>
      </c>
      <c r="B104" s="119">
        <v>45139</v>
      </c>
      <c r="C104" s="99"/>
      <c r="D104" s="99"/>
      <c r="E104" s="99"/>
      <c r="F104" s="99"/>
      <c r="G104" s="99"/>
      <c r="H104" s="99"/>
      <c r="I104" s="99"/>
      <c r="J104" s="99">
        <f t="shared" si="5"/>
        <v>0</v>
      </c>
      <c r="K104" s="99">
        <f t="shared" si="6"/>
        <v>0</v>
      </c>
      <c r="L104" s="99">
        <f t="shared" si="4"/>
        <v>0</v>
      </c>
      <c r="M104" s="99"/>
      <c r="N104" s="99"/>
      <c r="O104" s="99"/>
    </row>
    <row r="105" spans="1:15" ht="14.25" hidden="1">
      <c r="A105" s="98">
        <v>99</v>
      </c>
      <c r="B105" s="119">
        <v>45170</v>
      </c>
      <c r="C105" s="99"/>
      <c r="D105" s="99"/>
      <c r="E105" s="99"/>
      <c r="F105" s="99"/>
      <c r="G105" s="99"/>
      <c r="H105" s="99"/>
      <c r="I105" s="99"/>
      <c r="J105" s="99">
        <f t="shared" si="5"/>
        <v>0</v>
      </c>
      <c r="K105" s="99">
        <f t="shared" si="6"/>
        <v>0</v>
      </c>
      <c r="L105" s="99">
        <f t="shared" si="4"/>
        <v>0</v>
      </c>
      <c r="M105" s="99"/>
      <c r="N105" s="99"/>
      <c r="O105" s="99"/>
    </row>
    <row r="106" spans="1:15" ht="14.25" hidden="1">
      <c r="A106" s="98">
        <v>100</v>
      </c>
      <c r="B106" s="119">
        <v>45200</v>
      </c>
      <c r="C106" s="99"/>
      <c r="D106" s="99"/>
      <c r="E106" s="99"/>
      <c r="F106" s="99"/>
      <c r="G106" s="99"/>
      <c r="H106" s="99"/>
      <c r="I106" s="99"/>
      <c r="J106" s="99">
        <f t="shared" si="5"/>
        <v>0</v>
      </c>
      <c r="K106" s="99">
        <f t="shared" si="6"/>
        <v>0</v>
      </c>
      <c r="L106" s="99">
        <f t="shared" si="4"/>
        <v>0</v>
      </c>
      <c r="M106" s="99"/>
      <c r="N106" s="99"/>
      <c r="O106" s="99"/>
    </row>
    <row r="107" spans="1:15" ht="14.25" hidden="1">
      <c r="A107" s="98">
        <v>101</v>
      </c>
      <c r="B107" s="119">
        <v>45231</v>
      </c>
      <c r="C107" s="99"/>
      <c r="D107" s="99"/>
      <c r="E107" s="99"/>
      <c r="F107" s="99"/>
      <c r="G107" s="99"/>
      <c r="H107" s="99"/>
      <c r="I107" s="99"/>
      <c r="J107" s="99">
        <f t="shared" si="5"/>
        <v>0</v>
      </c>
      <c r="K107" s="99">
        <f t="shared" si="6"/>
        <v>0</v>
      </c>
      <c r="L107" s="99">
        <f t="shared" si="4"/>
        <v>0</v>
      </c>
      <c r="M107" s="99"/>
      <c r="N107" s="99"/>
      <c r="O107" s="99"/>
    </row>
    <row r="108" spans="1:15" ht="14.25" hidden="1">
      <c r="A108" s="98">
        <v>102</v>
      </c>
      <c r="B108" s="119">
        <v>45261</v>
      </c>
      <c r="C108" s="99"/>
      <c r="D108" s="99"/>
      <c r="E108" s="99"/>
      <c r="F108" s="99"/>
      <c r="G108" s="99"/>
      <c r="H108" s="99"/>
      <c r="I108" s="99"/>
      <c r="J108" s="99">
        <f t="shared" si="5"/>
        <v>0</v>
      </c>
      <c r="K108" s="99">
        <f t="shared" si="6"/>
        <v>0</v>
      </c>
      <c r="L108" s="99">
        <f t="shared" si="4"/>
        <v>0</v>
      </c>
      <c r="M108" s="99"/>
      <c r="N108" s="99"/>
      <c r="O108" s="99"/>
    </row>
    <row r="109" spans="1:15" ht="14.25" hidden="1">
      <c r="A109" s="98">
        <v>103</v>
      </c>
      <c r="B109" s="119">
        <v>45292</v>
      </c>
      <c r="C109" s="99"/>
      <c r="D109" s="99"/>
      <c r="E109" s="99"/>
      <c r="F109" s="99"/>
      <c r="G109" s="99"/>
      <c r="H109" s="99"/>
      <c r="I109" s="99"/>
      <c r="J109" s="99">
        <f t="shared" si="5"/>
        <v>0</v>
      </c>
      <c r="K109" s="99">
        <f t="shared" si="6"/>
        <v>0</v>
      </c>
      <c r="L109" s="99">
        <f t="shared" si="4"/>
        <v>0</v>
      </c>
      <c r="M109" s="99"/>
      <c r="N109" s="99"/>
      <c r="O109" s="99"/>
    </row>
    <row r="110" spans="1:15" ht="14.25" hidden="1">
      <c r="A110" s="98">
        <v>104</v>
      </c>
      <c r="B110" s="119">
        <v>45323</v>
      </c>
      <c r="C110" s="99"/>
      <c r="D110" s="99"/>
      <c r="E110" s="99"/>
      <c r="F110" s="99"/>
      <c r="G110" s="99"/>
      <c r="H110" s="99"/>
      <c r="I110" s="99"/>
      <c r="J110" s="99">
        <f t="shared" si="5"/>
        <v>0</v>
      </c>
      <c r="K110" s="99">
        <f t="shared" si="6"/>
        <v>0</v>
      </c>
      <c r="L110" s="99">
        <f t="shared" si="4"/>
        <v>0</v>
      </c>
      <c r="M110" s="99"/>
      <c r="N110" s="99"/>
      <c r="O110" s="99"/>
    </row>
    <row r="111" spans="1:15" ht="14.25" hidden="1">
      <c r="A111" s="98">
        <v>105</v>
      </c>
      <c r="B111" s="119">
        <v>45352</v>
      </c>
      <c r="C111" s="99"/>
      <c r="D111" s="99"/>
      <c r="E111" s="99"/>
      <c r="F111" s="99"/>
      <c r="G111" s="99"/>
      <c r="H111" s="99"/>
      <c r="I111" s="99"/>
      <c r="J111" s="99">
        <f t="shared" si="5"/>
        <v>0</v>
      </c>
      <c r="K111" s="99">
        <f t="shared" si="6"/>
        <v>0</v>
      </c>
      <c r="L111" s="99">
        <f t="shared" si="4"/>
        <v>0</v>
      </c>
      <c r="M111" s="99"/>
      <c r="N111" s="99"/>
      <c r="O111" s="99"/>
    </row>
    <row r="112" spans="1:15" ht="14.25" hidden="1">
      <c r="A112" s="98">
        <v>106</v>
      </c>
      <c r="B112" s="119">
        <v>45383</v>
      </c>
      <c r="C112" s="99"/>
      <c r="D112" s="99"/>
      <c r="E112" s="99"/>
      <c r="F112" s="99"/>
      <c r="G112" s="99"/>
      <c r="H112" s="99"/>
      <c r="I112" s="99"/>
      <c r="J112" s="99">
        <f t="shared" si="5"/>
        <v>0</v>
      </c>
      <c r="K112" s="99">
        <f t="shared" si="6"/>
        <v>0</v>
      </c>
      <c r="L112" s="99">
        <f t="shared" si="4"/>
        <v>0</v>
      </c>
      <c r="M112" s="99"/>
      <c r="N112" s="99"/>
      <c r="O112" s="99"/>
    </row>
    <row r="113" spans="1:15" ht="14.25" hidden="1">
      <c r="A113" s="98">
        <v>107</v>
      </c>
      <c r="B113" s="119">
        <v>45413</v>
      </c>
      <c r="C113" s="99"/>
      <c r="D113" s="99"/>
      <c r="E113" s="99"/>
      <c r="F113" s="99"/>
      <c r="G113" s="99"/>
      <c r="H113" s="99"/>
      <c r="I113" s="99"/>
      <c r="J113" s="99">
        <f t="shared" si="5"/>
        <v>0</v>
      </c>
      <c r="K113" s="99">
        <f t="shared" si="6"/>
        <v>0</v>
      </c>
      <c r="L113" s="99">
        <f t="shared" si="4"/>
        <v>0</v>
      </c>
      <c r="M113" s="99"/>
      <c r="N113" s="99"/>
      <c r="O113" s="99"/>
    </row>
    <row r="114" spans="1:15" ht="14.25" hidden="1">
      <c r="A114" s="98">
        <v>108</v>
      </c>
      <c r="B114" s="119">
        <v>45444</v>
      </c>
      <c r="C114" s="99"/>
      <c r="D114" s="99"/>
      <c r="E114" s="99"/>
      <c r="F114" s="99"/>
      <c r="G114" s="99"/>
      <c r="H114" s="99"/>
      <c r="I114" s="99"/>
      <c r="J114" s="99">
        <f t="shared" si="5"/>
        <v>0</v>
      </c>
      <c r="K114" s="99">
        <f t="shared" si="6"/>
        <v>0</v>
      </c>
      <c r="L114" s="99">
        <f t="shared" si="4"/>
        <v>0</v>
      </c>
      <c r="M114" s="99"/>
      <c r="N114" s="99"/>
      <c r="O114" s="99"/>
    </row>
    <row r="115" spans="1:15" ht="14.25" hidden="1">
      <c r="A115" s="98">
        <v>109</v>
      </c>
      <c r="B115" s="119">
        <v>45474</v>
      </c>
      <c r="C115" s="99"/>
      <c r="D115" s="99"/>
      <c r="E115" s="99"/>
      <c r="F115" s="99"/>
      <c r="G115" s="99"/>
      <c r="H115" s="99"/>
      <c r="I115" s="99"/>
      <c r="J115" s="99">
        <f t="shared" si="5"/>
        <v>0</v>
      </c>
      <c r="K115" s="99">
        <f t="shared" si="6"/>
        <v>0</v>
      </c>
      <c r="L115" s="99">
        <f t="shared" si="4"/>
        <v>0</v>
      </c>
      <c r="M115" s="99"/>
      <c r="N115" s="99"/>
      <c r="O115" s="99"/>
    </row>
    <row r="116" spans="1:15" ht="14.25" hidden="1">
      <c r="A116" s="98">
        <v>110</v>
      </c>
      <c r="B116" s="119">
        <v>45505</v>
      </c>
      <c r="C116" s="99"/>
      <c r="D116" s="99"/>
      <c r="E116" s="99"/>
      <c r="F116" s="99"/>
      <c r="G116" s="99"/>
      <c r="H116" s="99"/>
      <c r="I116" s="99"/>
      <c r="J116" s="99">
        <f t="shared" si="5"/>
        <v>0</v>
      </c>
      <c r="K116" s="99">
        <f t="shared" si="6"/>
        <v>0</v>
      </c>
      <c r="L116" s="99">
        <f t="shared" si="4"/>
        <v>0</v>
      </c>
      <c r="M116" s="99"/>
      <c r="N116" s="99"/>
      <c r="O116" s="99"/>
    </row>
    <row r="117" spans="1:15" ht="14.25" hidden="1">
      <c r="A117" s="98">
        <v>111</v>
      </c>
      <c r="B117" s="119">
        <v>45536</v>
      </c>
      <c r="C117" s="99"/>
      <c r="D117" s="99"/>
      <c r="E117" s="99"/>
      <c r="F117" s="99"/>
      <c r="G117" s="99"/>
      <c r="H117" s="99"/>
      <c r="I117" s="99"/>
      <c r="J117" s="99">
        <f t="shared" si="5"/>
        <v>0</v>
      </c>
      <c r="K117" s="99">
        <f t="shared" si="6"/>
        <v>0</v>
      </c>
      <c r="L117" s="99">
        <f t="shared" si="4"/>
        <v>0</v>
      </c>
      <c r="M117" s="99"/>
      <c r="N117" s="99"/>
      <c r="O117" s="99"/>
    </row>
    <row r="118" spans="1:15" ht="14.25" hidden="1">
      <c r="A118" s="98">
        <v>112</v>
      </c>
      <c r="B118" s="119">
        <v>45566</v>
      </c>
      <c r="C118" s="99"/>
      <c r="D118" s="99"/>
      <c r="E118" s="99"/>
      <c r="F118" s="99"/>
      <c r="G118" s="99"/>
      <c r="H118" s="99"/>
      <c r="I118" s="99"/>
      <c r="J118" s="99">
        <f t="shared" si="5"/>
        <v>0</v>
      </c>
      <c r="K118" s="99">
        <f t="shared" si="6"/>
        <v>0</v>
      </c>
      <c r="L118" s="99">
        <f t="shared" si="4"/>
        <v>0</v>
      </c>
      <c r="M118" s="99"/>
      <c r="N118" s="99"/>
      <c r="O118" s="99"/>
    </row>
    <row r="119" spans="1:15" ht="14.25" hidden="1">
      <c r="A119" s="98">
        <v>113</v>
      </c>
      <c r="B119" s="119">
        <v>45597</v>
      </c>
      <c r="C119" s="99"/>
      <c r="D119" s="99"/>
      <c r="E119" s="99"/>
      <c r="F119" s="99"/>
      <c r="G119" s="99"/>
      <c r="H119" s="99"/>
      <c r="I119" s="99"/>
      <c r="J119" s="99">
        <f t="shared" si="5"/>
        <v>0</v>
      </c>
      <c r="K119" s="99">
        <f t="shared" si="6"/>
        <v>0</v>
      </c>
      <c r="L119" s="99">
        <f t="shared" si="4"/>
        <v>0</v>
      </c>
      <c r="M119" s="99"/>
      <c r="N119" s="99"/>
      <c r="O119" s="99"/>
    </row>
    <row r="120" spans="1:15" ht="14.25" hidden="1">
      <c r="A120" s="98">
        <v>114</v>
      </c>
      <c r="B120" s="119">
        <v>45627</v>
      </c>
      <c r="C120" s="99"/>
      <c r="D120" s="99"/>
      <c r="E120" s="99"/>
      <c r="F120" s="99"/>
      <c r="G120" s="99"/>
      <c r="H120" s="99"/>
      <c r="I120" s="99"/>
      <c r="J120" s="99">
        <f t="shared" si="5"/>
        <v>0</v>
      </c>
      <c r="K120" s="99">
        <f t="shared" si="6"/>
        <v>0</v>
      </c>
      <c r="L120" s="99">
        <f t="shared" si="4"/>
        <v>0</v>
      </c>
      <c r="M120" s="99"/>
      <c r="N120" s="99"/>
      <c r="O120" s="99"/>
    </row>
    <row r="121" spans="1:15" ht="14.25" hidden="1">
      <c r="A121" s="98">
        <v>115</v>
      </c>
      <c r="B121" s="119">
        <v>45658</v>
      </c>
      <c r="C121" s="99"/>
      <c r="D121" s="99"/>
      <c r="E121" s="99"/>
      <c r="F121" s="99"/>
      <c r="G121" s="99"/>
      <c r="H121" s="99"/>
      <c r="I121" s="99"/>
      <c r="J121" s="99">
        <f t="shared" si="5"/>
        <v>0</v>
      </c>
      <c r="K121" s="99">
        <f t="shared" si="6"/>
        <v>0</v>
      </c>
      <c r="L121" s="99">
        <f t="shared" si="4"/>
        <v>0</v>
      </c>
      <c r="M121" s="99"/>
      <c r="N121" s="99"/>
      <c r="O121" s="99"/>
    </row>
    <row r="122" spans="1:15" ht="14.25" hidden="1">
      <c r="A122" s="98">
        <v>116</v>
      </c>
      <c r="B122" s="119">
        <v>45689</v>
      </c>
      <c r="C122" s="99"/>
      <c r="D122" s="99"/>
      <c r="E122" s="99"/>
      <c r="F122" s="99"/>
      <c r="G122" s="99"/>
      <c r="H122" s="99"/>
      <c r="I122" s="99"/>
      <c r="J122" s="99">
        <f t="shared" si="5"/>
        <v>0</v>
      </c>
      <c r="K122" s="99">
        <f t="shared" si="6"/>
        <v>0</v>
      </c>
      <c r="L122" s="99">
        <f t="shared" si="4"/>
        <v>0</v>
      </c>
      <c r="M122" s="99"/>
      <c r="N122" s="99"/>
      <c r="O122" s="99"/>
    </row>
    <row r="123" spans="1:15" ht="14.25" hidden="1">
      <c r="A123" s="98">
        <v>117</v>
      </c>
      <c r="B123" s="119">
        <v>45717</v>
      </c>
      <c r="C123" s="99"/>
      <c r="D123" s="99"/>
      <c r="E123" s="99"/>
      <c r="F123" s="99"/>
      <c r="G123" s="99"/>
      <c r="H123" s="99"/>
      <c r="I123" s="99"/>
      <c r="J123" s="99">
        <f t="shared" si="5"/>
        <v>0</v>
      </c>
      <c r="K123" s="99">
        <f t="shared" si="6"/>
        <v>0</v>
      </c>
      <c r="L123" s="99">
        <f t="shared" si="4"/>
        <v>0</v>
      </c>
      <c r="M123" s="99"/>
      <c r="N123" s="99"/>
      <c r="O123" s="99"/>
    </row>
    <row r="124" spans="1:15" ht="14.25" hidden="1">
      <c r="A124" s="98">
        <v>118</v>
      </c>
      <c r="B124" s="119">
        <v>45748</v>
      </c>
      <c r="C124" s="99"/>
      <c r="D124" s="99"/>
      <c r="E124" s="99"/>
      <c r="F124" s="99"/>
      <c r="G124" s="99"/>
      <c r="H124" s="99"/>
      <c r="I124" s="99"/>
      <c r="J124" s="99">
        <f t="shared" si="5"/>
        <v>0</v>
      </c>
      <c r="K124" s="99">
        <f t="shared" si="6"/>
        <v>0</v>
      </c>
      <c r="L124" s="99">
        <f t="shared" si="4"/>
        <v>0</v>
      </c>
      <c r="M124" s="99"/>
      <c r="N124" s="99"/>
      <c r="O124" s="99"/>
    </row>
    <row r="125" spans="1:15" ht="14.25" hidden="1">
      <c r="A125" s="98">
        <v>119</v>
      </c>
      <c r="B125" s="119">
        <v>45778</v>
      </c>
      <c r="C125" s="99"/>
      <c r="D125" s="99"/>
      <c r="E125" s="99"/>
      <c r="F125" s="99"/>
      <c r="G125" s="99"/>
      <c r="H125" s="99"/>
      <c r="I125" s="99"/>
      <c r="J125" s="99">
        <f t="shared" si="5"/>
        <v>0</v>
      </c>
      <c r="K125" s="99">
        <f t="shared" si="6"/>
        <v>0</v>
      </c>
      <c r="L125" s="99">
        <f t="shared" si="4"/>
        <v>0</v>
      </c>
      <c r="M125" s="99"/>
      <c r="N125" s="99"/>
      <c r="O125" s="99"/>
    </row>
    <row r="126" spans="1:15" ht="14.25" hidden="1">
      <c r="A126" s="98">
        <v>120</v>
      </c>
      <c r="B126" s="119">
        <v>45809</v>
      </c>
      <c r="C126" s="99"/>
      <c r="D126" s="99"/>
      <c r="E126" s="99"/>
      <c r="F126" s="99"/>
      <c r="G126" s="99"/>
      <c r="H126" s="99"/>
      <c r="I126" s="99"/>
      <c r="J126" s="99">
        <f t="shared" si="5"/>
        <v>0</v>
      </c>
      <c r="K126" s="99">
        <f t="shared" si="6"/>
        <v>0</v>
      </c>
      <c r="L126" s="99">
        <f t="shared" si="4"/>
        <v>0</v>
      </c>
      <c r="M126" s="99"/>
      <c r="N126" s="99"/>
      <c r="O126" s="99"/>
    </row>
    <row r="127" spans="1:15" ht="14.25" hidden="1">
      <c r="A127" s="98">
        <v>121</v>
      </c>
      <c r="B127" s="119">
        <v>45839</v>
      </c>
      <c r="C127" s="99"/>
      <c r="D127" s="99"/>
      <c r="E127" s="99"/>
      <c r="F127" s="99"/>
      <c r="G127" s="99"/>
      <c r="H127" s="99"/>
      <c r="I127" s="99"/>
      <c r="J127" s="99">
        <f t="shared" si="5"/>
        <v>0</v>
      </c>
      <c r="K127" s="99">
        <f t="shared" si="6"/>
        <v>0</v>
      </c>
      <c r="L127" s="99">
        <f t="shared" si="4"/>
        <v>0</v>
      </c>
      <c r="M127" s="99"/>
      <c r="N127" s="99"/>
      <c r="O127" s="99"/>
    </row>
    <row r="128" spans="1:15" ht="14.25" hidden="1">
      <c r="A128" s="98">
        <v>122</v>
      </c>
      <c r="B128" s="119">
        <v>45870</v>
      </c>
      <c r="C128" s="99"/>
      <c r="D128" s="99"/>
      <c r="E128" s="99"/>
      <c r="F128" s="99"/>
      <c r="G128" s="99"/>
      <c r="H128" s="99"/>
      <c r="I128" s="99"/>
      <c r="J128" s="99">
        <f t="shared" si="5"/>
        <v>0</v>
      </c>
      <c r="K128" s="99">
        <f t="shared" si="6"/>
        <v>0</v>
      </c>
      <c r="L128" s="99">
        <f t="shared" si="4"/>
        <v>0</v>
      </c>
      <c r="M128" s="99"/>
      <c r="N128" s="99"/>
      <c r="O128" s="99"/>
    </row>
    <row r="129" spans="1:15" ht="14.25" hidden="1">
      <c r="A129" s="98">
        <v>123</v>
      </c>
      <c r="B129" s="119">
        <v>45901</v>
      </c>
      <c r="C129" s="99"/>
      <c r="D129" s="99"/>
      <c r="E129" s="99"/>
      <c r="F129" s="99"/>
      <c r="G129" s="99"/>
      <c r="H129" s="99"/>
      <c r="I129" s="99"/>
      <c r="J129" s="99">
        <f t="shared" si="5"/>
        <v>0</v>
      </c>
      <c r="K129" s="99">
        <f t="shared" si="6"/>
        <v>0</v>
      </c>
      <c r="L129" s="99">
        <f t="shared" si="4"/>
        <v>0</v>
      </c>
      <c r="M129" s="99"/>
      <c r="N129" s="99"/>
      <c r="O129" s="99"/>
    </row>
    <row r="130" spans="1:15" ht="14.25" hidden="1">
      <c r="A130" s="98">
        <v>124</v>
      </c>
      <c r="B130" s="119">
        <v>45931</v>
      </c>
      <c r="C130" s="99"/>
      <c r="D130" s="99"/>
      <c r="E130" s="99"/>
      <c r="F130" s="99"/>
      <c r="G130" s="99"/>
      <c r="H130" s="99"/>
      <c r="I130" s="99"/>
      <c r="J130" s="99">
        <f t="shared" si="5"/>
        <v>0</v>
      </c>
      <c r="K130" s="99">
        <f t="shared" si="6"/>
        <v>0</v>
      </c>
      <c r="L130" s="99">
        <f t="shared" si="4"/>
        <v>0</v>
      </c>
      <c r="M130" s="99"/>
      <c r="N130" s="99"/>
      <c r="O130" s="99"/>
    </row>
    <row r="131" spans="1:15" ht="14.25" hidden="1">
      <c r="A131" s="98">
        <v>125</v>
      </c>
      <c r="B131" s="119">
        <v>45962</v>
      </c>
      <c r="C131" s="99"/>
      <c r="D131" s="99"/>
      <c r="E131" s="99"/>
      <c r="F131" s="99"/>
      <c r="G131" s="99"/>
      <c r="H131" s="99"/>
      <c r="I131" s="99"/>
      <c r="J131" s="99">
        <f t="shared" si="5"/>
        <v>0</v>
      </c>
      <c r="K131" s="99">
        <f t="shared" si="6"/>
        <v>0</v>
      </c>
      <c r="L131" s="99">
        <f t="shared" si="4"/>
        <v>0</v>
      </c>
      <c r="M131" s="99"/>
      <c r="N131" s="99"/>
      <c r="O131" s="99"/>
    </row>
    <row r="132" spans="1:15" ht="14.25" hidden="1">
      <c r="A132" s="98">
        <v>126</v>
      </c>
      <c r="B132" s="119">
        <v>45992</v>
      </c>
      <c r="C132" s="99"/>
      <c r="D132" s="99"/>
      <c r="E132" s="99"/>
      <c r="F132" s="99"/>
      <c r="G132" s="99"/>
      <c r="H132" s="99"/>
      <c r="I132" s="99"/>
      <c r="J132" s="99">
        <f t="shared" si="5"/>
        <v>0</v>
      </c>
      <c r="K132" s="99">
        <f t="shared" si="6"/>
        <v>0</v>
      </c>
      <c r="L132" s="99">
        <f t="shared" si="4"/>
        <v>0</v>
      </c>
      <c r="M132" s="99"/>
      <c r="N132" s="99"/>
      <c r="O132" s="99"/>
    </row>
    <row r="133" spans="1:15" ht="14.25" hidden="1">
      <c r="A133" s="98">
        <v>127</v>
      </c>
      <c r="B133" s="119">
        <v>46023</v>
      </c>
      <c r="C133" s="99"/>
      <c r="D133" s="99"/>
      <c r="E133" s="99"/>
      <c r="F133" s="99"/>
      <c r="G133" s="99"/>
      <c r="H133" s="99"/>
      <c r="I133" s="99"/>
      <c r="J133" s="99">
        <f t="shared" si="5"/>
        <v>0</v>
      </c>
      <c r="K133" s="99">
        <f t="shared" si="6"/>
        <v>0</v>
      </c>
      <c r="L133" s="99">
        <f t="shared" si="4"/>
        <v>0</v>
      </c>
      <c r="M133" s="99"/>
      <c r="N133" s="99"/>
      <c r="O133" s="99"/>
    </row>
    <row r="134" spans="1:15" ht="14.25" hidden="1">
      <c r="A134" s="98">
        <v>128</v>
      </c>
      <c r="B134" s="119">
        <v>46054</v>
      </c>
      <c r="C134" s="99"/>
      <c r="D134" s="99"/>
      <c r="E134" s="99"/>
      <c r="F134" s="99"/>
      <c r="G134" s="99"/>
      <c r="H134" s="99"/>
      <c r="I134" s="99"/>
      <c r="J134" s="99">
        <f t="shared" si="5"/>
        <v>0</v>
      </c>
      <c r="K134" s="99">
        <f t="shared" si="6"/>
        <v>0</v>
      </c>
      <c r="L134" s="99">
        <f aca="true" t="shared" si="7" ref="L134:L197">ROUND(K134*L$3,0)</f>
        <v>0</v>
      </c>
      <c r="M134" s="99"/>
      <c r="N134" s="99"/>
      <c r="O134" s="99"/>
    </row>
    <row r="135" spans="1:15" ht="14.25" hidden="1">
      <c r="A135" s="98">
        <v>129</v>
      </c>
      <c r="B135" s="119">
        <v>46082</v>
      </c>
      <c r="C135" s="99"/>
      <c r="D135" s="99"/>
      <c r="E135" s="99"/>
      <c r="F135" s="99"/>
      <c r="G135" s="99"/>
      <c r="H135" s="99"/>
      <c r="I135" s="99"/>
      <c r="J135" s="99">
        <f t="shared" si="5"/>
        <v>0</v>
      </c>
      <c r="K135" s="99">
        <f t="shared" si="6"/>
        <v>0</v>
      </c>
      <c r="L135" s="99">
        <f t="shared" si="7"/>
        <v>0</v>
      </c>
      <c r="M135" s="99"/>
      <c r="N135" s="99"/>
      <c r="O135" s="99"/>
    </row>
    <row r="136" spans="1:15" ht="14.25" hidden="1">
      <c r="A136" s="98">
        <v>130</v>
      </c>
      <c r="B136" s="119">
        <v>46113</v>
      </c>
      <c r="C136" s="99"/>
      <c r="D136" s="99"/>
      <c r="E136" s="99"/>
      <c r="F136" s="99"/>
      <c r="G136" s="99"/>
      <c r="H136" s="99"/>
      <c r="I136" s="99"/>
      <c r="J136" s="99">
        <f aca="true" t="shared" si="8" ref="J136:J199">SUM(C136:I136)</f>
        <v>0</v>
      </c>
      <c r="K136" s="99">
        <f t="shared" si="6"/>
        <v>0</v>
      </c>
      <c r="L136" s="99">
        <f t="shared" si="7"/>
        <v>0</v>
      </c>
      <c r="M136" s="99"/>
      <c r="N136" s="99"/>
      <c r="O136" s="99"/>
    </row>
    <row r="137" spans="1:15" ht="14.25" hidden="1">
      <c r="A137" s="98">
        <v>131</v>
      </c>
      <c r="B137" s="119">
        <v>46143</v>
      </c>
      <c r="C137" s="99"/>
      <c r="D137" s="99"/>
      <c r="E137" s="99"/>
      <c r="F137" s="99"/>
      <c r="G137" s="99"/>
      <c r="H137" s="99"/>
      <c r="I137" s="99"/>
      <c r="J137" s="99">
        <f t="shared" si="8"/>
        <v>0</v>
      </c>
      <c r="K137" s="99">
        <f t="shared" si="6"/>
        <v>0</v>
      </c>
      <c r="L137" s="99">
        <f t="shared" si="7"/>
        <v>0</v>
      </c>
      <c r="M137" s="99"/>
      <c r="N137" s="99"/>
      <c r="O137" s="99"/>
    </row>
    <row r="138" spans="1:15" ht="14.25" hidden="1">
      <c r="A138" s="98">
        <v>132</v>
      </c>
      <c r="B138" s="119">
        <v>46174</v>
      </c>
      <c r="C138" s="99"/>
      <c r="D138" s="99"/>
      <c r="E138" s="99"/>
      <c r="F138" s="99"/>
      <c r="G138" s="99"/>
      <c r="H138" s="99"/>
      <c r="I138" s="99"/>
      <c r="J138" s="99">
        <f t="shared" si="8"/>
        <v>0</v>
      </c>
      <c r="K138" s="99">
        <f t="shared" si="6"/>
        <v>0</v>
      </c>
      <c r="L138" s="99">
        <f t="shared" si="7"/>
        <v>0</v>
      </c>
      <c r="M138" s="99"/>
      <c r="N138" s="99"/>
      <c r="O138" s="99"/>
    </row>
    <row r="139" spans="1:15" ht="14.25" hidden="1">
      <c r="A139" s="98">
        <v>133</v>
      </c>
      <c r="B139" s="119">
        <v>46204</v>
      </c>
      <c r="C139" s="99"/>
      <c r="D139" s="99"/>
      <c r="E139" s="99"/>
      <c r="F139" s="99"/>
      <c r="G139" s="99"/>
      <c r="H139" s="99"/>
      <c r="I139" s="99"/>
      <c r="J139" s="99">
        <f t="shared" si="8"/>
        <v>0</v>
      </c>
      <c r="K139" s="99">
        <f t="shared" si="6"/>
        <v>0</v>
      </c>
      <c r="L139" s="99">
        <f t="shared" si="7"/>
        <v>0</v>
      </c>
      <c r="M139" s="99"/>
      <c r="N139" s="99"/>
      <c r="O139" s="99"/>
    </row>
    <row r="140" spans="1:15" ht="14.25" hidden="1">
      <c r="A140" s="98">
        <v>134</v>
      </c>
      <c r="B140" s="119">
        <v>46235</v>
      </c>
      <c r="C140" s="99"/>
      <c r="D140" s="99"/>
      <c r="E140" s="99"/>
      <c r="F140" s="99"/>
      <c r="G140" s="99"/>
      <c r="H140" s="99"/>
      <c r="I140" s="99"/>
      <c r="J140" s="99">
        <f t="shared" si="8"/>
        <v>0</v>
      </c>
      <c r="K140" s="99">
        <f t="shared" si="6"/>
        <v>0</v>
      </c>
      <c r="L140" s="99">
        <f t="shared" si="7"/>
        <v>0</v>
      </c>
      <c r="M140" s="99"/>
      <c r="N140" s="99"/>
      <c r="O140" s="99"/>
    </row>
    <row r="141" spans="1:15" ht="14.25" hidden="1">
      <c r="A141" s="98">
        <v>135</v>
      </c>
      <c r="B141" s="119">
        <v>46266</v>
      </c>
      <c r="C141" s="99"/>
      <c r="D141" s="99"/>
      <c r="E141" s="99"/>
      <c r="F141" s="99"/>
      <c r="G141" s="99"/>
      <c r="H141" s="99"/>
      <c r="I141" s="99"/>
      <c r="J141" s="99">
        <f t="shared" si="8"/>
        <v>0</v>
      </c>
      <c r="K141" s="99">
        <f t="shared" si="6"/>
        <v>0</v>
      </c>
      <c r="L141" s="99">
        <f t="shared" si="7"/>
        <v>0</v>
      </c>
      <c r="M141" s="99"/>
      <c r="N141" s="99"/>
      <c r="O141" s="99"/>
    </row>
    <row r="142" spans="1:15" ht="14.25" hidden="1">
      <c r="A142" s="98">
        <v>136</v>
      </c>
      <c r="B142" s="119">
        <v>46296</v>
      </c>
      <c r="C142" s="99"/>
      <c r="D142" s="99"/>
      <c r="E142" s="99"/>
      <c r="F142" s="99"/>
      <c r="G142" s="99"/>
      <c r="H142" s="99"/>
      <c r="I142" s="99"/>
      <c r="J142" s="99">
        <f t="shared" si="8"/>
        <v>0</v>
      </c>
      <c r="K142" s="99">
        <f t="shared" si="6"/>
        <v>0</v>
      </c>
      <c r="L142" s="99">
        <f t="shared" si="7"/>
        <v>0</v>
      </c>
      <c r="M142" s="99"/>
      <c r="N142" s="99"/>
      <c r="O142" s="99"/>
    </row>
    <row r="143" spans="1:15" ht="14.25" hidden="1">
      <c r="A143" s="98">
        <v>137</v>
      </c>
      <c r="B143" s="119">
        <v>46327</v>
      </c>
      <c r="C143" s="99"/>
      <c r="D143" s="99"/>
      <c r="E143" s="99"/>
      <c r="F143" s="99"/>
      <c r="G143" s="99"/>
      <c r="H143" s="99"/>
      <c r="I143" s="99"/>
      <c r="J143" s="99">
        <f t="shared" si="8"/>
        <v>0</v>
      </c>
      <c r="K143" s="99">
        <f t="shared" si="6"/>
        <v>0</v>
      </c>
      <c r="L143" s="99">
        <f t="shared" si="7"/>
        <v>0</v>
      </c>
      <c r="M143" s="99"/>
      <c r="N143" s="99"/>
      <c r="O143" s="99"/>
    </row>
    <row r="144" spans="1:15" ht="14.25" hidden="1">
      <c r="A144" s="98">
        <v>138</v>
      </c>
      <c r="B144" s="119">
        <v>46357</v>
      </c>
      <c r="C144" s="99"/>
      <c r="D144" s="99"/>
      <c r="E144" s="99"/>
      <c r="F144" s="99"/>
      <c r="G144" s="99"/>
      <c r="H144" s="99"/>
      <c r="I144" s="99"/>
      <c r="J144" s="99">
        <f t="shared" si="8"/>
        <v>0</v>
      </c>
      <c r="K144" s="99">
        <f aca="true" t="shared" si="9" ref="K144:K207">C144+D144+F144+G144</f>
        <v>0</v>
      </c>
      <c r="L144" s="99">
        <f t="shared" si="7"/>
        <v>0</v>
      </c>
      <c r="M144" s="99"/>
      <c r="N144" s="99"/>
      <c r="O144" s="99"/>
    </row>
    <row r="145" spans="1:15" ht="14.25" hidden="1">
      <c r="A145" s="98">
        <v>139</v>
      </c>
      <c r="B145" s="119">
        <v>46388</v>
      </c>
      <c r="C145" s="99"/>
      <c r="D145" s="99"/>
      <c r="E145" s="99"/>
      <c r="F145" s="99"/>
      <c r="G145" s="99"/>
      <c r="H145" s="99"/>
      <c r="I145" s="99"/>
      <c r="J145" s="99">
        <f t="shared" si="8"/>
        <v>0</v>
      </c>
      <c r="K145" s="99">
        <f t="shared" si="9"/>
        <v>0</v>
      </c>
      <c r="L145" s="99">
        <f t="shared" si="7"/>
        <v>0</v>
      </c>
      <c r="M145" s="99"/>
      <c r="N145" s="99"/>
      <c r="O145" s="99"/>
    </row>
    <row r="146" spans="1:15" ht="14.25" hidden="1">
      <c r="A146" s="98">
        <v>140</v>
      </c>
      <c r="B146" s="119">
        <v>46419</v>
      </c>
      <c r="C146" s="99"/>
      <c r="D146" s="99"/>
      <c r="E146" s="99"/>
      <c r="F146" s="99"/>
      <c r="G146" s="99"/>
      <c r="H146" s="99"/>
      <c r="I146" s="99"/>
      <c r="J146" s="99">
        <f t="shared" si="8"/>
        <v>0</v>
      </c>
      <c r="K146" s="99">
        <f t="shared" si="9"/>
        <v>0</v>
      </c>
      <c r="L146" s="99">
        <f t="shared" si="7"/>
        <v>0</v>
      </c>
      <c r="M146" s="99"/>
      <c r="N146" s="99"/>
      <c r="O146" s="99"/>
    </row>
    <row r="147" spans="1:15" ht="14.25" hidden="1">
      <c r="A147" s="98">
        <v>141</v>
      </c>
      <c r="B147" s="119">
        <v>46447</v>
      </c>
      <c r="C147" s="99"/>
      <c r="D147" s="99"/>
      <c r="E147" s="99"/>
      <c r="F147" s="99"/>
      <c r="G147" s="99"/>
      <c r="H147" s="99"/>
      <c r="I147" s="99"/>
      <c r="J147" s="99">
        <f t="shared" si="8"/>
        <v>0</v>
      </c>
      <c r="K147" s="99">
        <f t="shared" si="9"/>
        <v>0</v>
      </c>
      <c r="L147" s="99">
        <f t="shared" si="7"/>
        <v>0</v>
      </c>
      <c r="M147" s="99"/>
      <c r="N147" s="99"/>
      <c r="O147" s="99"/>
    </row>
    <row r="148" spans="1:15" ht="14.25" hidden="1">
      <c r="A148" s="98">
        <v>142</v>
      </c>
      <c r="B148" s="119">
        <v>46478</v>
      </c>
      <c r="C148" s="99"/>
      <c r="D148" s="99"/>
      <c r="E148" s="99"/>
      <c r="F148" s="99"/>
      <c r="G148" s="99"/>
      <c r="H148" s="99"/>
      <c r="I148" s="99"/>
      <c r="J148" s="99">
        <f t="shared" si="8"/>
        <v>0</v>
      </c>
      <c r="K148" s="99">
        <f t="shared" si="9"/>
        <v>0</v>
      </c>
      <c r="L148" s="99">
        <f t="shared" si="7"/>
        <v>0</v>
      </c>
      <c r="M148" s="99"/>
      <c r="N148" s="99"/>
      <c r="O148" s="99"/>
    </row>
    <row r="149" spans="1:15" ht="14.25" hidden="1">
      <c r="A149" s="98">
        <v>143</v>
      </c>
      <c r="B149" s="119">
        <v>46508</v>
      </c>
      <c r="C149" s="99"/>
      <c r="D149" s="99"/>
      <c r="E149" s="99"/>
      <c r="F149" s="99"/>
      <c r="G149" s="99"/>
      <c r="H149" s="99"/>
      <c r="I149" s="99"/>
      <c r="J149" s="99">
        <f t="shared" si="8"/>
        <v>0</v>
      </c>
      <c r="K149" s="99">
        <f t="shared" si="9"/>
        <v>0</v>
      </c>
      <c r="L149" s="99">
        <f t="shared" si="7"/>
        <v>0</v>
      </c>
      <c r="M149" s="99"/>
      <c r="N149" s="99"/>
      <c r="O149" s="99"/>
    </row>
    <row r="150" spans="1:15" ht="14.25" hidden="1">
      <c r="A150" s="98">
        <v>144</v>
      </c>
      <c r="B150" s="119">
        <v>46539</v>
      </c>
      <c r="C150" s="99"/>
      <c r="D150" s="99"/>
      <c r="E150" s="99"/>
      <c r="F150" s="99"/>
      <c r="G150" s="99"/>
      <c r="H150" s="99"/>
      <c r="I150" s="99"/>
      <c r="J150" s="99">
        <f t="shared" si="8"/>
        <v>0</v>
      </c>
      <c r="K150" s="99">
        <f t="shared" si="9"/>
        <v>0</v>
      </c>
      <c r="L150" s="99">
        <f t="shared" si="7"/>
        <v>0</v>
      </c>
      <c r="M150" s="99"/>
      <c r="N150" s="99"/>
      <c r="O150" s="99"/>
    </row>
    <row r="151" spans="1:15" ht="14.25" hidden="1">
      <c r="A151" s="98">
        <v>145</v>
      </c>
      <c r="B151" s="119">
        <v>46569</v>
      </c>
      <c r="C151" s="99"/>
      <c r="D151" s="99"/>
      <c r="E151" s="99"/>
      <c r="F151" s="99"/>
      <c r="G151" s="99"/>
      <c r="H151" s="99"/>
      <c r="I151" s="99"/>
      <c r="J151" s="99">
        <f t="shared" si="8"/>
        <v>0</v>
      </c>
      <c r="K151" s="99">
        <f t="shared" si="9"/>
        <v>0</v>
      </c>
      <c r="L151" s="99">
        <f t="shared" si="7"/>
        <v>0</v>
      </c>
      <c r="M151" s="99"/>
      <c r="N151" s="99"/>
      <c r="O151" s="99"/>
    </row>
    <row r="152" spans="1:15" ht="14.25" hidden="1">
      <c r="A152" s="98">
        <v>146</v>
      </c>
      <c r="B152" s="119">
        <v>46600</v>
      </c>
      <c r="C152" s="99"/>
      <c r="D152" s="99"/>
      <c r="E152" s="99"/>
      <c r="F152" s="99"/>
      <c r="G152" s="99"/>
      <c r="H152" s="99"/>
      <c r="I152" s="99"/>
      <c r="J152" s="99">
        <f t="shared" si="8"/>
        <v>0</v>
      </c>
      <c r="K152" s="99">
        <f t="shared" si="9"/>
        <v>0</v>
      </c>
      <c r="L152" s="99">
        <f t="shared" si="7"/>
        <v>0</v>
      </c>
      <c r="M152" s="99"/>
      <c r="N152" s="99"/>
      <c r="O152" s="99"/>
    </row>
    <row r="153" spans="1:15" ht="14.25" hidden="1">
      <c r="A153" s="98">
        <v>147</v>
      </c>
      <c r="B153" s="119">
        <v>46631</v>
      </c>
      <c r="C153" s="99"/>
      <c r="D153" s="99"/>
      <c r="E153" s="99"/>
      <c r="F153" s="99"/>
      <c r="G153" s="99"/>
      <c r="H153" s="99"/>
      <c r="I153" s="99"/>
      <c r="J153" s="99">
        <f t="shared" si="8"/>
        <v>0</v>
      </c>
      <c r="K153" s="99">
        <f t="shared" si="9"/>
        <v>0</v>
      </c>
      <c r="L153" s="99">
        <f t="shared" si="7"/>
        <v>0</v>
      </c>
      <c r="M153" s="99"/>
      <c r="N153" s="99"/>
      <c r="O153" s="99"/>
    </row>
    <row r="154" spans="1:15" ht="14.25" hidden="1">
      <c r="A154" s="98">
        <v>148</v>
      </c>
      <c r="B154" s="119">
        <v>46661</v>
      </c>
      <c r="C154" s="99"/>
      <c r="D154" s="99"/>
      <c r="E154" s="99"/>
      <c r="F154" s="99"/>
      <c r="G154" s="99"/>
      <c r="H154" s="99"/>
      <c r="I154" s="99"/>
      <c r="J154" s="99">
        <f t="shared" si="8"/>
        <v>0</v>
      </c>
      <c r="K154" s="99">
        <f t="shared" si="9"/>
        <v>0</v>
      </c>
      <c r="L154" s="99">
        <f t="shared" si="7"/>
        <v>0</v>
      </c>
      <c r="M154" s="99"/>
      <c r="N154" s="99"/>
      <c r="O154" s="99"/>
    </row>
    <row r="155" spans="1:15" ht="14.25" hidden="1">
      <c r="A155" s="98">
        <v>149</v>
      </c>
      <c r="B155" s="119">
        <v>46692</v>
      </c>
      <c r="C155" s="99"/>
      <c r="D155" s="99"/>
      <c r="E155" s="99"/>
      <c r="F155" s="99"/>
      <c r="G155" s="99"/>
      <c r="H155" s="99"/>
      <c r="I155" s="99"/>
      <c r="J155" s="99">
        <f t="shared" si="8"/>
        <v>0</v>
      </c>
      <c r="K155" s="99">
        <f t="shared" si="9"/>
        <v>0</v>
      </c>
      <c r="L155" s="99">
        <f t="shared" si="7"/>
        <v>0</v>
      </c>
      <c r="M155" s="99"/>
      <c r="N155" s="99"/>
      <c r="O155" s="99"/>
    </row>
    <row r="156" spans="1:15" ht="14.25" hidden="1">
      <c r="A156" s="98">
        <v>150</v>
      </c>
      <c r="B156" s="119">
        <v>46722</v>
      </c>
      <c r="C156" s="99"/>
      <c r="D156" s="99"/>
      <c r="E156" s="99"/>
      <c r="F156" s="99"/>
      <c r="G156" s="99"/>
      <c r="H156" s="99"/>
      <c r="I156" s="99"/>
      <c r="J156" s="99">
        <f t="shared" si="8"/>
        <v>0</v>
      </c>
      <c r="K156" s="99">
        <f t="shared" si="9"/>
        <v>0</v>
      </c>
      <c r="L156" s="99">
        <f t="shared" si="7"/>
        <v>0</v>
      </c>
      <c r="M156" s="99"/>
      <c r="N156" s="99"/>
      <c r="O156" s="99"/>
    </row>
    <row r="157" spans="1:15" ht="14.25" hidden="1">
      <c r="A157" s="98">
        <v>151</v>
      </c>
      <c r="B157" s="119">
        <v>46753</v>
      </c>
      <c r="C157" s="99"/>
      <c r="D157" s="99"/>
      <c r="E157" s="99"/>
      <c r="F157" s="99"/>
      <c r="G157" s="99"/>
      <c r="H157" s="99"/>
      <c r="I157" s="99"/>
      <c r="J157" s="99">
        <f t="shared" si="8"/>
        <v>0</v>
      </c>
      <c r="K157" s="99">
        <f t="shared" si="9"/>
        <v>0</v>
      </c>
      <c r="L157" s="99">
        <f t="shared" si="7"/>
        <v>0</v>
      </c>
      <c r="M157" s="99"/>
      <c r="N157" s="99"/>
      <c r="O157" s="99"/>
    </row>
    <row r="158" spans="1:15" ht="14.25" hidden="1">
      <c r="A158" s="98">
        <v>152</v>
      </c>
      <c r="B158" s="119">
        <v>46784</v>
      </c>
      <c r="C158" s="99"/>
      <c r="D158" s="99"/>
      <c r="E158" s="99"/>
      <c r="F158" s="99"/>
      <c r="G158" s="99"/>
      <c r="H158" s="99"/>
      <c r="I158" s="99"/>
      <c r="J158" s="99">
        <f t="shared" si="8"/>
        <v>0</v>
      </c>
      <c r="K158" s="99">
        <f t="shared" si="9"/>
        <v>0</v>
      </c>
      <c r="L158" s="99">
        <f t="shared" si="7"/>
        <v>0</v>
      </c>
      <c r="M158" s="99"/>
      <c r="N158" s="99"/>
      <c r="O158" s="99"/>
    </row>
    <row r="159" spans="1:15" ht="14.25" hidden="1">
      <c r="A159" s="98">
        <v>153</v>
      </c>
      <c r="B159" s="119">
        <v>46813</v>
      </c>
      <c r="C159" s="99"/>
      <c r="D159" s="99"/>
      <c r="E159" s="99"/>
      <c r="F159" s="99"/>
      <c r="G159" s="99"/>
      <c r="H159" s="99"/>
      <c r="I159" s="99"/>
      <c r="J159" s="99">
        <f t="shared" si="8"/>
        <v>0</v>
      </c>
      <c r="K159" s="99">
        <f t="shared" si="9"/>
        <v>0</v>
      </c>
      <c r="L159" s="99">
        <f t="shared" si="7"/>
        <v>0</v>
      </c>
      <c r="M159" s="99"/>
      <c r="N159" s="99"/>
      <c r="O159" s="99"/>
    </row>
    <row r="160" spans="1:15" ht="14.25" hidden="1">
      <c r="A160" s="98">
        <v>154</v>
      </c>
      <c r="B160" s="119">
        <v>46844</v>
      </c>
      <c r="C160" s="99"/>
      <c r="D160" s="99"/>
      <c r="E160" s="99"/>
      <c r="F160" s="99"/>
      <c r="G160" s="99"/>
      <c r="H160" s="99"/>
      <c r="I160" s="99"/>
      <c r="J160" s="99">
        <f t="shared" si="8"/>
        <v>0</v>
      </c>
      <c r="K160" s="99">
        <f t="shared" si="9"/>
        <v>0</v>
      </c>
      <c r="L160" s="99">
        <f t="shared" si="7"/>
        <v>0</v>
      </c>
      <c r="M160" s="99"/>
      <c r="N160" s="99"/>
      <c r="O160" s="99"/>
    </row>
    <row r="161" spans="1:15" ht="14.25" hidden="1">
      <c r="A161" s="98">
        <v>155</v>
      </c>
      <c r="B161" s="119">
        <v>46874</v>
      </c>
      <c r="C161" s="99"/>
      <c r="D161" s="99"/>
      <c r="E161" s="99"/>
      <c r="F161" s="99"/>
      <c r="G161" s="99"/>
      <c r="H161" s="99"/>
      <c r="I161" s="99"/>
      <c r="J161" s="99">
        <f t="shared" si="8"/>
        <v>0</v>
      </c>
      <c r="K161" s="99">
        <f t="shared" si="9"/>
        <v>0</v>
      </c>
      <c r="L161" s="99">
        <f t="shared" si="7"/>
        <v>0</v>
      </c>
      <c r="M161" s="99"/>
      <c r="N161" s="99"/>
      <c r="O161" s="99"/>
    </row>
    <row r="162" spans="1:15" ht="14.25" hidden="1">
      <c r="A162" s="98">
        <v>156</v>
      </c>
      <c r="B162" s="119">
        <v>46905</v>
      </c>
      <c r="C162" s="99"/>
      <c r="D162" s="99"/>
      <c r="E162" s="99"/>
      <c r="F162" s="99"/>
      <c r="G162" s="99"/>
      <c r="H162" s="99"/>
      <c r="I162" s="99"/>
      <c r="J162" s="99">
        <f t="shared" si="8"/>
        <v>0</v>
      </c>
      <c r="K162" s="99">
        <f t="shared" si="9"/>
        <v>0</v>
      </c>
      <c r="L162" s="99">
        <f t="shared" si="7"/>
        <v>0</v>
      </c>
      <c r="M162" s="99"/>
      <c r="N162" s="99"/>
      <c r="O162" s="99"/>
    </row>
    <row r="163" spans="1:15" ht="14.25" hidden="1">
      <c r="A163" s="98">
        <v>157</v>
      </c>
      <c r="B163" s="119">
        <v>46935</v>
      </c>
      <c r="C163" s="99"/>
      <c r="D163" s="99"/>
      <c r="E163" s="99"/>
      <c r="F163" s="99"/>
      <c r="G163" s="99"/>
      <c r="H163" s="99"/>
      <c r="I163" s="99"/>
      <c r="J163" s="99">
        <f t="shared" si="8"/>
        <v>0</v>
      </c>
      <c r="K163" s="99">
        <f t="shared" si="9"/>
        <v>0</v>
      </c>
      <c r="L163" s="99">
        <f t="shared" si="7"/>
        <v>0</v>
      </c>
      <c r="M163" s="99"/>
      <c r="N163" s="99"/>
      <c r="O163" s="99"/>
    </row>
    <row r="164" spans="1:15" ht="14.25" hidden="1">
      <c r="A164" s="98">
        <v>158</v>
      </c>
      <c r="B164" s="119">
        <v>46966</v>
      </c>
      <c r="C164" s="99"/>
      <c r="D164" s="99"/>
      <c r="E164" s="99"/>
      <c r="F164" s="99"/>
      <c r="G164" s="99"/>
      <c r="H164" s="99"/>
      <c r="I164" s="99"/>
      <c r="J164" s="99">
        <f t="shared" si="8"/>
        <v>0</v>
      </c>
      <c r="K164" s="99">
        <f t="shared" si="9"/>
        <v>0</v>
      </c>
      <c r="L164" s="99">
        <f t="shared" si="7"/>
        <v>0</v>
      </c>
      <c r="M164" s="99"/>
      <c r="N164" s="99"/>
      <c r="O164" s="99"/>
    </row>
    <row r="165" spans="1:15" ht="14.25" hidden="1">
      <c r="A165" s="98">
        <v>159</v>
      </c>
      <c r="B165" s="119">
        <v>46997</v>
      </c>
      <c r="C165" s="99"/>
      <c r="D165" s="99"/>
      <c r="E165" s="99"/>
      <c r="F165" s="99"/>
      <c r="G165" s="99"/>
      <c r="H165" s="99"/>
      <c r="I165" s="99"/>
      <c r="J165" s="99">
        <f t="shared" si="8"/>
        <v>0</v>
      </c>
      <c r="K165" s="99">
        <f t="shared" si="9"/>
        <v>0</v>
      </c>
      <c r="L165" s="99">
        <f t="shared" si="7"/>
        <v>0</v>
      </c>
      <c r="M165" s="99"/>
      <c r="N165" s="99"/>
      <c r="O165" s="99"/>
    </row>
    <row r="166" spans="1:15" ht="14.25" hidden="1">
      <c r="A166" s="98">
        <v>160</v>
      </c>
      <c r="B166" s="119">
        <v>47027</v>
      </c>
      <c r="C166" s="99"/>
      <c r="D166" s="99"/>
      <c r="E166" s="99"/>
      <c r="F166" s="99"/>
      <c r="G166" s="99"/>
      <c r="H166" s="99"/>
      <c r="I166" s="99"/>
      <c r="J166" s="99">
        <f t="shared" si="8"/>
        <v>0</v>
      </c>
      <c r="K166" s="99">
        <f t="shared" si="9"/>
        <v>0</v>
      </c>
      <c r="L166" s="99">
        <f t="shared" si="7"/>
        <v>0</v>
      </c>
      <c r="M166" s="99"/>
      <c r="N166" s="99"/>
      <c r="O166" s="99"/>
    </row>
    <row r="167" spans="1:15" ht="14.25" hidden="1">
      <c r="A167" s="98">
        <v>161</v>
      </c>
      <c r="B167" s="119">
        <v>47058</v>
      </c>
      <c r="C167" s="99"/>
      <c r="D167" s="99"/>
      <c r="E167" s="99"/>
      <c r="F167" s="99"/>
      <c r="G167" s="99"/>
      <c r="H167" s="99"/>
      <c r="I167" s="99"/>
      <c r="J167" s="99">
        <f t="shared" si="8"/>
        <v>0</v>
      </c>
      <c r="K167" s="99">
        <f t="shared" si="9"/>
        <v>0</v>
      </c>
      <c r="L167" s="99">
        <f t="shared" si="7"/>
        <v>0</v>
      </c>
      <c r="M167" s="99"/>
      <c r="N167" s="99"/>
      <c r="O167" s="99"/>
    </row>
    <row r="168" spans="1:15" ht="14.25" hidden="1">
      <c r="A168" s="98">
        <v>162</v>
      </c>
      <c r="B168" s="119">
        <v>47088</v>
      </c>
      <c r="C168" s="99"/>
      <c r="D168" s="99"/>
      <c r="E168" s="99"/>
      <c r="F168" s="99"/>
      <c r="G168" s="99"/>
      <c r="H168" s="99"/>
      <c r="I168" s="99"/>
      <c r="J168" s="99">
        <f t="shared" si="8"/>
        <v>0</v>
      </c>
      <c r="K168" s="99">
        <f t="shared" si="9"/>
        <v>0</v>
      </c>
      <c r="L168" s="99">
        <f t="shared" si="7"/>
        <v>0</v>
      </c>
      <c r="M168" s="99"/>
      <c r="N168" s="99"/>
      <c r="O168" s="99"/>
    </row>
    <row r="169" spans="1:15" ht="14.25" hidden="1">
      <c r="A169" s="98">
        <v>163</v>
      </c>
      <c r="B169" s="119">
        <v>47119</v>
      </c>
      <c r="C169" s="99"/>
      <c r="D169" s="99"/>
      <c r="E169" s="99"/>
      <c r="F169" s="99"/>
      <c r="G169" s="99"/>
      <c r="H169" s="99"/>
      <c r="I169" s="99"/>
      <c r="J169" s="99">
        <f t="shared" si="8"/>
        <v>0</v>
      </c>
      <c r="K169" s="99">
        <f t="shared" si="9"/>
        <v>0</v>
      </c>
      <c r="L169" s="99">
        <f t="shared" si="7"/>
        <v>0</v>
      </c>
      <c r="M169" s="99"/>
      <c r="N169" s="99"/>
      <c r="O169" s="99"/>
    </row>
    <row r="170" spans="1:15" ht="14.25" hidden="1">
      <c r="A170" s="98">
        <v>164</v>
      </c>
      <c r="B170" s="119">
        <v>47150</v>
      </c>
      <c r="C170" s="99"/>
      <c r="D170" s="99"/>
      <c r="E170" s="99"/>
      <c r="F170" s="99"/>
      <c r="G170" s="99"/>
      <c r="H170" s="99"/>
      <c r="I170" s="99"/>
      <c r="J170" s="99">
        <f t="shared" si="8"/>
        <v>0</v>
      </c>
      <c r="K170" s="99">
        <f t="shared" si="9"/>
        <v>0</v>
      </c>
      <c r="L170" s="99">
        <f t="shared" si="7"/>
        <v>0</v>
      </c>
      <c r="M170" s="99"/>
      <c r="N170" s="99"/>
      <c r="O170" s="99"/>
    </row>
    <row r="171" spans="1:15" ht="14.25" hidden="1">
      <c r="A171" s="98">
        <v>165</v>
      </c>
      <c r="B171" s="119">
        <v>47178</v>
      </c>
      <c r="C171" s="99"/>
      <c r="D171" s="99"/>
      <c r="E171" s="99"/>
      <c r="F171" s="99"/>
      <c r="G171" s="99"/>
      <c r="H171" s="99"/>
      <c r="I171" s="99"/>
      <c r="J171" s="99">
        <f t="shared" si="8"/>
        <v>0</v>
      </c>
      <c r="K171" s="99">
        <f t="shared" si="9"/>
        <v>0</v>
      </c>
      <c r="L171" s="99">
        <f t="shared" si="7"/>
        <v>0</v>
      </c>
      <c r="M171" s="99"/>
      <c r="N171" s="99"/>
      <c r="O171" s="99"/>
    </row>
    <row r="172" spans="1:15" ht="14.25" hidden="1">
      <c r="A172" s="98">
        <v>166</v>
      </c>
      <c r="B172" s="119">
        <v>47209</v>
      </c>
      <c r="C172" s="99"/>
      <c r="D172" s="99"/>
      <c r="E172" s="99"/>
      <c r="F172" s="99"/>
      <c r="G172" s="99"/>
      <c r="H172" s="99"/>
      <c r="I172" s="99"/>
      <c r="J172" s="99">
        <f t="shared" si="8"/>
        <v>0</v>
      </c>
      <c r="K172" s="99">
        <f t="shared" si="9"/>
        <v>0</v>
      </c>
      <c r="L172" s="99">
        <f t="shared" si="7"/>
        <v>0</v>
      </c>
      <c r="M172" s="99"/>
      <c r="N172" s="99"/>
      <c r="O172" s="99"/>
    </row>
    <row r="173" spans="1:15" ht="14.25" hidden="1">
      <c r="A173" s="98">
        <v>167</v>
      </c>
      <c r="B173" s="119">
        <v>47239</v>
      </c>
      <c r="C173" s="99"/>
      <c r="D173" s="99"/>
      <c r="E173" s="99"/>
      <c r="F173" s="99"/>
      <c r="G173" s="99"/>
      <c r="H173" s="99"/>
      <c r="I173" s="99"/>
      <c r="J173" s="99">
        <f t="shared" si="8"/>
        <v>0</v>
      </c>
      <c r="K173" s="99">
        <f t="shared" si="9"/>
        <v>0</v>
      </c>
      <c r="L173" s="99">
        <f t="shared" si="7"/>
        <v>0</v>
      </c>
      <c r="M173" s="99"/>
      <c r="N173" s="99"/>
      <c r="O173" s="99"/>
    </row>
    <row r="174" spans="1:15" ht="14.25" hidden="1">
      <c r="A174" s="98">
        <v>168</v>
      </c>
      <c r="B174" s="119">
        <v>47270</v>
      </c>
      <c r="C174" s="99"/>
      <c r="D174" s="99"/>
      <c r="E174" s="99"/>
      <c r="F174" s="99"/>
      <c r="G174" s="99"/>
      <c r="H174" s="99"/>
      <c r="I174" s="99"/>
      <c r="J174" s="99">
        <f t="shared" si="8"/>
        <v>0</v>
      </c>
      <c r="K174" s="99">
        <f t="shared" si="9"/>
        <v>0</v>
      </c>
      <c r="L174" s="99">
        <f t="shared" si="7"/>
        <v>0</v>
      </c>
      <c r="M174" s="99"/>
      <c r="N174" s="99"/>
      <c r="O174" s="99"/>
    </row>
    <row r="175" spans="1:15" ht="14.25" hidden="1">
      <c r="A175" s="98">
        <v>169</v>
      </c>
      <c r="B175" s="119">
        <v>47300</v>
      </c>
      <c r="C175" s="99"/>
      <c r="D175" s="99"/>
      <c r="E175" s="99"/>
      <c r="F175" s="99"/>
      <c r="G175" s="99"/>
      <c r="H175" s="99"/>
      <c r="I175" s="99"/>
      <c r="J175" s="99">
        <f t="shared" si="8"/>
        <v>0</v>
      </c>
      <c r="K175" s="99">
        <f t="shared" si="9"/>
        <v>0</v>
      </c>
      <c r="L175" s="99">
        <f t="shared" si="7"/>
        <v>0</v>
      </c>
      <c r="M175" s="99"/>
      <c r="N175" s="99"/>
      <c r="O175" s="99"/>
    </row>
    <row r="176" spans="1:15" ht="14.25" hidden="1">
      <c r="A176" s="98">
        <v>170</v>
      </c>
      <c r="B176" s="119">
        <v>47331</v>
      </c>
      <c r="C176" s="99"/>
      <c r="D176" s="99"/>
      <c r="E176" s="99"/>
      <c r="F176" s="99"/>
      <c r="G176" s="99"/>
      <c r="H176" s="99"/>
      <c r="I176" s="99"/>
      <c r="J176" s="99">
        <f t="shared" si="8"/>
        <v>0</v>
      </c>
      <c r="K176" s="99">
        <f t="shared" si="9"/>
        <v>0</v>
      </c>
      <c r="L176" s="99">
        <f t="shared" si="7"/>
        <v>0</v>
      </c>
      <c r="M176" s="99"/>
      <c r="N176" s="99"/>
      <c r="O176" s="99"/>
    </row>
    <row r="177" spans="1:15" ht="14.25" hidden="1">
      <c r="A177" s="98">
        <v>171</v>
      </c>
      <c r="B177" s="119">
        <v>47362</v>
      </c>
      <c r="C177" s="99"/>
      <c r="D177" s="99"/>
      <c r="E177" s="99"/>
      <c r="F177" s="99"/>
      <c r="G177" s="99"/>
      <c r="H177" s="99"/>
      <c r="I177" s="99"/>
      <c r="J177" s="99">
        <f t="shared" si="8"/>
        <v>0</v>
      </c>
      <c r="K177" s="99">
        <f t="shared" si="9"/>
        <v>0</v>
      </c>
      <c r="L177" s="99">
        <f t="shared" si="7"/>
        <v>0</v>
      </c>
      <c r="M177" s="99"/>
      <c r="N177" s="99"/>
      <c r="O177" s="99"/>
    </row>
    <row r="178" spans="1:15" ht="14.25" hidden="1">
      <c r="A178" s="98">
        <v>172</v>
      </c>
      <c r="B178" s="119">
        <v>47392</v>
      </c>
      <c r="C178" s="99"/>
      <c r="D178" s="99"/>
      <c r="E178" s="99"/>
      <c r="F178" s="99"/>
      <c r="G178" s="99"/>
      <c r="H178" s="99"/>
      <c r="I178" s="99"/>
      <c r="J178" s="99">
        <f t="shared" si="8"/>
        <v>0</v>
      </c>
      <c r="K178" s="99">
        <f t="shared" si="9"/>
        <v>0</v>
      </c>
      <c r="L178" s="99">
        <f t="shared" si="7"/>
        <v>0</v>
      </c>
      <c r="M178" s="99"/>
      <c r="N178" s="99"/>
      <c r="O178" s="99"/>
    </row>
    <row r="179" spans="1:15" ht="14.25" hidden="1">
      <c r="A179" s="98">
        <v>173</v>
      </c>
      <c r="B179" s="119">
        <v>47423</v>
      </c>
      <c r="C179" s="99"/>
      <c r="D179" s="99"/>
      <c r="E179" s="99"/>
      <c r="F179" s="99"/>
      <c r="G179" s="99"/>
      <c r="H179" s="99"/>
      <c r="I179" s="99"/>
      <c r="J179" s="99">
        <f t="shared" si="8"/>
        <v>0</v>
      </c>
      <c r="K179" s="99">
        <f t="shared" si="9"/>
        <v>0</v>
      </c>
      <c r="L179" s="99">
        <f t="shared" si="7"/>
        <v>0</v>
      </c>
      <c r="M179" s="99"/>
      <c r="N179" s="99"/>
      <c r="O179" s="99"/>
    </row>
    <row r="180" spans="1:15" ht="14.25" hidden="1">
      <c r="A180" s="98">
        <v>174</v>
      </c>
      <c r="B180" s="119">
        <v>47453</v>
      </c>
      <c r="C180" s="99"/>
      <c r="D180" s="99"/>
      <c r="E180" s="99"/>
      <c r="F180" s="99"/>
      <c r="G180" s="99"/>
      <c r="H180" s="99"/>
      <c r="I180" s="99"/>
      <c r="J180" s="99">
        <f t="shared" si="8"/>
        <v>0</v>
      </c>
      <c r="K180" s="99">
        <f t="shared" si="9"/>
        <v>0</v>
      </c>
      <c r="L180" s="99">
        <f t="shared" si="7"/>
        <v>0</v>
      </c>
      <c r="M180" s="99"/>
      <c r="N180" s="99"/>
      <c r="O180" s="99"/>
    </row>
    <row r="181" spans="1:15" ht="14.25" hidden="1">
      <c r="A181" s="98">
        <v>175</v>
      </c>
      <c r="B181" s="119">
        <v>47484</v>
      </c>
      <c r="C181" s="99"/>
      <c r="D181" s="99"/>
      <c r="E181" s="99"/>
      <c r="F181" s="99"/>
      <c r="G181" s="99"/>
      <c r="H181" s="99"/>
      <c r="I181" s="99"/>
      <c r="J181" s="99">
        <f t="shared" si="8"/>
        <v>0</v>
      </c>
      <c r="K181" s="99">
        <f t="shared" si="9"/>
        <v>0</v>
      </c>
      <c r="L181" s="99">
        <f t="shared" si="7"/>
        <v>0</v>
      </c>
      <c r="M181" s="99"/>
      <c r="N181" s="99"/>
      <c r="O181" s="99"/>
    </row>
    <row r="182" spans="1:15" ht="14.25" hidden="1">
      <c r="A182" s="98">
        <v>176</v>
      </c>
      <c r="B182" s="119">
        <v>47515</v>
      </c>
      <c r="C182" s="99"/>
      <c r="D182" s="99"/>
      <c r="E182" s="99"/>
      <c r="F182" s="99"/>
      <c r="G182" s="99"/>
      <c r="H182" s="99"/>
      <c r="I182" s="99"/>
      <c r="J182" s="99">
        <f t="shared" si="8"/>
        <v>0</v>
      </c>
      <c r="K182" s="99">
        <f t="shared" si="9"/>
        <v>0</v>
      </c>
      <c r="L182" s="99">
        <f t="shared" si="7"/>
        <v>0</v>
      </c>
      <c r="M182" s="99"/>
      <c r="N182" s="99"/>
      <c r="O182" s="99"/>
    </row>
    <row r="183" spans="1:15" ht="14.25" hidden="1">
      <c r="A183" s="98">
        <v>177</v>
      </c>
      <c r="B183" s="119">
        <v>47543</v>
      </c>
      <c r="C183" s="99"/>
      <c r="D183" s="99"/>
      <c r="E183" s="99"/>
      <c r="F183" s="99"/>
      <c r="G183" s="99"/>
      <c r="H183" s="99"/>
      <c r="I183" s="99"/>
      <c r="J183" s="99">
        <f t="shared" si="8"/>
        <v>0</v>
      </c>
      <c r="K183" s="99">
        <f t="shared" si="9"/>
        <v>0</v>
      </c>
      <c r="L183" s="99">
        <f t="shared" si="7"/>
        <v>0</v>
      </c>
      <c r="M183" s="99"/>
      <c r="N183" s="99"/>
      <c r="O183" s="99"/>
    </row>
    <row r="184" spans="1:15" ht="14.25" hidden="1">
      <c r="A184" s="98">
        <v>178</v>
      </c>
      <c r="B184" s="119">
        <v>47574</v>
      </c>
      <c r="C184" s="99"/>
      <c r="D184" s="99"/>
      <c r="E184" s="99"/>
      <c r="F184" s="99"/>
      <c r="G184" s="99"/>
      <c r="H184" s="99"/>
      <c r="I184" s="99"/>
      <c r="J184" s="99">
        <f t="shared" si="8"/>
        <v>0</v>
      </c>
      <c r="K184" s="99">
        <f t="shared" si="9"/>
        <v>0</v>
      </c>
      <c r="L184" s="99">
        <f t="shared" si="7"/>
        <v>0</v>
      </c>
      <c r="M184" s="99"/>
      <c r="N184" s="99"/>
      <c r="O184" s="99"/>
    </row>
    <row r="185" spans="1:15" ht="14.25" hidden="1">
      <c r="A185" s="98">
        <v>179</v>
      </c>
      <c r="B185" s="119">
        <v>47604</v>
      </c>
      <c r="C185" s="99"/>
      <c r="D185" s="99"/>
      <c r="E185" s="99"/>
      <c r="F185" s="99"/>
      <c r="G185" s="99"/>
      <c r="H185" s="99"/>
      <c r="I185" s="99"/>
      <c r="J185" s="99">
        <f t="shared" si="8"/>
        <v>0</v>
      </c>
      <c r="K185" s="99">
        <f t="shared" si="9"/>
        <v>0</v>
      </c>
      <c r="L185" s="99">
        <f t="shared" si="7"/>
        <v>0</v>
      </c>
      <c r="M185" s="99"/>
      <c r="N185" s="99"/>
      <c r="O185" s="99"/>
    </row>
    <row r="186" spans="1:15" ht="14.25" hidden="1">
      <c r="A186" s="98">
        <v>180</v>
      </c>
      <c r="B186" s="119">
        <v>47635</v>
      </c>
      <c r="C186" s="99"/>
      <c r="D186" s="99"/>
      <c r="E186" s="99"/>
      <c r="F186" s="99"/>
      <c r="G186" s="99"/>
      <c r="H186" s="99"/>
      <c r="I186" s="99"/>
      <c r="J186" s="99">
        <f t="shared" si="8"/>
        <v>0</v>
      </c>
      <c r="K186" s="99">
        <f t="shared" si="9"/>
        <v>0</v>
      </c>
      <c r="L186" s="99">
        <f t="shared" si="7"/>
        <v>0</v>
      </c>
      <c r="M186" s="99"/>
      <c r="N186" s="99"/>
      <c r="O186" s="99"/>
    </row>
    <row r="187" spans="1:15" ht="14.25" hidden="1">
      <c r="A187" s="98">
        <v>181</v>
      </c>
      <c r="B187" s="119">
        <v>47665</v>
      </c>
      <c r="C187" s="99"/>
      <c r="D187" s="99"/>
      <c r="E187" s="99"/>
      <c r="F187" s="99"/>
      <c r="G187" s="99"/>
      <c r="H187" s="99"/>
      <c r="I187" s="99"/>
      <c r="J187" s="99">
        <f t="shared" si="8"/>
        <v>0</v>
      </c>
      <c r="K187" s="99">
        <f t="shared" si="9"/>
        <v>0</v>
      </c>
      <c r="L187" s="99">
        <f t="shared" si="7"/>
        <v>0</v>
      </c>
      <c r="M187" s="99"/>
      <c r="N187" s="99"/>
      <c r="O187" s="99"/>
    </row>
    <row r="188" spans="1:15" ht="14.25" hidden="1">
      <c r="A188" s="98">
        <v>182</v>
      </c>
      <c r="B188" s="119">
        <v>47696</v>
      </c>
      <c r="C188" s="99"/>
      <c r="D188" s="99"/>
      <c r="E188" s="99"/>
      <c r="F188" s="99"/>
      <c r="G188" s="99"/>
      <c r="H188" s="99"/>
      <c r="I188" s="99"/>
      <c r="J188" s="99">
        <f t="shared" si="8"/>
        <v>0</v>
      </c>
      <c r="K188" s="99">
        <f t="shared" si="9"/>
        <v>0</v>
      </c>
      <c r="L188" s="99">
        <f t="shared" si="7"/>
        <v>0</v>
      </c>
      <c r="M188" s="99"/>
      <c r="N188" s="99"/>
      <c r="O188" s="99"/>
    </row>
    <row r="189" spans="1:15" ht="14.25" hidden="1">
      <c r="A189" s="98">
        <v>183</v>
      </c>
      <c r="B189" s="119">
        <v>47727</v>
      </c>
      <c r="C189" s="99"/>
      <c r="D189" s="99"/>
      <c r="E189" s="99"/>
      <c r="F189" s="99"/>
      <c r="G189" s="99"/>
      <c r="H189" s="99"/>
      <c r="I189" s="99"/>
      <c r="J189" s="99">
        <f t="shared" si="8"/>
        <v>0</v>
      </c>
      <c r="K189" s="99">
        <f t="shared" si="9"/>
        <v>0</v>
      </c>
      <c r="L189" s="99">
        <f t="shared" si="7"/>
        <v>0</v>
      </c>
      <c r="M189" s="99"/>
      <c r="N189" s="99"/>
      <c r="O189" s="99"/>
    </row>
    <row r="190" spans="1:15" ht="14.25" hidden="1">
      <c r="A190" s="98">
        <v>184</v>
      </c>
      <c r="B190" s="119">
        <v>47757</v>
      </c>
      <c r="C190" s="99"/>
      <c r="D190" s="99"/>
      <c r="E190" s="99"/>
      <c r="F190" s="99"/>
      <c r="G190" s="99"/>
      <c r="H190" s="99"/>
      <c r="I190" s="99"/>
      <c r="J190" s="99">
        <f t="shared" si="8"/>
        <v>0</v>
      </c>
      <c r="K190" s="99">
        <f t="shared" si="9"/>
        <v>0</v>
      </c>
      <c r="L190" s="99">
        <f t="shared" si="7"/>
        <v>0</v>
      </c>
      <c r="M190" s="99"/>
      <c r="N190" s="99"/>
      <c r="O190" s="99"/>
    </row>
    <row r="191" spans="1:15" ht="14.25" hidden="1">
      <c r="A191" s="98">
        <v>185</v>
      </c>
      <c r="B191" s="119">
        <v>47788</v>
      </c>
      <c r="C191" s="99"/>
      <c r="D191" s="99"/>
      <c r="E191" s="99"/>
      <c r="F191" s="99"/>
      <c r="G191" s="99"/>
      <c r="H191" s="99"/>
      <c r="I191" s="99"/>
      <c r="J191" s="99">
        <f t="shared" si="8"/>
        <v>0</v>
      </c>
      <c r="K191" s="99">
        <f t="shared" si="9"/>
        <v>0</v>
      </c>
      <c r="L191" s="99">
        <f t="shared" si="7"/>
        <v>0</v>
      </c>
      <c r="M191" s="99"/>
      <c r="N191" s="99"/>
      <c r="O191" s="99"/>
    </row>
    <row r="192" spans="1:15" ht="14.25" hidden="1">
      <c r="A192" s="98">
        <v>186</v>
      </c>
      <c r="B192" s="119">
        <v>47818</v>
      </c>
      <c r="C192" s="99"/>
      <c r="D192" s="99"/>
      <c r="E192" s="99"/>
      <c r="F192" s="99"/>
      <c r="G192" s="99"/>
      <c r="H192" s="99"/>
      <c r="I192" s="99"/>
      <c r="J192" s="99">
        <f t="shared" si="8"/>
        <v>0</v>
      </c>
      <c r="K192" s="99">
        <f t="shared" si="9"/>
        <v>0</v>
      </c>
      <c r="L192" s="99">
        <f t="shared" si="7"/>
        <v>0</v>
      </c>
      <c r="M192" s="99"/>
      <c r="N192" s="99"/>
      <c r="O192" s="99"/>
    </row>
    <row r="193" spans="1:15" ht="14.25" hidden="1">
      <c r="A193" s="98">
        <v>187</v>
      </c>
      <c r="B193" s="119">
        <v>47849</v>
      </c>
      <c r="C193" s="99"/>
      <c r="D193" s="99"/>
      <c r="E193" s="99"/>
      <c r="F193" s="99"/>
      <c r="G193" s="99"/>
      <c r="H193" s="99"/>
      <c r="I193" s="99"/>
      <c r="J193" s="99">
        <f t="shared" si="8"/>
        <v>0</v>
      </c>
      <c r="K193" s="99">
        <f t="shared" si="9"/>
        <v>0</v>
      </c>
      <c r="L193" s="99">
        <f t="shared" si="7"/>
        <v>0</v>
      </c>
      <c r="M193" s="99"/>
      <c r="N193" s="99"/>
      <c r="O193" s="99"/>
    </row>
    <row r="194" spans="1:15" ht="14.25" hidden="1">
      <c r="A194" s="98">
        <v>188</v>
      </c>
      <c r="B194" s="119">
        <v>47880</v>
      </c>
      <c r="C194" s="99"/>
      <c r="D194" s="99"/>
      <c r="E194" s="99"/>
      <c r="F194" s="99"/>
      <c r="G194" s="99"/>
      <c r="H194" s="99"/>
      <c r="I194" s="99"/>
      <c r="J194" s="99">
        <f t="shared" si="8"/>
        <v>0</v>
      </c>
      <c r="K194" s="99">
        <f t="shared" si="9"/>
        <v>0</v>
      </c>
      <c r="L194" s="99">
        <f t="shared" si="7"/>
        <v>0</v>
      </c>
      <c r="M194" s="99"/>
      <c r="N194" s="99"/>
      <c r="O194" s="99"/>
    </row>
    <row r="195" spans="1:15" ht="14.25" hidden="1">
      <c r="A195" s="98">
        <v>189</v>
      </c>
      <c r="B195" s="119">
        <v>47908</v>
      </c>
      <c r="C195" s="99"/>
      <c r="D195" s="99"/>
      <c r="E195" s="99"/>
      <c r="F195" s="99"/>
      <c r="G195" s="99"/>
      <c r="H195" s="99"/>
      <c r="I195" s="99"/>
      <c r="J195" s="99">
        <f t="shared" si="8"/>
        <v>0</v>
      </c>
      <c r="K195" s="99">
        <f t="shared" si="9"/>
        <v>0</v>
      </c>
      <c r="L195" s="99">
        <f t="shared" si="7"/>
        <v>0</v>
      </c>
      <c r="M195" s="99"/>
      <c r="N195" s="99"/>
      <c r="O195" s="99"/>
    </row>
    <row r="196" spans="1:15" ht="14.25" hidden="1">
      <c r="A196" s="98">
        <v>190</v>
      </c>
      <c r="B196" s="119">
        <v>47939</v>
      </c>
      <c r="C196" s="99"/>
      <c r="D196" s="99"/>
      <c r="E196" s="99"/>
      <c r="F196" s="99"/>
      <c r="G196" s="99"/>
      <c r="H196" s="99"/>
      <c r="I196" s="99"/>
      <c r="J196" s="99">
        <f t="shared" si="8"/>
        <v>0</v>
      </c>
      <c r="K196" s="99">
        <f t="shared" si="9"/>
        <v>0</v>
      </c>
      <c r="L196" s="99">
        <f t="shared" si="7"/>
        <v>0</v>
      </c>
      <c r="M196" s="99"/>
      <c r="N196" s="99"/>
      <c r="O196" s="99"/>
    </row>
    <row r="197" spans="1:15" ht="14.25" hidden="1">
      <c r="A197" s="98">
        <v>191</v>
      </c>
      <c r="B197" s="119">
        <v>47969</v>
      </c>
      <c r="C197" s="99"/>
      <c r="D197" s="99"/>
      <c r="E197" s="99"/>
      <c r="F197" s="99"/>
      <c r="G197" s="99"/>
      <c r="H197" s="99"/>
      <c r="I197" s="99"/>
      <c r="J197" s="99">
        <f t="shared" si="8"/>
        <v>0</v>
      </c>
      <c r="K197" s="99">
        <f t="shared" si="9"/>
        <v>0</v>
      </c>
      <c r="L197" s="99">
        <f t="shared" si="7"/>
        <v>0</v>
      </c>
      <c r="M197" s="99"/>
      <c r="N197" s="99"/>
      <c r="O197" s="99"/>
    </row>
    <row r="198" spans="1:15" ht="14.25" hidden="1">
      <c r="A198" s="98">
        <v>192</v>
      </c>
      <c r="B198" s="119">
        <v>48000</v>
      </c>
      <c r="C198" s="99"/>
      <c r="D198" s="99"/>
      <c r="E198" s="99"/>
      <c r="F198" s="99"/>
      <c r="G198" s="99"/>
      <c r="H198" s="99"/>
      <c r="I198" s="99"/>
      <c r="J198" s="99">
        <f t="shared" si="8"/>
        <v>0</v>
      </c>
      <c r="K198" s="99">
        <f t="shared" si="9"/>
        <v>0</v>
      </c>
      <c r="L198" s="99">
        <f aca="true" t="shared" si="10" ref="L198:L261">ROUND(K198*L$3,0)</f>
        <v>0</v>
      </c>
      <c r="M198" s="99"/>
      <c r="N198" s="99"/>
      <c r="O198" s="99"/>
    </row>
    <row r="199" spans="1:15" ht="14.25" hidden="1">
      <c r="A199" s="98">
        <v>193</v>
      </c>
      <c r="B199" s="119">
        <v>48030</v>
      </c>
      <c r="C199" s="99"/>
      <c r="D199" s="99"/>
      <c r="E199" s="99"/>
      <c r="F199" s="99"/>
      <c r="G199" s="99"/>
      <c r="H199" s="99"/>
      <c r="I199" s="99"/>
      <c r="J199" s="99">
        <f t="shared" si="8"/>
        <v>0</v>
      </c>
      <c r="K199" s="99">
        <f t="shared" si="9"/>
        <v>0</v>
      </c>
      <c r="L199" s="99">
        <f t="shared" si="10"/>
        <v>0</v>
      </c>
      <c r="M199" s="99"/>
      <c r="N199" s="99"/>
      <c r="O199" s="99"/>
    </row>
    <row r="200" spans="1:15" ht="14.25" hidden="1">
      <c r="A200" s="98">
        <v>194</v>
      </c>
      <c r="B200" s="119">
        <v>48061</v>
      </c>
      <c r="C200" s="99"/>
      <c r="D200" s="99"/>
      <c r="E200" s="99"/>
      <c r="F200" s="99"/>
      <c r="G200" s="99"/>
      <c r="H200" s="99"/>
      <c r="I200" s="99"/>
      <c r="J200" s="99">
        <f aca="true" t="shared" si="11" ref="J200:J263">SUM(C200:I200)</f>
        <v>0</v>
      </c>
      <c r="K200" s="99">
        <f t="shared" si="9"/>
        <v>0</v>
      </c>
      <c r="L200" s="99">
        <f t="shared" si="10"/>
        <v>0</v>
      </c>
      <c r="M200" s="99"/>
      <c r="N200" s="99"/>
      <c r="O200" s="99"/>
    </row>
    <row r="201" spans="1:15" ht="14.25" hidden="1">
      <c r="A201" s="98">
        <v>195</v>
      </c>
      <c r="B201" s="119">
        <v>48092</v>
      </c>
      <c r="C201" s="99"/>
      <c r="D201" s="99"/>
      <c r="E201" s="99"/>
      <c r="F201" s="99"/>
      <c r="G201" s="99"/>
      <c r="H201" s="99"/>
      <c r="I201" s="99"/>
      <c r="J201" s="99">
        <f t="shared" si="11"/>
        <v>0</v>
      </c>
      <c r="K201" s="99">
        <f t="shared" si="9"/>
        <v>0</v>
      </c>
      <c r="L201" s="99">
        <f t="shared" si="10"/>
        <v>0</v>
      </c>
      <c r="M201" s="99"/>
      <c r="N201" s="99"/>
      <c r="O201" s="99"/>
    </row>
    <row r="202" spans="1:15" ht="14.25" hidden="1">
      <c r="A202" s="98">
        <v>196</v>
      </c>
      <c r="B202" s="119">
        <v>48122</v>
      </c>
      <c r="C202" s="99"/>
      <c r="D202" s="99"/>
      <c r="E202" s="99"/>
      <c r="F202" s="99"/>
      <c r="G202" s="99"/>
      <c r="H202" s="99"/>
      <c r="I202" s="99"/>
      <c r="J202" s="99">
        <f t="shared" si="11"/>
        <v>0</v>
      </c>
      <c r="K202" s="99">
        <f t="shared" si="9"/>
        <v>0</v>
      </c>
      <c r="L202" s="99">
        <f t="shared" si="10"/>
        <v>0</v>
      </c>
      <c r="M202" s="99"/>
      <c r="N202" s="99"/>
      <c r="O202" s="99"/>
    </row>
    <row r="203" spans="1:15" ht="14.25" hidden="1">
      <c r="A203" s="98">
        <v>197</v>
      </c>
      <c r="B203" s="119">
        <v>48153</v>
      </c>
      <c r="C203" s="99"/>
      <c r="D203" s="99"/>
      <c r="E203" s="99"/>
      <c r="F203" s="99"/>
      <c r="G203" s="99"/>
      <c r="H203" s="99"/>
      <c r="I203" s="99"/>
      <c r="J203" s="99">
        <f t="shared" si="11"/>
        <v>0</v>
      </c>
      <c r="K203" s="99">
        <f t="shared" si="9"/>
        <v>0</v>
      </c>
      <c r="L203" s="99">
        <f t="shared" si="10"/>
        <v>0</v>
      </c>
      <c r="M203" s="99"/>
      <c r="N203" s="99"/>
      <c r="O203" s="99"/>
    </row>
    <row r="204" spans="1:15" ht="14.25" hidden="1">
      <c r="A204" s="98">
        <v>198</v>
      </c>
      <c r="B204" s="119">
        <v>48183</v>
      </c>
      <c r="C204" s="99"/>
      <c r="D204" s="99"/>
      <c r="E204" s="99"/>
      <c r="F204" s="99"/>
      <c r="G204" s="99"/>
      <c r="H204" s="99"/>
      <c r="I204" s="99"/>
      <c r="J204" s="99">
        <f t="shared" si="11"/>
        <v>0</v>
      </c>
      <c r="K204" s="99">
        <f t="shared" si="9"/>
        <v>0</v>
      </c>
      <c r="L204" s="99">
        <f t="shared" si="10"/>
        <v>0</v>
      </c>
      <c r="M204" s="99"/>
      <c r="N204" s="99"/>
      <c r="O204" s="99"/>
    </row>
    <row r="205" spans="1:15" ht="14.25" hidden="1">
      <c r="A205" s="98">
        <v>199</v>
      </c>
      <c r="B205" s="119">
        <v>48214</v>
      </c>
      <c r="C205" s="99"/>
      <c r="D205" s="99"/>
      <c r="E205" s="99"/>
      <c r="F205" s="99"/>
      <c r="G205" s="99"/>
      <c r="H205" s="99"/>
      <c r="I205" s="99"/>
      <c r="J205" s="99">
        <f t="shared" si="11"/>
        <v>0</v>
      </c>
      <c r="K205" s="99">
        <f t="shared" si="9"/>
        <v>0</v>
      </c>
      <c r="L205" s="99">
        <f t="shared" si="10"/>
        <v>0</v>
      </c>
      <c r="M205" s="99"/>
      <c r="N205" s="99"/>
      <c r="O205" s="99"/>
    </row>
    <row r="206" spans="1:15" ht="14.25" hidden="1">
      <c r="A206" s="98">
        <v>200</v>
      </c>
      <c r="B206" s="119">
        <v>48245</v>
      </c>
      <c r="C206" s="99"/>
      <c r="D206" s="99"/>
      <c r="E206" s="99"/>
      <c r="F206" s="99"/>
      <c r="G206" s="99"/>
      <c r="H206" s="99"/>
      <c r="I206" s="99"/>
      <c r="J206" s="99">
        <f t="shared" si="11"/>
        <v>0</v>
      </c>
      <c r="K206" s="99">
        <f t="shared" si="9"/>
        <v>0</v>
      </c>
      <c r="L206" s="99">
        <f t="shared" si="10"/>
        <v>0</v>
      </c>
      <c r="M206" s="99"/>
      <c r="N206" s="99"/>
      <c r="O206" s="99"/>
    </row>
    <row r="207" spans="1:15" ht="14.25" hidden="1">
      <c r="A207" s="98">
        <v>201</v>
      </c>
      <c r="B207" s="119">
        <v>48274</v>
      </c>
      <c r="C207" s="99"/>
      <c r="D207" s="99"/>
      <c r="E207" s="99"/>
      <c r="F207" s="99"/>
      <c r="G207" s="99"/>
      <c r="H207" s="99"/>
      <c r="I207" s="99"/>
      <c r="J207" s="99">
        <f t="shared" si="11"/>
        <v>0</v>
      </c>
      <c r="K207" s="99">
        <f t="shared" si="9"/>
        <v>0</v>
      </c>
      <c r="L207" s="99">
        <f t="shared" si="10"/>
        <v>0</v>
      </c>
      <c r="M207" s="99"/>
      <c r="N207" s="99"/>
      <c r="O207" s="99"/>
    </row>
    <row r="208" spans="1:15" ht="14.25" hidden="1">
      <c r="A208" s="98">
        <v>202</v>
      </c>
      <c r="B208" s="119">
        <v>48305</v>
      </c>
      <c r="C208" s="99"/>
      <c r="D208" s="99"/>
      <c r="E208" s="99"/>
      <c r="F208" s="99"/>
      <c r="G208" s="99"/>
      <c r="H208" s="99"/>
      <c r="I208" s="99"/>
      <c r="J208" s="99">
        <f t="shared" si="11"/>
        <v>0</v>
      </c>
      <c r="K208" s="99">
        <f aca="true" t="shared" si="12" ref="K208:K271">C208+D208+F208+G208</f>
        <v>0</v>
      </c>
      <c r="L208" s="99">
        <f t="shared" si="10"/>
        <v>0</v>
      </c>
      <c r="M208" s="99"/>
      <c r="N208" s="99"/>
      <c r="O208" s="99"/>
    </row>
    <row r="209" spans="1:15" ht="14.25" hidden="1">
      <c r="A209" s="98">
        <v>203</v>
      </c>
      <c r="B209" s="119">
        <v>48335</v>
      </c>
      <c r="C209" s="99"/>
      <c r="D209" s="99"/>
      <c r="E209" s="99"/>
      <c r="F209" s="99"/>
      <c r="G209" s="99"/>
      <c r="H209" s="99"/>
      <c r="I209" s="99"/>
      <c r="J209" s="99">
        <f t="shared" si="11"/>
        <v>0</v>
      </c>
      <c r="K209" s="99">
        <f t="shared" si="12"/>
        <v>0</v>
      </c>
      <c r="L209" s="99">
        <f t="shared" si="10"/>
        <v>0</v>
      </c>
      <c r="M209" s="99"/>
      <c r="N209" s="99"/>
      <c r="O209" s="99"/>
    </row>
    <row r="210" spans="1:15" ht="14.25" hidden="1">
      <c r="A210" s="98">
        <v>204</v>
      </c>
      <c r="B210" s="119">
        <v>48366</v>
      </c>
      <c r="C210" s="99"/>
      <c r="D210" s="99"/>
      <c r="E210" s="99"/>
      <c r="F210" s="99"/>
      <c r="G210" s="99"/>
      <c r="H210" s="99"/>
      <c r="I210" s="99"/>
      <c r="J210" s="99">
        <f t="shared" si="11"/>
        <v>0</v>
      </c>
      <c r="K210" s="99">
        <f t="shared" si="12"/>
        <v>0</v>
      </c>
      <c r="L210" s="99">
        <f t="shared" si="10"/>
        <v>0</v>
      </c>
      <c r="M210" s="99"/>
      <c r="N210" s="99"/>
      <c r="O210" s="99"/>
    </row>
    <row r="211" spans="1:15" ht="14.25" hidden="1">
      <c r="A211" s="98">
        <v>205</v>
      </c>
      <c r="B211" s="119">
        <v>48396</v>
      </c>
      <c r="C211" s="99"/>
      <c r="D211" s="99"/>
      <c r="E211" s="99"/>
      <c r="F211" s="99"/>
      <c r="G211" s="99"/>
      <c r="H211" s="99"/>
      <c r="I211" s="99"/>
      <c r="J211" s="99">
        <f t="shared" si="11"/>
        <v>0</v>
      </c>
      <c r="K211" s="99">
        <f t="shared" si="12"/>
        <v>0</v>
      </c>
      <c r="L211" s="99">
        <f t="shared" si="10"/>
        <v>0</v>
      </c>
      <c r="M211" s="99"/>
      <c r="N211" s="99"/>
      <c r="O211" s="99"/>
    </row>
    <row r="212" spans="1:15" ht="14.25" hidden="1">
      <c r="A212" s="98">
        <v>206</v>
      </c>
      <c r="B212" s="119">
        <v>48427</v>
      </c>
      <c r="C212" s="99"/>
      <c r="D212" s="99"/>
      <c r="E212" s="99"/>
      <c r="F212" s="99"/>
      <c r="G212" s="99"/>
      <c r="H212" s="99"/>
      <c r="I212" s="99"/>
      <c r="J212" s="99">
        <f t="shared" si="11"/>
        <v>0</v>
      </c>
      <c r="K212" s="99">
        <f t="shared" si="12"/>
        <v>0</v>
      </c>
      <c r="L212" s="99">
        <f t="shared" si="10"/>
        <v>0</v>
      </c>
      <c r="M212" s="99"/>
      <c r="N212" s="99"/>
      <c r="O212" s="99"/>
    </row>
    <row r="213" spans="1:15" ht="14.25" hidden="1">
      <c r="A213" s="98">
        <v>207</v>
      </c>
      <c r="B213" s="119">
        <v>48458</v>
      </c>
      <c r="C213" s="99"/>
      <c r="D213" s="99"/>
      <c r="E213" s="99"/>
      <c r="F213" s="99"/>
      <c r="G213" s="99"/>
      <c r="H213" s="99"/>
      <c r="I213" s="99"/>
      <c r="J213" s="99">
        <f t="shared" si="11"/>
        <v>0</v>
      </c>
      <c r="K213" s="99">
        <f t="shared" si="12"/>
        <v>0</v>
      </c>
      <c r="L213" s="99">
        <f t="shared" si="10"/>
        <v>0</v>
      </c>
      <c r="M213" s="99"/>
      <c r="N213" s="99"/>
      <c r="O213" s="99"/>
    </row>
    <row r="214" spans="1:15" ht="14.25" hidden="1">
      <c r="A214" s="98">
        <v>208</v>
      </c>
      <c r="B214" s="119">
        <v>48488</v>
      </c>
      <c r="C214" s="99"/>
      <c r="D214" s="99"/>
      <c r="E214" s="99"/>
      <c r="F214" s="99"/>
      <c r="G214" s="99"/>
      <c r="H214" s="99"/>
      <c r="I214" s="99"/>
      <c r="J214" s="99">
        <f t="shared" si="11"/>
        <v>0</v>
      </c>
      <c r="K214" s="99">
        <f t="shared" si="12"/>
        <v>0</v>
      </c>
      <c r="L214" s="99">
        <f t="shared" si="10"/>
        <v>0</v>
      </c>
      <c r="M214" s="99"/>
      <c r="N214" s="99"/>
      <c r="O214" s="99"/>
    </row>
    <row r="215" spans="1:15" ht="14.25" hidden="1">
      <c r="A215" s="98">
        <v>209</v>
      </c>
      <c r="B215" s="119">
        <v>48519</v>
      </c>
      <c r="C215" s="99"/>
      <c r="D215" s="99"/>
      <c r="E215" s="99"/>
      <c r="F215" s="99"/>
      <c r="G215" s="99"/>
      <c r="H215" s="99"/>
      <c r="I215" s="99"/>
      <c r="J215" s="99">
        <f t="shared" si="11"/>
        <v>0</v>
      </c>
      <c r="K215" s="99">
        <f t="shared" si="12"/>
        <v>0</v>
      </c>
      <c r="L215" s="99">
        <f t="shared" si="10"/>
        <v>0</v>
      </c>
      <c r="M215" s="99"/>
      <c r="N215" s="99"/>
      <c r="O215" s="99"/>
    </row>
    <row r="216" spans="1:15" ht="14.25" hidden="1">
      <c r="A216" s="98">
        <v>210</v>
      </c>
      <c r="B216" s="119">
        <v>48549</v>
      </c>
      <c r="C216" s="99"/>
      <c r="D216" s="99"/>
      <c r="E216" s="99"/>
      <c r="F216" s="99"/>
      <c r="G216" s="99"/>
      <c r="H216" s="99"/>
      <c r="I216" s="99"/>
      <c r="J216" s="99">
        <f t="shared" si="11"/>
        <v>0</v>
      </c>
      <c r="K216" s="99">
        <f t="shared" si="12"/>
        <v>0</v>
      </c>
      <c r="L216" s="99">
        <f t="shared" si="10"/>
        <v>0</v>
      </c>
      <c r="M216" s="99"/>
      <c r="N216" s="99"/>
      <c r="O216" s="99"/>
    </row>
    <row r="217" spans="1:15" ht="14.25" hidden="1">
      <c r="A217" s="98">
        <v>211</v>
      </c>
      <c r="B217" s="119">
        <v>48580</v>
      </c>
      <c r="C217" s="99"/>
      <c r="D217" s="99"/>
      <c r="E217" s="99"/>
      <c r="F217" s="99"/>
      <c r="G217" s="99"/>
      <c r="H217" s="99"/>
      <c r="I217" s="99"/>
      <c r="J217" s="99">
        <f t="shared" si="11"/>
        <v>0</v>
      </c>
      <c r="K217" s="99">
        <f t="shared" si="12"/>
        <v>0</v>
      </c>
      <c r="L217" s="99">
        <f t="shared" si="10"/>
        <v>0</v>
      </c>
      <c r="M217" s="99"/>
      <c r="N217" s="99"/>
      <c r="O217" s="99"/>
    </row>
    <row r="218" spans="1:15" ht="14.25" hidden="1">
      <c r="A218" s="98">
        <v>212</v>
      </c>
      <c r="B218" s="119">
        <v>48611</v>
      </c>
      <c r="C218" s="99"/>
      <c r="D218" s="99"/>
      <c r="E218" s="99"/>
      <c r="F218" s="99"/>
      <c r="G218" s="99"/>
      <c r="H218" s="99"/>
      <c r="I218" s="99"/>
      <c r="J218" s="99">
        <f t="shared" si="11"/>
        <v>0</v>
      </c>
      <c r="K218" s="99">
        <f t="shared" si="12"/>
        <v>0</v>
      </c>
      <c r="L218" s="99">
        <f t="shared" si="10"/>
        <v>0</v>
      </c>
      <c r="M218" s="99"/>
      <c r="N218" s="99"/>
      <c r="O218" s="99"/>
    </row>
    <row r="219" spans="1:15" ht="14.25" hidden="1">
      <c r="A219" s="98">
        <v>213</v>
      </c>
      <c r="B219" s="119">
        <v>48639</v>
      </c>
      <c r="C219" s="99"/>
      <c r="D219" s="99"/>
      <c r="E219" s="99"/>
      <c r="F219" s="99"/>
      <c r="G219" s="99"/>
      <c r="H219" s="99"/>
      <c r="I219" s="99"/>
      <c r="J219" s="99">
        <f t="shared" si="11"/>
        <v>0</v>
      </c>
      <c r="K219" s="99">
        <f t="shared" si="12"/>
        <v>0</v>
      </c>
      <c r="L219" s="99">
        <f t="shared" si="10"/>
        <v>0</v>
      </c>
      <c r="M219" s="99"/>
      <c r="N219" s="99"/>
      <c r="O219" s="99"/>
    </row>
    <row r="220" spans="1:15" ht="14.25" hidden="1">
      <c r="A220" s="98">
        <v>214</v>
      </c>
      <c r="B220" s="119">
        <v>48670</v>
      </c>
      <c r="C220" s="99"/>
      <c r="D220" s="99"/>
      <c r="E220" s="99"/>
      <c r="F220" s="99"/>
      <c r="G220" s="99"/>
      <c r="H220" s="99"/>
      <c r="I220" s="99"/>
      <c r="J220" s="99">
        <f t="shared" si="11"/>
        <v>0</v>
      </c>
      <c r="K220" s="99">
        <f t="shared" si="12"/>
        <v>0</v>
      </c>
      <c r="L220" s="99">
        <f t="shared" si="10"/>
        <v>0</v>
      </c>
      <c r="M220" s="99"/>
      <c r="N220" s="99"/>
      <c r="O220" s="99"/>
    </row>
    <row r="221" spans="1:15" ht="14.25" hidden="1">
      <c r="A221" s="98">
        <v>215</v>
      </c>
      <c r="B221" s="119">
        <v>48700</v>
      </c>
      <c r="C221" s="99"/>
      <c r="D221" s="99"/>
      <c r="E221" s="99"/>
      <c r="F221" s="99"/>
      <c r="G221" s="99"/>
      <c r="H221" s="99"/>
      <c r="I221" s="99"/>
      <c r="J221" s="99">
        <f t="shared" si="11"/>
        <v>0</v>
      </c>
      <c r="K221" s="99">
        <f t="shared" si="12"/>
        <v>0</v>
      </c>
      <c r="L221" s="99">
        <f t="shared" si="10"/>
        <v>0</v>
      </c>
      <c r="M221" s="99"/>
      <c r="N221" s="99"/>
      <c r="O221" s="99"/>
    </row>
    <row r="222" spans="1:15" ht="14.25" hidden="1">
      <c r="A222" s="98">
        <v>216</v>
      </c>
      <c r="B222" s="119">
        <v>48731</v>
      </c>
      <c r="C222" s="99"/>
      <c r="D222" s="99"/>
      <c r="E222" s="99"/>
      <c r="F222" s="99"/>
      <c r="G222" s="99"/>
      <c r="H222" s="99"/>
      <c r="I222" s="99"/>
      <c r="J222" s="99">
        <f t="shared" si="11"/>
        <v>0</v>
      </c>
      <c r="K222" s="99">
        <f t="shared" si="12"/>
        <v>0</v>
      </c>
      <c r="L222" s="99">
        <f t="shared" si="10"/>
        <v>0</v>
      </c>
      <c r="M222" s="99"/>
      <c r="N222" s="99"/>
      <c r="O222" s="99"/>
    </row>
    <row r="223" spans="1:15" ht="14.25" hidden="1">
      <c r="A223" s="98">
        <v>217</v>
      </c>
      <c r="B223" s="119">
        <v>48761</v>
      </c>
      <c r="C223" s="99"/>
      <c r="D223" s="99"/>
      <c r="E223" s="99"/>
      <c r="F223" s="99"/>
      <c r="G223" s="99"/>
      <c r="H223" s="99"/>
      <c r="I223" s="99"/>
      <c r="J223" s="99">
        <f t="shared" si="11"/>
        <v>0</v>
      </c>
      <c r="K223" s="99">
        <f t="shared" si="12"/>
        <v>0</v>
      </c>
      <c r="L223" s="99">
        <f t="shared" si="10"/>
        <v>0</v>
      </c>
      <c r="M223" s="99"/>
      <c r="N223" s="99"/>
      <c r="O223" s="99"/>
    </row>
    <row r="224" spans="1:15" ht="14.25" hidden="1">
      <c r="A224" s="98">
        <v>218</v>
      </c>
      <c r="B224" s="119">
        <v>48792</v>
      </c>
      <c r="C224" s="99"/>
      <c r="D224" s="99"/>
      <c r="E224" s="99"/>
      <c r="F224" s="99"/>
      <c r="G224" s="99"/>
      <c r="H224" s="99"/>
      <c r="I224" s="99"/>
      <c r="J224" s="99">
        <f t="shared" si="11"/>
        <v>0</v>
      </c>
      <c r="K224" s="99">
        <f t="shared" si="12"/>
        <v>0</v>
      </c>
      <c r="L224" s="99">
        <f t="shared" si="10"/>
        <v>0</v>
      </c>
      <c r="M224" s="99"/>
      <c r="N224" s="99"/>
      <c r="O224" s="99"/>
    </row>
    <row r="225" spans="1:15" ht="14.25" hidden="1">
      <c r="A225" s="98">
        <v>219</v>
      </c>
      <c r="B225" s="119">
        <v>48823</v>
      </c>
      <c r="C225" s="99"/>
      <c r="D225" s="99"/>
      <c r="E225" s="99"/>
      <c r="F225" s="99"/>
      <c r="G225" s="99"/>
      <c r="H225" s="99"/>
      <c r="I225" s="99"/>
      <c r="J225" s="99">
        <f t="shared" si="11"/>
        <v>0</v>
      </c>
      <c r="K225" s="99">
        <f t="shared" si="12"/>
        <v>0</v>
      </c>
      <c r="L225" s="99">
        <f t="shared" si="10"/>
        <v>0</v>
      </c>
      <c r="M225" s="99"/>
      <c r="N225" s="99"/>
      <c r="O225" s="99"/>
    </row>
    <row r="226" spans="1:15" ht="14.25" hidden="1">
      <c r="A226" s="98">
        <v>220</v>
      </c>
      <c r="B226" s="119">
        <v>48853</v>
      </c>
      <c r="C226" s="99"/>
      <c r="D226" s="99"/>
      <c r="E226" s="99"/>
      <c r="F226" s="99"/>
      <c r="G226" s="99"/>
      <c r="H226" s="99"/>
      <c r="I226" s="99"/>
      <c r="J226" s="99">
        <f t="shared" si="11"/>
        <v>0</v>
      </c>
      <c r="K226" s="99">
        <f t="shared" si="12"/>
        <v>0</v>
      </c>
      <c r="L226" s="99">
        <f t="shared" si="10"/>
        <v>0</v>
      </c>
      <c r="M226" s="99"/>
      <c r="N226" s="99"/>
      <c r="O226" s="99"/>
    </row>
    <row r="227" spans="1:15" ht="14.25" hidden="1">
      <c r="A227" s="98">
        <v>221</v>
      </c>
      <c r="B227" s="119">
        <v>48884</v>
      </c>
      <c r="C227" s="99"/>
      <c r="D227" s="99"/>
      <c r="E227" s="99"/>
      <c r="F227" s="99"/>
      <c r="G227" s="99"/>
      <c r="H227" s="99"/>
      <c r="I227" s="99"/>
      <c r="J227" s="99">
        <f t="shared" si="11"/>
        <v>0</v>
      </c>
      <c r="K227" s="99">
        <f t="shared" si="12"/>
        <v>0</v>
      </c>
      <c r="L227" s="99">
        <f t="shared" si="10"/>
        <v>0</v>
      </c>
      <c r="M227" s="99"/>
      <c r="N227" s="99"/>
      <c r="O227" s="99"/>
    </row>
    <row r="228" spans="1:15" ht="14.25" hidden="1">
      <c r="A228" s="98">
        <v>222</v>
      </c>
      <c r="B228" s="119">
        <v>48914</v>
      </c>
      <c r="C228" s="99"/>
      <c r="D228" s="99"/>
      <c r="E228" s="99"/>
      <c r="F228" s="99"/>
      <c r="G228" s="99"/>
      <c r="H228" s="99"/>
      <c r="I228" s="99"/>
      <c r="J228" s="99">
        <f t="shared" si="11"/>
        <v>0</v>
      </c>
      <c r="K228" s="99">
        <f t="shared" si="12"/>
        <v>0</v>
      </c>
      <c r="L228" s="99">
        <f t="shared" si="10"/>
        <v>0</v>
      </c>
      <c r="M228" s="99"/>
      <c r="N228" s="99"/>
      <c r="O228" s="99"/>
    </row>
    <row r="229" spans="1:15" ht="14.25" hidden="1">
      <c r="A229" s="98">
        <v>223</v>
      </c>
      <c r="B229" s="119">
        <v>48945</v>
      </c>
      <c r="C229" s="99"/>
      <c r="D229" s="99"/>
      <c r="E229" s="99"/>
      <c r="F229" s="99"/>
      <c r="G229" s="99"/>
      <c r="H229" s="99"/>
      <c r="I229" s="99"/>
      <c r="J229" s="99">
        <f t="shared" si="11"/>
        <v>0</v>
      </c>
      <c r="K229" s="99">
        <f t="shared" si="12"/>
        <v>0</v>
      </c>
      <c r="L229" s="99">
        <f t="shared" si="10"/>
        <v>0</v>
      </c>
      <c r="M229" s="99"/>
      <c r="N229" s="99"/>
      <c r="O229" s="99"/>
    </row>
    <row r="230" spans="1:15" ht="14.25" hidden="1">
      <c r="A230" s="98">
        <v>224</v>
      </c>
      <c r="B230" s="119">
        <v>48976</v>
      </c>
      <c r="C230" s="99"/>
      <c r="D230" s="99"/>
      <c r="E230" s="99"/>
      <c r="F230" s="99"/>
      <c r="G230" s="99"/>
      <c r="H230" s="99"/>
      <c r="I230" s="99"/>
      <c r="J230" s="99">
        <f t="shared" si="11"/>
        <v>0</v>
      </c>
      <c r="K230" s="99">
        <f t="shared" si="12"/>
        <v>0</v>
      </c>
      <c r="L230" s="99">
        <f t="shared" si="10"/>
        <v>0</v>
      </c>
      <c r="M230" s="99"/>
      <c r="N230" s="99"/>
      <c r="O230" s="99"/>
    </row>
    <row r="231" spans="1:15" ht="14.25" hidden="1">
      <c r="A231" s="98">
        <v>225</v>
      </c>
      <c r="B231" s="119">
        <v>49004</v>
      </c>
      <c r="C231" s="99"/>
      <c r="D231" s="99"/>
      <c r="E231" s="99"/>
      <c r="F231" s="99"/>
      <c r="G231" s="99"/>
      <c r="H231" s="99"/>
      <c r="I231" s="99"/>
      <c r="J231" s="99">
        <f t="shared" si="11"/>
        <v>0</v>
      </c>
      <c r="K231" s="99">
        <f t="shared" si="12"/>
        <v>0</v>
      </c>
      <c r="L231" s="99">
        <f t="shared" si="10"/>
        <v>0</v>
      </c>
      <c r="M231" s="99"/>
      <c r="N231" s="99"/>
      <c r="O231" s="99"/>
    </row>
    <row r="232" spans="1:15" ht="14.25" hidden="1">
      <c r="A232" s="98">
        <v>226</v>
      </c>
      <c r="B232" s="119">
        <v>49035</v>
      </c>
      <c r="C232" s="99"/>
      <c r="D232" s="99"/>
      <c r="E232" s="99"/>
      <c r="F232" s="99"/>
      <c r="G232" s="99"/>
      <c r="H232" s="99"/>
      <c r="I232" s="99"/>
      <c r="J232" s="99">
        <f t="shared" si="11"/>
        <v>0</v>
      </c>
      <c r="K232" s="99">
        <f t="shared" si="12"/>
        <v>0</v>
      </c>
      <c r="L232" s="99">
        <f t="shared" si="10"/>
        <v>0</v>
      </c>
      <c r="M232" s="99"/>
      <c r="N232" s="99"/>
      <c r="O232" s="99"/>
    </row>
    <row r="233" spans="1:15" ht="14.25" hidden="1">
      <c r="A233" s="98">
        <v>227</v>
      </c>
      <c r="B233" s="119">
        <v>49065</v>
      </c>
      <c r="C233" s="99"/>
      <c r="D233" s="99"/>
      <c r="E233" s="99"/>
      <c r="F233" s="99"/>
      <c r="G233" s="99"/>
      <c r="H233" s="99"/>
      <c r="I233" s="99"/>
      <c r="J233" s="99">
        <f t="shared" si="11"/>
        <v>0</v>
      </c>
      <c r="K233" s="99">
        <f t="shared" si="12"/>
        <v>0</v>
      </c>
      <c r="L233" s="99">
        <f t="shared" si="10"/>
        <v>0</v>
      </c>
      <c r="M233" s="99"/>
      <c r="N233" s="99"/>
      <c r="O233" s="99"/>
    </row>
    <row r="234" spans="1:15" ht="14.25" hidden="1">
      <c r="A234" s="98">
        <v>228</v>
      </c>
      <c r="B234" s="119">
        <v>49096</v>
      </c>
      <c r="C234" s="99"/>
      <c r="D234" s="99"/>
      <c r="E234" s="99"/>
      <c r="F234" s="99"/>
      <c r="G234" s="99"/>
      <c r="H234" s="99"/>
      <c r="I234" s="99"/>
      <c r="J234" s="99">
        <f t="shared" si="11"/>
        <v>0</v>
      </c>
      <c r="K234" s="99">
        <f t="shared" si="12"/>
        <v>0</v>
      </c>
      <c r="L234" s="99">
        <f t="shared" si="10"/>
        <v>0</v>
      </c>
      <c r="M234" s="99"/>
      <c r="N234" s="99"/>
      <c r="O234" s="99"/>
    </row>
    <row r="235" spans="1:15" ht="14.25" hidden="1">
      <c r="A235" s="98">
        <v>229</v>
      </c>
      <c r="B235" s="119">
        <v>49126</v>
      </c>
      <c r="C235" s="99"/>
      <c r="D235" s="99"/>
      <c r="E235" s="99"/>
      <c r="F235" s="99"/>
      <c r="G235" s="99"/>
      <c r="H235" s="99"/>
      <c r="I235" s="99"/>
      <c r="J235" s="99">
        <f t="shared" si="11"/>
        <v>0</v>
      </c>
      <c r="K235" s="99">
        <f t="shared" si="12"/>
        <v>0</v>
      </c>
      <c r="L235" s="99">
        <f t="shared" si="10"/>
        <v>0</v>
      </c>
      <c r="M235" s="99"/>
      <c r="N235" s="99"/>
      <c r="O235" s="99"/>
    </row>
    <row r="236" spans="1:15" ht="14.25" hidden="1">
      <c r="A236" s="98">
        <v>230</v>
      </c>
      <c r="B236" s="119">
        <v>49157</v>
      </c>
      <c r="C236" s="99"/>
      <c r="D236" s="99"/>
      <c r="E236" s="99"/>
      <c r="F236" s="99"/>
      <c r="G236" s="99"/>
      <c r="H236" s="99"/>
      <c r="I236" s="99"/>
      <c r="J236" s="99">
        <f t="shared" si="11"/>
        <v>0</v>
      </c>
      <c r="K236" s="99">
        <f t="shared" si="12"/>
        <v>0</v>
      </c>
      <c r="L236" s="99">
        <f t="shared" si="10"/>
        <v>0</v>
      </c>
      <c r="M236" s="99"/>
      <c r="N236" s="99"/>
      <c r="O236" s="99"/>
    </row>
    <row r="237" spans="1:15" ht="14.25" hidden="1">
      <c r="A237" s="98">
        <v>231</v>
      </c>
      <c r="B237" s="119">
        <v>49188</v>
      </c>
      <c r="C237" s="99"/>
      <c r="D237" s="99"/>
      <c r="E237" s="99"/>
      <c r="F237" s="99"/>
      <c r="G237" s="99"/>
      <c r="H237" s="99"/>
      <c r="I237" s="99"/>
      <c r="J237" s="99">
        <f t="shared" si="11"/>
        <v>0</v>
      </c>
      <c r="K237" s="99">
        <f t="shared" si="12"/>
        <v>0</v>
      </c>
      <c r="L237" s="99">
        <f t="shared" si="10"/>
        <v>0</v>
      </c>
      <c r="M237" s="99"/>
      <c r="N237" s="99"/>
      <c r="O237" s="99"/>
    </row>
    <row r="238" spans="1:15" ht="14.25" hidden="1">
      <c r="A238" s="98">
        <v>232</v>
      </c>
      <c r="B238" s="119">
        <v>49218</v>
      </c>
      <c r="C238" s="99"/>
      <c r="D238" s="99"/>
      <c r="E238" s="99"/>
      <c r="F238" s="99"/>
      <c r="G238" s="99"/>
      <c r="H238" s="99"/>
      <c r="I238" s="99"/>
      <c r="J238" s="99">
        <f t="shared" si="11"/>
        <v>0</v>
      </c>
      <c r="K238" s="99">
        <f t="shared" si="12"/>
        <v>0</v>
      </c>
      <c r="L238" s="99">
        <f t="shared" si="10"/>
        <v>0</v>
      </c>
      <c r="M238" s="99"/>
      <c r="N238" s="99"/>
      <c r="O238" s="99"/>
    </row>
    <row r="239" spans="1:15" ht="14.25" hidden="1">
      <c r="A239" s="98">
        <v>233</v>
      </c>
      <c r="B239" s="119">
        <v>49249</v>
      </c>
      <c r="C239" s="99"/>
      <c r="D239" s="99"/>
      <c r="E239" s="99"/>
      <c r="F239" s="99"/>
      <c r="G239" s="99"/>
      <c r="H239" s="99"/>
      <c r="I239" s="99"/>
      <c r="J239" s="99">
        <f t="shared" si="11"/>
        <v>0</v>
      </c>
      <c r="K239" s="99">
        <f t="shared" si="12"/>
        <v>0</v>
      </c>
      <c r="L239" s="99">
        <f t="shared" si="10"/>
        <v>0</v>
      </c>
      <c r="M239" s="99"/>
      <c r="N239" s="99"/>
      <c r="O239" s="99"/>
    </row>
    <row r="240" spans="1:15" ht="14.25" hidden="1">
      <c r="A240" s="98">
        <v>234</v>
      </c>
      <c r="B240" s="119">
        <v>49279</v>
      </c>
      <c r="C240" s="99"/>
      <c r="D240" s="99"/>
      <c r="E240" s="99"/>
      <c r="F240" s="99"/>
      <c r="G240" s="99"/>
      <c r="H240" s="99"/>
      <c r="I240" s="99"/>
      <c r="J240" s="99">
        <f t="shared" si="11"/>
        <v>0</v>
      </c>
      <c r="K240" s="99">
        <f t="shared" si="12"/>
        <v>0</v>
      </c>
      <c r="L240" s="99">
        <f t="shared" si="10"/>
        <v>0</v>
      </c>
      <c r="M240" s="99"/>
      <c r="N240" s="99"/>
      <c r="O240" s="99"/>
    </row>
    <row r="241" spans="1:15" ht="14.25" hidden="1">
      <c r="A241" s="98">
        <v>235</v>
      </c>
      <c r="B241" s="119">
        <v>49310</v>
      </c>
      <c r="C241" s="99"/>
      <c r="D241" s="99"/>
      <c r="E241" s="99"/>
      <c r="F241" s="99"/>
      <c r="G241" s="99"/>
      <c r="H241" s="99"/>
      <c r="I241" s="99"/>
      <c r="J241" s="99">
        <f t="shared" si="11"/>
        <v>0</v>
      </c>
      <c r="K241" s="99">
        <f t="shared" si="12"/>
        <v>0</v>
      </c>
      <c r="L241" s="99">
        <f t="shared" si="10"/>
        <v>0</v>
      </c>
      <c r="M241" s="99"/>
      <c r="N241" s="99"/>
      <c r="O241" s="99"/>
    </row>
    <row r="242" spans="1:15" ht="14.25" hidden="1">
      <c r="A242" s="98">
        <v>236</v>
      </c>
      <c r="B242" s="119">
        <v>49341</v>
      </c>
      <c r="C242" s="99"/>
      <c r="D242" s="99"/>
      <c r="E242" s="99"/>
      <c r="F242" s="99"/>
      <c r="G242" s="99"/>
      <c r="H242" s="99"/>
      <c r="I242" s="99"/>
      <c r="J242" s="99">
        <f t="shared" si="11"/>
        <v>0</v>
      </c>
      <c r="K242" s="99">
        <f t="shared" si="12"/>
        <v>0</v>
      </c>
      <c r="L242" s="99">
        <f t="shared" si="10"/>
        <v>0</v>
      </c>
      <c r="M242" s="99"/>
      <c r="N242" s="99"/>
      <c r="O242" s="99"/>
    </row>
    <row r="243" spans="1:15" ht="14.25" hidden="1">
      <c r="A243" s="98">
        <v>237</v>
      </c>
      <c r="B243" s="119">
        <v>49369</v>
      </c>
      <c r="C243" s="99"/>
      <c r="D243" s="99"/>
      <c r="E243" s="99"/>
      <c r="F243" s="99"/>
      <c r="G243" s="99"/>
      <c r="H243" s="99"/>
      <c r="I243" s="99"/>
      <c r="J243" s="99">
        <f t="shared" si="11"/>
        <v>0</v>
      </c>
      <c r="K243" s="99">
        <f t="shared" si="12"/>
        <v>0</v>
      </c>
      <c r="L243" s="99">
        <f t="shared" si="10"/>
        <v>0</v>
      </c>
      <c r="M243" s="99"/>
      <c r="N243" s="99"/>
      <c r="O243" s="99"/>
    </row>
    <row r="244" spans="1:15" ht="14.25" hidden="1">
      <c r="A244" s="98">
        <v>238</v>
      </c>
      <c r="B244" s="119">
        <v>49400</v>
      </c>
      <c r="C244" s="99"/>
      <c r="D244" s="99"/>
      <c r="E244" s="99"/>
      <c r="F244" s="99"/>
      <c r="G244" s="99"/>
      <c r="H244" s="99"/>
      <c r="I244" s="99"/>
      <c r="J244" s="99">
        <f t="shared" si="11"/>
        <v>0</v>
      </c>
      <c r="K244" s="99">
        <f t="shared" si="12"/>
        <v>0</v>
      </c>
      <c r="L244" s="99">
        <f t="shared" si="10"/>
        <v>0</v>
      </c>
      <c r="M244" s="99"/>
      <c r="N244" s="99"/>
      <c r="O244" s="99"/>
    </row>
    <row r="245" spans="1:15" ht="14.25" hidden="1">
      <c r="A245" s="98">
        <v>239</v>
      </c>
      <c r="B245" s="119">
        <v>49430</v>
      </c>
      <c r="C245" s="99"/>
      <c r="D245" s="99"/>
      <c r="E245" s="99"/>
      <c r="F245" s="99"/>
      <c r="G245" s="99"/>
      <c r="H245" s="99"/>
      <c r="I245" s="99"/>
      <c r="J245" s="99">
        <f t="shared" si="11"/>
        <v>0</v>
      </c>
      <c r="K245" s="99">
        <f t="shared" si="12"/>
        <v>0</v>
      </c>
      <c r="L245" s="99">
        <f t="shared" si="10"/>
        <v>0</v>
      </c>
      <c r="M245" s="99"/>
      <c r="N245" s="99"/>
      <c r="O245" s="99"/>
    </row>
    <row r="246" spans="1:15" ht="14.25" hidden="1">
      <c r="A246" s="98">
        <v>240</v>
      </c>
      <c r="B246" s="119">
        <v>49461</v>
      </c>
      <c r="C246" s="99"/>
      <c r="D246" s="99"/>
      <c r="E246" s="99"/>
      <c r="F246" s="99"/>
      <c r="G246" s="99"/>
      <c r="H246" s="99"/>
      <c r="I246" s="99"/>
      <c r="J246" s="99">
        <f t="shared" si="11"/>
        <v>0</v>
      </c>
      <c r="K246" s="99">
        <f t="shared" si="12"/>
        <v>0</v>
      </c>
      <c r="L246" s="99">
        <f t="shared" si="10"/>
        <v>0</v>
      </c>
      <c r="M246" s="99"/>
      <c r="N246" s="99"/>
      <c r="O246" s="99"/>
    </row>
    <row r="247" spans="1:15" ht="14.25" hidden="1">
      <c r="A247" s="98">
        <v>241</v>
      </c>
      <c r="B247" s="119">
        <v>49491</v>
      </c>
      <c r="C247" s="99"/>
      <c r="D247" s="99"/>
      <c r="E247" s="99"/>
      <c r="F247" s="99"/>
      <c r="G247" s="99"/>
      <c r="H247" s="99"/>
      <c r="I247" s="99"/>
      <c r="J247" s="99">
        <f t="shared" si="11"/>
        <v>0</v>
      </c>
      <c r="K247" s="99">
        <f t="shared" si="12"/>
        <v>0</v>
      </c>
      <c r="L247" s="99">
        <f t="shared" si="10"/>
        <v>0</v>
      </c>
      <c r="M247" s="99"/>
      <c r="N247" s="99"/>
      <c r="O247" s="99"/>
    </row>
    <row r="248" spans="1:15" ht="14.25" hidden="1">
      <c r="A248" s="98">
        <v>242</v>
      </c>
      <c r="B248" s="119">
        <v>49522</v>
      </c>
      <c r="C248" s="99"/>
      <c r="D248" s="99"/>
      <c r="E248" s="99"/>
      <c r="F248" s="99"/>
      <c r="G248" s="99"/>
      <c r="H248" s="99"/>
      <c r="I248" s="99"/>
      <c r="J248" s="99">
        <f t="shared" si="11"/>
        <v>0</v>
      </c>
      <c r="K248" s="99">
        <f t="shared" si="12"/>
        <v>0</v>
      </c>
      <c r="L248" s="99">
        <f t="shared" si="10"/>
        <v>0</v>
      </c>
      <c r="M248" s="99"/>
      <c r="N248" s="99"/>
      <c r="O248" s="99"/>
    </row>
    <row r="249" spans="1:15" ht="14.25" hidden="1">
      <c r="A249" s="98">
        <v>243</v>
      </c>
      <c r="B249" s="119">
        <v>49553</v>
      </c>
      <c r="C249" s="99"/>
      <c r="D249" s="99"/>
      <c r="E249" s="99"/>
      <c r="F249" s="99"/>
      <c r="G249" s="99"/>
      <c r="H249" s="99"/>
      <c r="I249" s="99"/>
      <c r="J249" s="99">
        <f t="shared" si="11"/>
        <v>0</v>
      </c>
      <c r="K249" s="99">
        <f t="shared" si="12"/>
        <v>0</v>
      </c>
      <c r="L249" s="99">
        <f t="shared" si="10"/>
        <v>0</v>
      </c>
      <c r="M249" s="99"/>
      <c r="N249" s="99"/>
      <c r="O249" s="99"/>
    </row>
    <row r="250" spans="1:15" ht="14.25" hidden="1">
      <c r="A250" s="98">
        <v>244</v>
      </c>
      <c r="B250" s="119">
        <v>49583</v>
      </c>
      <c r="C250" s="99"/>
      <c r="D250" s="99"/>
      <c r="E250" s="99"/>
      <c r="F250" s="99"/>
      <c r="G250" s="99"/>
      <c r="H250" s="99"/>
      <c r="I250" s="99"/>
      <c r="J250" s="99">
        <f t="shared" si="11"/>
        <v>0</v>
      </c>
      <c r="K250" s="99">
        <f t="shared" si="12"/>
        <v>0</v>
      </c>
      <c r="L250" s="99">
        <f t="shared" si="10"/>
        <v>0</v>
      </c>
      <c r="M250" s="99"/>
      <c r="N250" s="99"/>
      <c r="O250" s="99"/>
    </row>
    <row r="251" spans="1:15" ht="14.25" hidden="1">
      <c r="A251" s="98">
        <v>245</v>
      </c>
      <c r="B251" s="119">
        <v>49614</v>
      </c>
      <c r="C251" s="99"/>
      <c r="D251" s="99"/>
      <c r="E251" s="99"/>
      <c r="F251" s="99"/>
      <c r="G251" s="99"/>
      <c r="H251" s="99"/>
      <c r="I251" s="99"/>
      <c r="J251" s="99">
        <f t="shared" si="11"/>
        <v>0</v>
      </c>
      <c r="K251" s="99">
        <f t="shared" si="12"/>
        <v>0</v>
      </c>
      <c r="L251" s="99">
        <f t="shared" si="10"/>
        <v>0</v>
      </c>
      <c r="M251" s="99"/>
      <c r="N251" s="99"/>
      <c r="O251" s="99"/>
    </row>
    <row r="252" spans="1:15" ht="14.25" hidden="1">
      <c r="A252" s="98">
        <v>246</v>
      </c>
      <c r="B252" s="119">
        <v>49644</v>
      </c>
      <c r="C252" s="99"/>
      <c r="D252" s="99"/>
      <c r="E252" s="99"/>
      <c r="F252" s="99"/>
      <c r="G252" s="99"/>
      <c r="H252" s="99"/>
      <c r="I252" s="99"/>
      <c r="J252" s="99">
        <f t="shared" si="11"/>
        <v>0</v>
      </c>
      <c r="K252" s="99">
        <f t="shared" si="12"/>
        <v>0</v>
      </c>
      <c r="L252" s="99">
        <f t="shared" si="10"/>
        <v>0</v>
      </c>
      <c r="M252" s="99"/>
      <c r="N252" s="99"/>
      <c r="O252" s="99"/>
    </row>
    <row r="253" spans="1:15" ht="14.25" hidden="1">
      <c r="A253" s="98">
        <v>247</v>
      </c>
      <c r="B253" s="119">
        <v>49675</v>
      </c>
      <c r="C253" s="99"/>
      <c r="D253" s="99"/>
      <c r="E253" s="99"/>
      <c r="F253" s="99"/>
      <c r="G253" s="99"/>
      <c r="H253" s="99"/>
      <c r="I253" s="99"/>
      <c r="J253" s="99">
        <f t="shared" si="11"/>
        <v>0</v>
      </c>
      <c r="K253" s="99">
        <f t="shared" si="12"/>
        <v>0</v>
      </c>
      <c r="L253" s="99">
        <f t="shared" si="10"/>
        <v>0</v>
      </c>
      <c r="M253" s="99"/>
      <c r="N253" s="99"/>
      <c r="O253" s="99"/>
    </row>
    <row r="254" spans="1:15" ht="14.25" hidden="1">
      <c r="A254" s="98">
        <v>248</v>
      </c>
      <c r="B254" s="119">
        <v>49706</v>
      </c>
      <c r="C254" s="99"/>
      <c r="D254" s="99"/>
      <c r="E254" s="99"/>
      <c r="F254" s="99"/>
      <c r="G254" s="99"/>
      <c r="H254" s="99"/>
      <c r="I254" s="99"/>
      <c r="J254" s="99">
        <f t="shared" si="11"/>
        <v>0</v>
      </c>
      <c r="K254" s="99">
        <f t="shared" si="12"/>
        <v>0</v>
      </c>
      <c r="L254" s="99">
        <f t="shared" si="10"/>
        <v>0</v>
      </c>
      <c r="M254" s="99"/>
      <c r="N254" s="99"/>
      <c r="O254" s="99"/>
    </row>
    <row r="255" spans="1:15" ht="14.25" hidden="1">
      <c r="A255" s="98">
        <v>249</v>
      </c>
      <c r="B255" s="119">
        <v>49735</v>
      </c>
      <c r="C255" s="99"/>
      <c r="D255" s="99"/>
      <c r="E255" s="99"/>
      <c r="F255" s="99"/>
      <c r="G255" s="99"/>
      <c r="H255" s="99"/>
      <c r="I255" s="99"/>
      <c r="J255" s="99">
        <f t="shared" si="11"/>
        <v>0</v>
      </c>
      <c r="K255" s="99">
        <f t="shared" si="12"/>
        <v>0</v>
      </c>
      <c r="L255" s="99">
        <f t="shared" si="10"/>
        <v>0</v>
      </c>
      <c r="M255" s="99"/>
      <c r="N255" s="99"/>
      <c r="O255" s="99"/>
    </row>
    <row r="256" spans="1:15" ht="14.25" hidden="1">
      <c r="A256" s="98">
        <v>250</v>
      </c>
      <c r="B256" s="119">
        <v>49766</v>
      </c>
      <c r="C256" s="99"/>
      <c r="D256" s="99"/>
      <c r="E256" s="99"/>
      <c r="F256" s="99"/>
      <c r="G256" s="99"/>
      <c r="H256" s="99"/>
      <c r="I256" s="99"/>
      <c r="J256" s="99">
        <f t="shared" si="11"/>
        <v>0</v>
      </c>
      <c r="K256" s="99">
        <f t="shared" si="12"/>
        <v>0</v>
      </c>
      <c r="L256" s="99">
        <f t="shared" si="10"/>
        <v>0</v>
      </c>
      <c r="M256" s="99"/>
      <c r="N256" s="99"/>
      <c r="O256" s="99"/>
    </row>
    <row r="257" spans="1:15" ht="14.25" hidden="1">
      <c r="A257" s="98">
        <v>251</v>
      </c>
      <c r="B257" s="119">
        <v>49796</v>
      </c>
      <c r="C257" s="99"/>
      <c r="D257" s="99"/>
      <c r="E257" s="99"/>
      <c r="F257" s="99"/>
      <c r="G257" s="99"/>
      <c r="H257" s="99"/>
      <c r="I257" s="99"/>
      <c r="J257" s="99">
        <f t="shared" si="11"/>
        <v>0</v>
      </c>
      <c r="K257" s="99">
        <f t="shared" si="12"/>
        <v>0</v>
      </c>
      <c r="L257" s="99">
        <f t="shared" si="10"/>
        <v>0</v>
      </c>
      <c r="M257" s="99"/>
      <c r="N257" s="99"/>
      <c r="O257" s="99"/>
    </row>
    <row r="258" spans="1:15" ht="14.25" hidden="1">
      <c r="A258" s="98">
        <v>252</v>
      </c>
      <c r="B258" s="119">
        <v>49827</v>
      </c>
      <c r="C258" s="99"/>
      <c r="D258" s="99"/>
      <c r="E258" s="99"/>
      <c r="F258" s="99"/>
      <c r="G258" s="99"/>
      <c r="H258" s="99"/>
      <c r="I258" s="99"/>
      <c r="J258" s="99">
        <f t="shared" si="11"/>
        <v>0</v>
      </c>
      <c r="K258" s="99">
        <f t="shared" si="12"/>
        <v>0</v>
      </c>
      <c r="L258" s="99">
        <f t="shared" si="10"/>
        <v>0</v>
      </c>
      <c r="M258" s="99"/>
      <c r="N258" s="99"/>
      <c r="O258" s="99"/>
    </row>
    <row r="259" spans="1:15" ht="14.25" hidden="1">
      <c r="A259" s="98">
        <v>253</v>
      </c>
      <c r="B259" s="119">
        <v>49857</v>
      </c>
      <c r="C259" s="99"/>
      <c r="D259" s="99"/>
      <c r="E259" s="99"/>
      <c r="F259" s="99"/>
      <c r="G259" s="99"/>
      <c r="H259" s="99"/>
      <c r="I259" s="99"/>
      <c r="J259" s="99">
        <f t="shared" si="11"/>
        <v>0</v>
      </c>
      <c r="K259" s="99">
        <f t="shared" si="12"/>
        <v>0</v>
      </c>
      <c r="L259" s="99">
        <f t="shared" si="10"/>
        <v>0</v>
      </c>
      <c r="M259" s="99"/>
      <c r="N259" s="99"/>
      <c r="O259" s="99"/>
    </row>
    <row r="260" spans="1:15" ht="14.25" hidden="1">
      <c r="A260" s="98">
        <v>254</v>
      </c>
      <c r="B260" s="119">
        <v>49888</v>
      </c>
      <c r="C260" s="99"/>
      <c r="D260" s="99"/>
      <c r="E260" s="99"/>
      <c r="F260" s="99"/>
      <c r="G260" s="99"/>
      <c r="H260" s="99"/>
      <c r="I260" s="99"/>
      <c r="J260" s="99">
        <f t="shared" si="11"/>
        <v>0</v>
      </c>
      <c r="K260" s="99">
        <f t="shared" si="12"/>
        <v>0</v>
      </c>
      <c r="L260" s="99">
        <f t="shared" si="10"/>
        <v>0</v>
      </c>
      <c r="M260" s="99"/>
      <c r="N260" s="99"/>
      <c r="O260" s="99"/>
    </row>
    <row r="261" spans="1:15" ht="14.25" hidden="1">
      <c r="A261" s="98">
        <v>255</v>
      </c>
      <c r="B261" s="119">
        <v>49919</v>
      </c>
      <c r="C261" s="99"/>
      <c r="D261" s="99"/>
      <c r="E261" s="99"/>
      <c r="F261" s="99"/>
      <c r="G261" s="99"/>
      <c r="H261" s="99"/>
      <c r="I261" s="99"/>
      <c r="J261" s="99">
        <f t="shared" si="11"/>
        <v>0</v>
      </c>
      <c r="K261" s="99">
        <f t="shared" si="12"/>
        <v>0</v>
      </c>
      <c r="L261" s="99">
        <f t="shared" si="10"/>
        <v>0</v>
      </c>
      <c r="M261" s="99"/>
      <c r="N261" s="99"/>
      <c r="O261" s="99"/>
    </row>
    <row r="262" spans="1:15" ht="14.25" hidden="1">
      <c r="A262" s="98">
        <v>256</v>
      </c>
      <c r="B262" s="119">
        <v>49949</v>
      </c>
      <c r="C262" s="99"/>
      <c r="D262" s="99"/>
      <c r="E262" s="99"/>
      <c r="F262" s="99"/>
      <c r="G262" s="99"/>
      <c r="H262" s="99"/>
      <c r="I262" s="99"/>
      <c r="J262" s="99">
        <f t="shared" si="11"/>
        <v>0</v>
      </c>
      <c r="K262" s="99">
        <f t="shared" si="12"/>
        <v>0</v>
      </c>
      <c r="L262" s="99">
        <f aca="true" t="shared" si="13" ref="L262:L307">ROUND(K262*L$3,0)</f>
        <v>0</v>
      </c>
      <c r="M262" s="99"/>
      <c r="N262" s="99"/>
      <c r="O262" s="99"/>
    </row>
    <row r="263" spans="1:15" ht="14.25" hidden="1">
      <c r="A263" s="98">
        <v>257</v>
      </c>
      <c r="B263" s="119">
        <v>49980</v>
      </c>
      <c r="C263" s="99"/>
      <c r="D263" s="99"/>
      <c r="E263" s="99"/>
      <c r="F263" s="99"/>
      <c r="G263" s="99"/>
      <c r="H263" s="99"/>
      <c r="I263" s="99"/>
      <c r="J263" s="99">
        <f t="shared" si="11"/>
        <v>0</v>
      </c>
      <c r="K263" s="99">
        <f t="shared" si="12"/>
        <v>0</v>
      </c>
      <c r="L263" s="99">
        <f t="shared" si="13"/>
        <v>0</v>
      </c>
      <c r="M263" s="99"/>
      <c r="N263" s="99"/>
      <c r="O263" s="99"/>
    </row>
    <row r="264" spans="1:15" ht="14.25" hidden="1">
      <c r="A264" s="98">
        <v>258</v>
      </c>
      <c r="B264" s="119">
        <v>50010</v>
      </c>
      <c r="C264" s="99"/>
      <c r="D264" s="99"/>
      <c r="E264" s="99"/>
      <c r="F264" s="99"/>
      <c r="G264" s="99"/>
      <c r="H264" s="99"/>
      <c r="I264" s="99"/>
      <c r="J264" s="99">
        <f aca="true" t="shared" si="14" ref="J264:J305">SUM(C264:I264)</f>
        <v>0</v>
      </c>
      <c r="K264" s="99">
        <f t="shared" si="12"/>
        <v>0</v>
      </c>
      <c r="L264" s="99">
        <f t="shared" si="13"/>
        <v>0</v>
      </c>
      <c r="M264" s="99"/>
      <c r="N264" s="99"/>
      <c r="O264" s="99"/>
    </row>
    <row r="265" spans="1:15" ht="14.25" hidden="1">
      <c r="A265" s="98">
        <v>259</v>
      </c>
      <c r="B265" s="119">
        <v>50041</v>
      </c>
      <c r="C265" s="99"/>
      <c r="D265" s="99"/>
      <c r="E265" s="99"/>
      <c r="F265" s="99"/>
      <c r="G265" s="99"/>
      <c r="H265" s="99"/>
      <c r="I265" s="99"/>
      <c r="J265" s="99">
        <f t="shared" si="14"/>
        <v>0</v>
      </c>
      <c r="K265" s="99">
        <f t="shared" si="12"/>
        <v>0</v>
      </c>
      <c r="L265" s="99">
        <f t="shared" si="13"/>
        <v>0</v>
      </c>
      <c r="M265" s="99"/>
      <c r="N265" s="99"/>
      <c r="O265" s="99"/>
    </row>
    <row r="266" spans="1:15" ht="14.25" hidden="1">
      <c r="A266" s="98">
        <v>260</v>
      </c>
      <c r="B266" s="119">
        <v>50072</v>
      </c>
      <c r="C266" s="99"/>
      <c r="D266" s="99"/>
      <c r="E266" s="99"/>
      <c r="F266" s="99"/>
      <c r="G266" s="99"/>
      <c r="H266" s="99"/>
      <c r="I266" s="99"/>
      <c r="J266" s="99">
        <f t="shared" si="14"/>
        <v>0</v>
      </c>
      <c r="K266" s="99">
        <f t="shared" si="12"/>
        <v>0</v>
      </c>
      <c r="L266" s="99">
        <f t="shared" si="13"/>
        <v>0</v>
      </c>
      <c r="M266" s="99"/>
      <c r="N266" s="99"/>
      <c r="O266" s="99"/>
    </row>
    <row r="267" spans="1:15" ht="14.25" hidden="1">
      <c r="A267" s="98">
        <v>261</v>
      </c>
      <c r="B267" s="119">
        <v>50100</v>
      </c>
      <c r="C267" s="99"/>
      <c r="D267" s="99"/>
      <c r="E267" s="99"/>
      <c r="F267" s="99"/>
      <c r="G267" s="99"/>
      <c r="H267" s="99"/>
      <c r="I267" s="99"/>
      <c r="J267" s="99">
        <f t="shared" si="14"/>
        <v>0</v>
      </c>
      <c r="K267" s="99">
        <f t="shared" si="12"/>
        <v>0</v>
      </c>
      <c r="L267" s="99">
        <f t="shared" si="13"/>
        <v>0</v>
      </c>
      <c r="M267" s="99"/>
      <c r="N267" s="99"/>
      <c r="O267" s="99"/>
    </row>
    <row r="268" spans="1:15" ht="14.25" hidden="1">
      <c r="A268" s="98">
        <v>262</v>
      </c>
      <c r="B268" s="119">
        <v>50131</v>
      </c>
      <c r="C268" s="99"/>
      <c r="D268" s="99"/>
      <c r="E268" s="99"/>
      <c r="F268" s="99"/>
      <c r="G268" s="99"/>
      <c r="H268" s="99"/>
      <c r="I268" s="99"/>
      <c r="J268" s="99">
        <f t="shared" si="14"/>
        <v>0</v>
      </c>
      <c r="K268" s="99">
        <f t="shared" si="12"/>
        <v>0</v>
      </c>
      <c r="L268" s="99">
        <f t="shared" si="13"/>
        <v>0</v>
      </c>
      <c r="M268" s="99"/>
      <c r="N268" s="99"/>
      <c r="O268" s="99"/>
    </row>
    <row r="269" spans="1:15" ht="14.25" hidden="1">
      <c r="A269" s="98">
        <v>263</v>
      </c>
      <c r="B269" s="119">
        <v>50161</v>
      </c>
      <c r="C269" s="99"/>
      <c r="D269" s="99"/>
      <c r="E269" s="99"/>
      <c r="F269" s="99"/>
      <c r="G269" s="99"/>
      <c r="H269" s="99"/>
      <c r="I269" s="99"/>
      <c r="J269" s="99">
        <f t="shared" si="14"/>
        <v>0</v>
      </c>
      <c r="K269" s="99">
        <f t="shared" si="12"/>
        <v>0</v>
      </c>
      <c r="L269" s="99">
        <f t="shared" si="13"/>
        <v>0</v>
      </c>
      <c r="M269" s="99"/>
      <c r="N269" s="99"/>
      <c r="O269" s="99"/>
    </row>
    <row r="270" spans="1:15" ht="14.25" hidden="1">
      <c r="A270" s="98">
        <v>264</v>
      </c>
      <c r="B270" s="119">
        <v>50192</v>
      </c>
      <c r="C270" s="99"/>
      <c r="D270" s="99"/>
      <c r="E270" s="99"/>
      <c r="F270" s="99"/>
      <c r="G270" s="99"/>
      <c r="H270" s="99"/>
      <c r="I270" s="99"/>
      <c r="J270" s="99">
        <f t="shared" si="14"/>
        <v>0</v>
      </c>
      <c r="K270" s="99">
        <f t="shared" si="12"/>
        <v>0</v>
      </c>
      <c r="L270" s="99">
        <f t="shared" si="13"/>
        <v>0</v>
      </c>
      <c r="M270" s="99"/>
      <c r="N270" s="99"/>
      <c r="O270" s="99"/>
    </row>
    <row r="271" spans="1:15" ht="14.25" hidden="1">
      <c r="A271" s="98">
        <v>265</v>
      </c>
      <c r="B271" s="119">
        <v>50222</v>
      </c>
      <c r="C271" s="99"/>
      <c r="D271" s="99"/>
      <c r="E271" s="99"/>
      <c r="F271" s="99"/>
      <c r="G271" s="99"/>
      <c r="H271" s="99"/>
      <c r="I271" s="99"/>
      <c r="J271" s="99">
        <f t="shared" si="14"/>
        <v>0</v>
      </c>
      <c r="K271" s="99">
        <f t="shared" si="12"/>
        <v>0</v>
      </c>
      <c r="L271" s="99">
        <f t="shared" si="13"/>
        <v>0</v>
      </c>
      <c r="M271" s="99"/>
      <c r="N271" s="99"/>
      <c r="O271" s="99"/>
    </row>
    <row r="272" spans="1:15" ht="14.25" hidden="1">
      <c r="A272" s="98">
        <v>266</v>
      </c>
      <c r="B272" s="119">
        <v>50253</v>
      </c>
      <c r="C272" s="99"/>
      <c r="D272" s="99"/>
      <c r="E272" s="99"/>
      <c r="F272" s="99"/>
      <c r="G272" s="99"/>
      <c r="H272" s="99"/>
      <c r="I272" s="99"/>
      <c r="J272" s="99">
        <f t="shared" si="14"/>
        <v>0</v>
      </c>
      <c r="K272" s="99">
        <f aca="true" t="shared" si="15" ref="K272:K306">C272+D272+F272+G272</f>
        <v>0</v>
      </c>
      <c r="L272" s="99">
        <f t="shared" si="13"/>
        <v>0</v>
      </c>
      <c r="M272" s="99"/>
      <c r="N272" s="99"/>
      <c r="O272" s="99"/>
    </row>
    <row r="273" spans="1:15" ht="14.25" hidden="1">
      <c r="A273" s="98">
        <v>267</v>
      </c>
      <c r="B273" s="119">
        <v>50284</v>
      </c>
      <c r="C273" s="99"/>
      <c r="D273" s="99"/>
      <c r="E273" s="99"/>
      <c r="F273" s="99"/>
      <c r="G273" s="99"/>
      <c r="H273" s="99"/>
      <c r="I273" s="99"/>
      <c r="J273" s="99">
        <f t="shared" si="14"/>
        <v>0</v>
      </c>
      <c r="K273" s="99">
        <f t="shared" si="15"/>
        <v>0</v>
      </c>
      <c r="L273" s="99">
        <f t="shared" si="13"/>
        <v>0</v>
      </c>
      <c r="M273" s="99"/>
      <c r="N273" s="99"/>
      <c r="O273" s="99"/>
    </row>
    <row r="274" spans="1:15" ht="14.25" hidden="1">
      <c r="A274" s="98">
        <v>268</v>
      </c>
      <c r="B274" s="119">
        <v>50314</v>
      </c>
      <c r="C274" s="99"/>
      <c r="D274" s="99"/>
      <c r="E274" s="99"/>
      <c r="F274" s="99"/>
      <c r="G274" s="99"/>
      <c r="H274" s="99"/>
      <c r="I274" s="99"/>
      <c r="J274" s="99">
        <f t="shared" si="14"/>
        <v>0</v>
      </c>
      <c r="K274" s="99">
        <f t="shared" si="15"/>
        <v>0</v>
      </c>
      <c r="L274" s="99">
        <f t="shared" si="13"/>
        <v>0</v>
      </c>
      <c r="M274" s="99"/>
      <c r="N274" s="99"/>
      <c r="O274" s="99"/>
    </row>
    <row r="275" spans="1:15" ht="14.25" hidden="1">
      <c r="A275" s="98">
        <v>269</v>
      </c>
      <c r="B275" s="119">
        <v>50345</v>
      </c>
      <c r="C275" s="99"/>
      <c r="D275" s="99"/>
      <c r="E275" s="99"/>
      <c r="F275" s="99"/>
      <c r="G275" s="99"/>
      <c r="H275" s="99"/>
      <c r="I275" s="99"/>
      <c r="J275" s="99">
        <f t="shared" si="14"/>
        <v>0</v>
      </c>
      <c r="K275" s="99">
        <f t="shared" si="15"/>
        <v>0</v>
      </c>
      <c r="L275" s="99">
        <f t="shared" si="13"/>
        <v>0</v>
      </c>
      <c r="M275" s="99"/>
      <c r="N275" s="99"/>
      <c r="O275" s="99"/>
    </row>
    <row r="276" spans="1:15" ht="14.25" hidden="1">
      <c r="A276" s="98">
        <v>270</v>
      </c>
      <c r="B276" s="119">
        <v>50375</v>
      </c>
      <c r="C276" s="99"/>
      <c r="D276" s="99"/>
      <c r="E276" s="99"/>
      <c r="F276" s="99"/>
      <c r="G276" s="99"/>
      <c r="H276" s="99"/>
      <c r="I276" s="99"/>
      <c r="J276" s="99">
        <f t="shared" si="14"/>
        <v>0</v>
      </c>
      <c r="K276" s="99">
        <f t="shared" si="15"/>
        <v>0</v>
      </c>
      <c r="L276" s="99">
        <f t="shared" si="13"/>
        <v>0</v>
      </c>
      <c r="M276" s="99"/>
      <c r="N276" s="99"/>
      <c r="O276" s="99"/>
    </row>
    <row r="277" spans="1:15" ht="14.25" hidden="1">
      <c r="A277" s="98">
        <v>271</v>
      </c>
      <c r="B277" s="119">
        <v>50406</v>
      </c>
      <c r="C277" s="99"/>
      <c r="D277" s="99"/>
      <c r="E277" s="99"/>
      <c r="F277" s="99"/>
      <c r="G277" s="99"/>
      <c r="H277" s="99"/>
      <c r="I277" s="99"/>
      <c r="J277" s="99">
        <f t="shared" si="14"/>
        <v>0</v>
      </c>
      <c r="K277" s="99">
        <f t="shared" si="15"/>
        <v>0</v>
      </c>
      <c r="L277" s="99">
        <f t="shared" si="13"/>
        <v>0</v>
      </c>
      <c r="M277" s="99"/>
      <c r="N277" s="99"/>
      <c r="O277" s="99"/>
    </row>
    <row r="278" spans="1:15" ht="14.25" hidden="1">
      <c r="A278" s="98">
        <v>272</v>
      </c>
      <c r="B278" s="119">
        <v>50437</v>
      </c>
      <c r="C278" s="99"/>
      <c r="D278" s="99"/>
      <c r="E278" s="99"/>
      <c r="F278" s="99"/>
      <c r="G278" s="99"/>
      <c r="H278" s="99"/>
      <c r="I278" s="99"/>
      <c r="J278" s="99">
        <f t="shared" si="14"/>
        <v>0</v>
      </c>
      <c r="K278" s="99">
        <f t="shared" si="15"/>
        <v>0</v>
      </c>
      <c r="L278" s="99">
        <f t="shared" si="13"/>
        <v>0</v>
      </c>
      <c r="M278" s="99"/>
      <c r="N278" s="99"/>
      <c r="O278" s="99"/>
    </row>
    <row r="279" spans="1:15" ht="14.25" hidden="1">
      <c r="A279" s="98">
        <v>273</v>
      </c>
      <c r="B279" s="119">
        <v>50465</v>
      </c>
      <c r="C279" s="99"/>
      <c r="D279" s="99"/>
      <c r="E279" s="99"/>
      <c r="F279" s="99"/>
      <c r="G279" s="99"/>
      <c r="H279" s="99"/>
      <c r="I279" s="99"/>
      <c r="J279" s="99">
        <f t="shared" si="14"/>
        <v>0</v>
      </c>
      <c r="K279" s="99">
        <f t="shared" si="15"/>
        <v>0</v>
      </c>
      <c r="L279" s="99">
        <f t="shared" si="13"/>
        <v>0</v>
      </c>
      <c r="M279" s="99"/>
      <c r="N279" s="99"/>
      <c r="O279" s="99"/>
    </row>
    <row r="280" spans="1:15" ht="14.25" hidden="1">
      <c r="A280" s="98">
        <v>274</v>
      </c>
      <c r="B280" s="119">
        <v>50496</v>
      </c>
      <c r="C280" s="99"/>
      <c r="D280" s="99"/>
      <c r="E280" s="99"/>
      <c r="F280" s="99"/>
      <c r="G280" s="99"/>
      <c r="H280" s="99"/>
      <c r="I280" s="99"/>
      <c r="J280" s="99">
        <f t="shared" si="14"/>
        <v>0</v>
      </c>
      <c r="K280" s="99">
        <f t="shared" si="15"/>
        <v>0</v>
      </c>
      <c r="L280" s="99">
        <f t="shared" si="13"/>
        <v>0</v>
      </c>
      <c r="M280" s="99"/>
      <c r="N280" s="99"/>
      <c r="O280" s="99"/>
    </row>
    <row r="281" spans="1:15" ht="14.25" hidden="1">
      <c r="A281" s="98">
        <v>275</v>
      </c>
      <c r="B281" s="119">
        <v>50526</v>
      </c>
      <c r="C281" s="99"/>
      <c r="D281" s="99"/>
      <c r="E281" s="99"/>
      <c r="F281" s="99"/>
      <c r="G281" s="99"/>
      <c r="H281" s="99"/>
      <c r="I281" s="99"/>
      <c r="J281" s="99">
        <f t="shared" si="14"/>
        <v>0</v>
      </c>
      <c r="K281" s="99">
        <f t="shared" si="15"/>
        <v>0</v>
      </c>
      <c r="L281" s="99">
        <f t="shared" si="13"/>
        <v>0</v>
      </c>
      <c r="M281" s="99"/>
      <c r="N281" s="99"/>
      <c r="O281" s="99"/>
    </row>
    <row r="282" spans="1:15" ht="14.25" hidden="1">
      <c r="A282" s="98">
        <v>276</v>
      </c>
      <c r="B282" s="119">
        <v>50557</v>
      </c>
      <c r="C282" s="99"/>
      <c r="D282" s="99"/>
      <c r="E282" s="99"/>
      <c r="F282" s="99"/>
      <c r="G282" s="99"/>
      <c r="H282" s="99"/>
      <c r="I282" s="99"/>
      <c r="J282" s="99">
        <f t="shared" si="14"/>
        <v>0</v>
      </c>
      <c r="K282" s="99">
        <f t="shared" si="15"/>
        <v>0</v>
      </c>
      <c r="L282" s="99">
        <f t="shared" si="13"/>
        <v>0</v>
      </c>
      <c r="M282" s="99"/>
      <c r="N282" s="99"/>
      <c r="O282" s="99"/>
    </row>
    <row r="283" spans="1:15" ht="14.25" hidden="1">
      <c r="A283" s="98">
        <v>277</v>
      </c>
      <c r="B283" s="119">
        <v>50587</v>
      </c>
      <c r="C283" s="99"/>
      <c r="D283" s="99"/>
      <c r="E283" s="99"/>
      <c r="F283" s="99"/>
      <c r="G283" s="99"/>
      <c r="H283" s="99"/>
      <c r="I283" s="99"/>
      <c r="J283" s="99">
        <f t="shared" si="14"/>
        <v>0</v>
      </c>
      <c r="K283" s="99">
        <f t="shared" si="15"/>
        <v>0</v>
      </c>
      <c r="L283" s="99">
        <f t="shared" si="13"/>
        <v>0</v>
      </c>
      <c r="M283" s="99"/>
      <c r="N283" s="99"/>
      <c r="O283" s="99"/>
    </row>
    <row r="284" spans="1:15" ht="14.25" hidden="1">
      <c r="A284" s="98">
        <v>278</v>
      </c>
      <c r="B284" s="119">
        <v>50618</v>
      </c>
      <c r="C284" s="99"/>
      <c r="D284" s="99"/>
      <c r="E284" s="99"/>
      <c r="F284" s="99"/>
      <c r="G284" s="99"/>
      <c r="H284" s="99"/>
      <c r="I284" s="99"/>
      <c r="J284" s="99">
        <f t="shared" si="14"/>
        <v>0</v>
      </c>
      <c r="K284" s="99">
        <f t="shared" si="15"/>
        <v>0</v>
      </c>
      <c r="L284" s="99">
        <f t="shared" si="13"/>
        <v>0</v>
      </c>
      <c r="M284" s="99"/>
      <c r="N284" s="99"/>
      <c r="O284" s="99"/>
    </row>
    <row r="285" spans="1:15" ht="14.25" hidden="1">
      <c r="A285" s="98">
        <v>279</v>
      </c>
      <c r="B285" s="119">
        <v>50649</v>
      </c>
      <c r="C285" s="99"/>
      <c r="D285" s="99"/>
      <c r="E285" s="99"/>
      <c r="F285" s="99"/>
      <c r="G285" s="99"/>
      <c r="H285" s="99"/>
      <c r="I285" s="99"/>
      <c r="J285" s="99">
        <f t="shared" si="14"/>
        <v>0</v>
      </c>
      <c r="K285" s="99">
        <f t="shared" si="15"/>
        <v>0</v>
      </c>
      <c r="L285" s="99">
        <f t="shared" si="13"/>
        <v>0</v>
      </c>
      <c r="M285" s="99"/>
      <c r="N285" s="99"/>
      <c r="O285" s="99"/>
    </row>
    <row r="286" spans="1:15" ht="14.25" hidden="1">
      <c r="A286" s="98">
        <v>280</v>
      </c>
      <c r="B286" s="119">
        <v>50679</v>
      </c>
      <c r="C286" s="99"/>
      <c r="D286" s="99"/>
      <c r="E286" s="99"/>
      <c r="F286" s="99"/>
      <c r="G286" s="99"/>
      <c r="H286" s="99"/>
      <c r="I286" s="99"/>
      <c r="J286" s="99">
        <f t="shared" si="14"/>
        <v>0</v>
      </c>
      <c r="K286" s="99">
        <f t="shared" si="15"/>
        <v>0</v>
      </c>
      <c r="L286" s="99">
        <f t="shared" si="13"/>
        <v>0</v>
      </c>
      <c r="M286" s="99"/>
      <c r="N286" s="99"/>
      <c r="O286" s="99"/>
    </row>
    <row r="287" spans="1:15" ht="14.25" hidden="1">
      <c r="A287" s="98">
        <v>281</v>
      </c>
      <c r="B287" s="119">
        <v>50710</v>
      </c>
      <c r="C287" s="99"/>
      <c r="D287" s="99"/>
      <c r="E287" s="99"/>
      <c r="F287" s="99"/>
      <c r="G287" s="99"/>
      <c r="H287" s="99"/>
      <c r="I287" s="99"/>
      <c r="J287" s="99">
        <f t="shared" si="14"/>
        <v>0</v>
      </c>
      <c r="K287" s="99">
        <f t="shared" si="15"/>
        <v>0</v>
      </c>
      <c r="L287" s="99">
        <f t="shared" si="13"/>
        <v>0</v>
      </c>
      <c r="M287" s="99"/>
      <c r="N287" s="99"/>
      <c r="O287" s="99"/>
    </row>
    <row r="288" spans="1:15" ht="14.25" hidden="1">
      <c r="A288" s="98">
        <v>282</v>
      </c>
      <c r="B288" s="119">
        <v>50740</v>
      </c>
      <c r="C288" s="99"/>
      <c r="D288" s="99"/>
      <c r="E288" s="99"/>
      <c r="F288" s="99"/>
      <c r="G288" s="99"/>
      <c r="H288" s="99"/>
      <c r="I288" s="99"/>
      <c r="J288" s="99">
        <f t="shared" si="14"/>
        <v>0</v>
      </c>
      <c r="K288" s="99">
        <f t="shared" si="15"/>
        <v>0</v>
      </c>
      <c r="L288" s="99">
        <f t="shared" si="13"/>
        <v>0</v>
      </c>
      <c r="M288" s="99"/>
      <c r="N288" s="99"/>
      <c r="O288" s="99"/>
    </row>
    <row r="289" spans="1:15" ht="14.25" hidden="1">
      <c r="A289" s="98">
        <v>283</v>
      </c>
      <c r="B289" s="119">
        <v>50771</v>
      </c>
      <c r="C289" s="99"/>
      <c r="D289" s="99"/>
      <c r="E289" s="99"/>
      <c r="F289" s="99"/>
      <c r="G289" s="99"/>
      <c r="H289" s="99"/>
      <c r="I289" s="99"/>
      <c r="J289" s="99">
        <f t="shared" si="14"/>
        <v>0</v>
      </c>
      <c r="K289" s="99">
        <f t="shared" si="15"/>
        <v>0</v>
      </c>
      <c r="L289" s="99">
        <f t="shared" si="13"/>
        <v>0</v>
      </c>
      <c r="M289" s="99"/>
      <c r="N289" s="99"/>
      <c r="O289" s="99"/>
    </row>
    <row r="290" spans="1:15" ht="14.25" hidden="1">
      <c r="A290" s="98">
        <v>284</v>
      </c>
      <c r="B290" s="119">
        <v>50802</v>
      </c>
      <c r="C290" s="99"/>
      <c r="D290" s="99"/>
      <c r="E290" s="99"/>
      <c r="F290" s="99"/>
      <c r="G290" s="99"/>
      <c r="H290" s="99"/>
      <c r="I290" s="99"/>
      <c r="J290" s="99">
        <f t="shared" si="14"/>
        <v>0</v>
      </c>
      <c r="K290" s="99">
        <f t="shared" si="15"/>
        <v>0</v>
      </c>
      <c r="L290" s="99">
        <f t="shared" si="13"/>
        <v>0</v>
      </c>
      <c r="M290" s="99"/>
      <c r="N290" s="99"/>
      <c r="O290" s="99"/>
    </row>
    <row r="291" spans="1:15" ht="14.25" hidden="1">
      <c r="A291" s="98">
        <v>285</v>
      </c>
      <c r="B291" s="119">
        <v>50830</v>
      </c>
      <c r="C291" s="99"/>
      <c r="D291" s="99"/>
      <c r="E291" s="99"/>
      <c r="F291" s="99"/>
      <c r="G291" s="99"/>
      <c r="H291" s="99"/>
      <c r="I291" s="99"/>
      <c r="J291" s="99">
        <f t="shared" si="14"/>
        <v>0</v>
      </c>
      <c r="K291" s="99">
        <f t="shared" si="15"/>
        <v>0</v>
      </c>
      <c r="L291" s="99">
        <f t="shared" si="13"/>
        <v>0</v>
      </c>
      <c r="M291" s="99"/>
      <c r="N291" s="99"/>
      <c r="O291" s="99"/>
    </row>
    <row r="292" spans="1:15" ht="14.25" hidden="1">
      <c r="A292" s="98">
        <v>286</v>
      </c>
      <c r="B292" s="119">
        <v>50861</v>
      </c>
      <c r="C292" s="99"/>
      <c r="D292" s="99"/>
      <c r="E292" s="99"/>
      <c r="F292" s="99"/>
      <c r="G292" s="99"/>
      <c r="H292" s="99"/>
      <c r="I292" s="99"/>
      <c r="J292" s="99">
        <f t="shared" si="14"/>
        <v>0</v>
      </c>
      <c r="K292" s="99">
        <f t="shared" si="15"/>
        <v>0</v>
      </c>
      <c r="L292" s="99">
        <f t="shared" si="13"/>
        <v>0</v>
      </c>
      <c r="M292" s="99"/>
      <c r="N292" s="99"/>
      <c r="O292" s="99"/>
    </row>
    <row r="293" spans="1:15" ht="14.25" hidden="1">
      <c r="A293" s="98">
        <v>287</v>
      </c>
      <c r="B293" s="119">
        <v>50891</v>
      </c>
      <c r="C293" s="99"/>
      <c r="D293" s="99"/>
      <c r="E293" s="99"/>
      <c r="F293" s="99"/>
      <c r="G293" s="99"/>
      <c r="H293" s="99"/>
      <c r="I293" s="99"/>
      <c r="J293" s="99">
        <f t="shared" si="14"/>
        <v>0</v>
      </c>
      <c r="K293" s="99">
        <f t="shared" si="15"/>
        <v>0</v>
      </c>
      <c r="L293" s="99">
        <f t="shared" si="13"/>
        <v>0</v>
      </c>
      <c r="M293" s="99"/>
      <c r="N293" s="99"/>
      <c r="O293" s="99"/>
    </row>
    <row r="294" spans="1:15" ht="14.25" hidden="1">
      <c r="A294" s="98">
        <v>288</v>
      </c>
      <c r="B294" s="119">
        <v>50922</v>
      </c>
      <c r="C294" s="99"/>
      <c r="D294" s="99"/>
      <c r="E294" s="99"/>
      <c r="F294" s="99"/>
      <c r="G294" s="99"/>
      <c r="H294" s="99"/>
      <c r="I294" s="99"/>
      <c r="J294" s="99">
        <f t="shared" si="14"/>
        <v>0</v>
      </c>
      <c r="K294" s="99">
        <f t="shared" si="15"/>
        <v>0</v>
      </c>
      <c r="L294" s="99">
        <f t="shared" si="13"/>
        <v>0</v>
      </c>
      <c r="M294" s="99"/>
      <c r="N294" s="99"/>
      <c r="O294" s="99"/>
    </row>
    <row r="295" spans="1:15" ht="14.25" hidden="1">
      <c r="A295" s="98">
        <v>289</v>
      </c>
      <c r="B295" s="119">
        <v>50952</v>
      </c>
      <c r="C295" s="99"/>
      <c r="D295" s="99"/>
      <c r="E295" s="99"/>
      <c r="F295" s="99"/>
      <c r="G295" s="99"/>
      <c r="H295" s="99"/>
      <c r="I295" s="99"/>
      <c r="J295" s="99">
        <f t="shared" si="14"/>
        <v>0</v>
      </c>
      <c r="K295" s="99">
        <f t="shared" si="15"/>
        <v>0</v>
      </c>
      <c r="L295" s="99">
        <f t="shared" si="13"/>
        <v>0</v>
      </c>
      <c r="M295" s="99"/>
      <c r="N295" s="99"/>
      <c r="O295" s="99"/>
    </row>
    <row r="296" spans="1:15" ht="14.25" hidden="1">
      <c r="A296" s="98">
        <v>290</v>
      </c>
      <c r="B296" s="119">
        <v>50983</v>
      </c>
      <c r="C296" s="99"/>
      <c r="D296" s="99"/>
      <c r="E296" s="99"/>
      <c r="F296" s="99"/>
      <c r="G296" s="99"/>
      <c r="H296" s="99"/>
      <c r="I296" s="99"/>
      <c r="J296" s="99">
        <f t="shared" si="14"/>
        <v>0</v>
      </c>
      <c r="K296" s="99">
        <f t="shared" si="15"/>
        <v>0</v>
      </c>
      <c r="L296" s="99">
        <f t="shared" si="13"/>
        <v>0</v>
      </c>
      <c r="M296" s="99"/>
      <c r="N296" s="99"/>
      <c r="O296" s="99"/>
    </row>
    <row r="297" spans="1:15" ht="14.25" hidden="1">
      <c r="A297" s="98">
        <v>291</v>
      </c>
      <c r="B297" s="119">
        <v>51014</v>
      </c>
      <c r="C297" s="99"/>
      <c r="D297" s="99"/>
      <c r="E297" s="99"/>
      <c r="F297" s="99"/>
      <c r="G297" s="99"/>
      <c r="H297" s="99"/>
      <c r="I297" s="99"/>
      <c r="J297" s="99">
        <f t="shared" si="14"/>
        <v>0</v>
      </c>
      <c r="K297" s="99">
        <f t="shared" si="15"/>
        <v>0</v>
      </c>
      <c r="L297" s="99">
        <f t="shared" si="13"/>
        <v>0</v>
      </c>
      <c r="M297" s="99"/>
      <c r="N297" s="99"/>
      <c r="O297" s="99"/>
    </row>
    <row r="298" spans="1:15" ht="14.25" hidden="1">
      <c r="A298" s="98">
        <v>292</v>
      </c>
      <c r="B298" s="119">
        <v>51044</v>
      </c>
      <c r="C298" s="99"/>
      <c r="D298" s="99"/>
      <c r="E298" s="99"/>
      <c r="F298" s="99"/>
      <c r="G298" s="99"/>
      <c r="H298" s="99"/>
      <c r="I298" s="99"/>
      <c r="J298" s="99">
        <f t="shared" si="14"/>
        <v>0</v>
      </c>
      <c r="K298" s="99">
        <f t="shared" si="15"/>
        <v>0</v>
      </c>
      <c r="L298" s="99">
        <f t="shared" si="13"/>
        <v>0</v>
      </c>
      <c r="M298" s="99"/>
      <c r="N298" s="99"/>
      <c r="O298" s="99"/>
    </row>
    <row r="299" spans="1:15" ht="14.25" hidden="1">
      <c r="A299" s="98">
        <v>293</v>
      </c>
      <c r="B299" s="119">
        <v>51075</v>
      </c>
      <c r="C299" s="99"/>
      <c r="D299" s="99"/>
      <c r="E299" s="99"/>
      <c r="F299" s="99"/>
      <c r="G299" s="99"/>
      <c r="H299" s="99"/>
      <c r="I299" s="99"/>
      <c r="J299" s="99">
        <f t="shared" si="14"/>
        <v>0</v>
      </c>
      <c r="K299" s="99">
        <f t="shared" si="15"/>
        <v>0</v>
      </c>
      <c r="L299" s="99">
        <f t="shared" si="13"/>
        <v>0</v>
      </c>
      <c r="M299" s="99"/>
      <c r="N299" s="99"/>
      <c r="O299" s="99"/>
    </row>
    <row r="300" spans="1:15" ht="14.25" hidden="1">
      <c r="A300" s="98">
        <v>294</v>
      </c>
      <c r="B300" s="119">
        <v>51105</v>
      </c>
      <c r="C300" s="99"/>
      <c r="D300" s="99"/>
      <c r="E300" s="99"/>
      <c r="F300" s="99"/>
      <c r="G300" s="99"/>
      <c r="H300" s="99"/>
      <c r="I300" s="99"/>
      <c r="J300" s="99">
        <f t="shared" si="14"/>
        <v>0</v>
      </c>
      <c r="K300" s="99">
        <f t="shared" si="15"/>
        <v>0</v>
      </c>
      <c r="L300" s="99">
        <f t="shared" si="13"/>
        <v>0</v>
      </c>
      <c r="M300" s="99"/>
      <c r="N300" s="99"/>
      <c r="O300" s="99"/>
    </row>
    <row r="301" spans="1:15" ht="14.25" hidden="1">
      <c r="A301" s="98">
        <v>295</v>
      </c>
      <c r="B301" s="119">
        <v>51136</v>
      </c>
      <c r="C301" s="99"/>
      <c r="D301" s="99"/>
      <c r="E301" s="99"/>
      <c r="F301" s="99"/>
      <c r="G301" s="99"/>
      <c r="H301" s="99"/>
      <c r="I301" s="99"/>
      <c r="J301" s="99">
        <f t="shared" si="14"/>
        <v>0</v>
      </c>
      <c r="K301" s="99">
        <f t="shared" si="15"/>
        <v>0</v>
      </c>
      <c r="L301" s="99">
        <f t="shared" si="13"/>
        <v>0</v>
      </c>
      <c r="M301" s="99"/>
      <c r="N301" s="99"/>
      <c r="O301" s="99"/>
    </row>
    <row r="302" spans="1:15" ht="14.25" hidden="1">
      <c r="A302" s="98">
        <v>296</v>
      </c>
      <c r="B302" s="119">
        <v>51167</v>
      </c>
      <c r="C302" s="99"/>
      <c r="D302" s="99"/>
      <c r="E302" s="99"/>
      <c r="F302" s="99"/>
      <c r="G302" s="99"/>
      <c r="H302" s="99"/>
      <c r="I302" s="99"/>
      <c r="J302" s="99">
        <f t="shared" si="14"/>
        <v>0</v>
      </c>
      <c r="K302" s="99">
        <f t="shared" si="15"/>
        <v>0</v>
      </c>
      <c r="L302" s="99">
        <f t="shared" si="13"/>
        <v>0</v>
      </c>
      <c r="M302" s="99"/>
      <c r="N302" s="99"/>
      <c r="O302" s="99"/>
    </row>
    <row r="303" spans="1:15" ht="14.25" hidden="1">
      <c r="A303" s="98">
        <v>297</v>
      </c>
      <c r="B303" s="119">
        <v>51196</v>
      </c>
      <c r="C303" s="99"/>
      <c r="D303" s="99"/>
      <c r="E303" s="99"/>
      <c r="F303" s="99"/>
      <c r="G303" s="99"/>
      <c r="H303" s="99"/>
      <c r="I303" s="99"/>
      <c r="J303" s="99">
        <f t="shared" si="14"/>
        <v>0</v>
      </c>
      <c r="K303" s="99">
        <f t="shared" si="15"/>
        <v>0</v>
      </c>
      <c r="L303" s="99">
        <f t="shared" si="13"/>
        <v>0</v>
      </c>
      <c r="M303" s="99"/>
      <c r="N303" s="99"/>
      <c r="O303" s="99"/>
    </row>
    <row r="304" spans="1:15" ht="14.25" hidden="1">
      <c r="A304" s="98">
        <v>298</v>
      </c>
      <c r="B304" s="119">
        <v>51227</v>
      </c>
      <c r="C304" s="99"/>
      <c r="D304" s="99"/>
      <c r="E304" s="99"/>
      <c r="F304" s="99"/>
      <c r="G304" s="99"/>
      <c r="H304" s="99"/>
      <c r="I304" s="99"/>
      <c r="J304" s="99">
        <f t="shared" si="14"/>
        <v>0</v>
      </c>
      <c r="K304" s="99">
        <f t="shared" si="15"/>
        <v>0</v>
      </c>
      <c r="L304" s="99">
        <f t="shared" si="13"/>
        <v>0</v>
      </c>
      <c r="M304" s="99"/>
      <c r="N304" s="99"/>
      <c r="O304" s="99"/>
    </row>
    <row r="305" spans="1:15" ht="14.25" hidden="1">
      <c r="A305" s="98">
        <v>299</v>
      </c>
      <c r="B305" s="119">
        <v>51257</v>
      </c>
      <c r="C305" s="99"/>
      <c r="D305" s="99"/>
      <c r="E305" s="99"/>
      <c r="F305" s="99"/>
      <c r="G305" s="99"/>
      <c r="H305" s="99"/>
      <c r="I305" s="99"/>
      <c r="J305" s="99">
        <f t="shared" si="14"/>
        <v>0</v>
      </c>
      <c r="K305" s="99">
        <f t="shared" si="15"/>
        <v>0</v>
      </c>
      <c r="L305" s="99">
        <f t="shared" si="13"/>
        <v>0</v>
      </c>
      <c r="M305" s="99"/>
      <c r="N305" s="99"/>
      <c r="O305" s="99"/>
    </row>
    <row r="306" spans="1:15" ht="14.25" hidden="1">
      <c r="A306" s="98">
        <v>300</v>
      </c>
      <c r="B306" s="119">
        <v>51288</v>
      </c>
      <c r="C306" s="99"/>
      <c r="D306" s="99"/>
      <c r="E306" s="99"/>
      <c r="F306" s="99"/>
      <c r="G306" s="99"/>
      <c r="H306" s="99"/>
      <c r="I306" s="99"/>
      <c r="J306" s="99">
        <f>SUM(C306:I306)</f>
        <v>0</v>
      </c>
      <c r="K306" s="99">
        <f t="shared" si="15"/>
        <v>0</v>
      </c>
      <c r="L306" s="99">
        <f t="shared" si="13"/>
        <v>0</v>
      </c>
      <c r="M306" s="99"/>
      <c r="N306" s="99"/>
      <c r="O306" s="99"/>
    </row>
    <row r="307" spans="2:15" ht="14.25">
      <c r="B307" s="98" t="s">
        <v>66</v>
      </c>
      <c r="C307" s="99">
        <f>SUM(C5:C306)</f>
        <v>257195943.66000003</v>
      </c>
      <c r="D307" s="99">
        <f aca="true" t="shared" si="16" ref="D307:J307">SUM(D5:D306)</f>
        <v>-39524127.43999998</v>
      </c>
      <c r="E307" s="99">
        <f t="shared" si="16"/>
        <v>3727665.2</v>
      </c>
      <c r="F307" s="99">
        <f t="shared" si="16"/>
        <v>23899828.590000004</v>
      </c>
      <c r="G307" s="99">
        <f t="shared" si="16"/>
        <v>882601.0199999998</v>
      </c>
      <c r="H307" s="99">
        <f t="shared" si="16"/>
        <v>0</v>
      </c>
      <c r="I307" s="99">
        <f t="shared" si="16"/>
        <v>0</v>
      </c>
      <c r="J307" s="99">
        <f t="shared" si="16"/>
        <v>246181911.03000015</v>
      </c>
      <c r="K307" s="99"/>
      <c r="L307" s="99">
        <f t="shared" si="13"/>
        <v>0</v>
      </c>
      <c r="M307" s="99"/>
      <c r="N307" s="99"/>
      <c r="O307" s="99"/>
    </row>
    <row r="308" spans="3:15" ht="15" thickBot="1">
      <c r="C308" s="99"/>
      <c r="D308" s="99"/>
      <c r="E308" s="99"/>
      <c r="F308" s="99"/>
      <c r="G308" s="99"/>
      <c r="H308" s="99"/>
      <c r="I308" s="99"/>
      <c r="J308" s="99"/>
      <c r="K308" s="99"/>
      <c r="L308" s="99"/>
      <c r="M308" s="99"/>
      <c r="N308" s="99"/>
      <c r="O308" s="99"/>
    </row>
    <row r="309" spans="3:9" ht="15" customHeight="1">
      <c r="C309" s="131" t="s">
        <v>139</v>
      </c>
      <c r="D309" s="131" t="s">
        <v>140</v>
      </c>
      <c r="E309" s="131" t="s">
        <v>105</v>
      </c>
      <c r="F309" s="131" t="s">
        <v>141</v>
      </c>
      <c r="G309" s="131" t="s">
        <v>106</v>
      </c>
      <c r="H309" s="131" t="s">
        <v>142</v>
      </c>
      <c r="I309" s="131" t="s">
        <v>143</v>
      </c>
    </row>
    <row r="310" spans="3:9" ht="14.25">
      <c r="C310" s="132"/>
      <c r="D310" s="132"/>
      <c r="E310" s="132"/>
      <c r="F310" s="132"/>
      <c r="G310" s="132"/>
      <c r="H310" s="132"/>
      <c r="I310" s="132"/>
    </row>
    <row r="311" spans="3:9" ht="14.25">
      <c r="C311" s="132"/>
      <c r="D311" s="132"/>
      <c r="E311" s="132"/>
      <c r="F311" s="132"/>
      <c r="G311" s="132"/>
      <c r="H311" s="132"/>
      <c r="I311" s="132"/>
    </row>
    <row r="312" spans="3:9" ht="14.25">
      <c r="C312" s="132"/>
      <c r="D312" s="132"/>
      <c r="E312" s="132"/>
      <c r="F312" s="132"/>
      <c r="G312" s="132"/>
      <c r="H312" s="132"/>
      <c r="I312" s="132"/>
    </row>
    <row r="313" spans="3:9" ht="14.25">
      <c r="C313" s="132"/>
      <c r="D313" s="132"/>
      <c r="E313" s="132"/>
      <c r="F313" s="132"/>
      <c r="G313" s="132"/>
      <c r="H313" s="132"/>
      <c r="I313" s="132"/>
    </row>
    <row r="314" spans="3:9" ht="14.25">
      <c r="C314" s="132"/>
      <c r="D314" s="132"/>
      <c r="E314" s="132"/>
      <c r="F314" s="132"/>
      <c r="G314" s="132"/>
      <c r="H314" s="132"/>
      <c r="I314" s="132"/>
    </row>
    <row r="315" spans="3:9" ht="14.25">
      <c r="C315" s="132"/>
      <c r="D315" s="132"/>
      <c r="E315" s="132"/>
      <c r="F315" s="132"/>
      <c r="G315" s="132"/>
      <c r="H315" s="132"/>
      <c r="I315" s="132"/>
    </row>
    <row r="316" spans="3:9" ht="14.25">
      <c r="C316" s="132"/>
      <c r="D316" s="132"/>
      <c r="E316" s="132"/>
      <c r="F316" s="132"/>
      <c r="G316" s="132"/>
      <c r="H316" s="132"/>
      <c r="I316" s="132"/>
    </row>
    <row r="317" spans="3:9" ht="14.25">
      <c r="C317" s="132"/>
      <c r="D317" s="132"/>
      <c r="E317" s="132"/>
      <c r="F317" s="132"/>
      <c r="G317" s="132"/>
      <c r="H317" s="132"/>
      <c r="I317" s="132"/>
    </row>
    <row r="318" spans="3:9" ht="14.25">
      <c r="C318" s="132"/>
      <c r="D318" s="132"/>
      <c r="E318" s="132"/>
      <c r="F318" s="132"/>
      <c r="G318" s="132"/>
      <c r="H318" s="132"/>
      <c r="I318" s="132"/>
    </row>
    <row r="319" spans="3:9" ht="14.25">
      <c r="C319" s="132"/>
      <c r="D319" s="132"/>
      <c r="E319" s="132"/>
      <c r="F319" s="132"/>
      <c r="G319" s="132"/>
      <c r="H319" s="132"/>
      <c r="I319" s="132"/>
    </row>
    <row r="320" spans="3:9" ht="33.75" customHeight="1" thickBot="1">
      <c r="C320" s="133"/>
      <c r="D320" s="133"/>
      <c r="E320" s="133"/>
      <c r="F320" s="133"/>
      <c r="G320" s="133"/>
      <c r="H320" s="133"/>
      <c r="I320" s="133"/>
    </row>
  </sheetData>
  <sheetProtection/>
  <mergeCells count="7">
    <mergeCell ref="I309:I320"/>
    <mergeCell ref="C309:C320"/>
    <mergeCell ref="D309:D320"/>
    <mergeCell ref="E309:E320"/>
    <mergeCell ref="F309:F320"/>
    <mergeCell ref="G309:G320"/>
    <mergeCell ref="H309:H320"/>
  </mergeCells>
  <printOptions/>
  <pageMargins left="0.7" right="0.7" top="0.75" bottom="0.75" header="0.3" footer="0.3"/>
  <pageSetup fitToHeight="1" fitToWidth="1" horizontalDpi="600" verticalDpi="600" orientation="landscape" scale="49" r:id="rId1"/>
</worksheet>
</file>

<file path=xl/worksheets/sheet4.xml><?xml version="1.0" encoding="utf-8"?>
<worksheet xmlns="http://schemas.openxmlformats.org/spreadsheetml/2006/main" xmlns:r="http://schemas.openxmlformats.org/officeDocument/2006/relationships">
  <sheetPr>
    <pageSetUpPr fitToPage="1"/>
  </sheetPr>
  <dimension ref="A1:P286"/>
  <sheetViews>
    <sheetView zoomScalePageLayoutView="0" workbookViewId="0" topLeftCell="A1">
      <pane xSplit="2" ySplit="7" topLeftCell="C263" activePane="bottomRight" state="frozen"/>
      <selection pane="topLeft" activeCell="A1" sqref="A1"/>
      <selection pane="topRight" activeCell="C1" sqref="C1"/>
      <selection pane="bottomLeft" activeCell="A8" sqref="A8"/>
      <selection pane="bottomRight" activeCell="H286" sqref="H286"/>
    </sheetView>
  </sheetViews>
  <sheetFormatPr defaultColWidth="9.140625" defaultRowHeight="15"/>
  <cols>
    <col min="1" max="1" width="6.421875" style="54" bestFit="1" customWidth="1"/>
    <col min="2" max="2" width="31.57421875" style="54" bestFit="1" customWidth="1"/>
    <col min="3" max="3" width="17.28125" style="54" bestFit="1" customWidth="1"/>
    <col min="4" max="4" width="2.7109375" style="54" customWidth="1"/>
    <col min="5" max="6" width="15.28125" style="54" bestFit="1" customWidth="1"/>
    <col min="7" max="7" width="16.28125" style="54" bestFit="1" customWidth="1"/>
    <col min="8" max="8" width="16.140625" style="31" customWidth="1"/>
    <col min="9" max="9" width="3.00390625" style="31" customWidth="1"/>
    <col min="10" max="10" width="15.28125" style="77" bestFit="1" customWidth="1"/>
    <col min="11" max="11" width="15.57421875" style="54" bestFit="1" customWidth="1"/>
    <col min="12" max="12" width="9.140625" style="54" hidden="1" customWidth="1"/>
    <col min="13" max="13" width="13.28125" style="54" hidden="1" customWidth="1"/>
    <col min="14" max="14" width="14.00390625" style="54" hidden="1" customWidth="1"/>
    <col min="15" max="15" width="12.28125" style="54" hidden="1" customWidth="1"/>
    <col min="16" max="16" width="11.57421875" style="54" hidden="1" customWidth="1"/>
    <col min="17" max="16384" width="9.140625" style="54" customWidth="1"/>
  </cols>
  <sheetData>
    <row r="1" ht="14.25">
      <c r="B1" s="54" t="s">
        <v>72</v>
      </c>
    </row>
    <row r="2" spans="2:8" ht="14.25">
      <c r="B2" s="54" t="s">
        <v>62</v>
      </c>
      <c r="C2" s="68">
        <f>WACC!O19</f>
        <v>0.10128</v>
      </c>
      <c r="D2" s="68"/>
      <c r="G2" s="69"/>
      <c r="H2" s="70"/>
    </row>
    <row r="3" spans="2:5" ht="14.25">
      <c r="B3" s="54" t="s">
        <v>67</v>
      </c>
      <c r="C3" s="68">
        <f>C2/12</f>
        <v>0.00844</v>
      </c>
      <c r="D3" s="68"/>
      <c r="E3" s="76">
        <f>C4*12</f>
        <v>20159701.484476715</v>
      </c>
    </row>
    <row r="4" spans="2:5" ht="14.25">
      <c r="B4" s="54" t="s">
        <v>68</v>
      </c>
      <c r="C4" s="75">
        <v>1679975.123706393</v>
      </c>
      <c r="D4" s="55"/>
      <c r="E4" s="54" t="s">
        <v>2</v>
      </c>
    </row>
    <row r="5" spans="2:11" ht="14.25">
      <c r="B5" s="54" t="s">
        <v>84</v>
      </c>
      <c r="C5" s="71">
        <v>0.986</v>
      </c>
      <c r="D5" s="72"/>
      <c r="E5" s="127"/>
      <c r="F5" s="127"/>
      <c r="G5" s="127"/>
      <c r="H5" s="127"/>
      <c r="I5" s="73"/>
      <c r="J5" s="78"/>
      <c r="K5" s="26"/>
    </row>
    <row r="6" spans="1:16" ht="42.75">
      <c r="A6" s="26" t="s">
        <v>1</v>
      </c>
      <c r="B6" s="26" t="s">
        <v>67</v>
      </c>
      <c r="C6" s="74" t="s">
        <v>119</v>
      </c>
      <c r="D6" s="74"/>
      <c r="E6" s="74" t="s">
        <v>63</v>
      </c>
      <c r="F6" s="74" t="s">
        <v>64</v>
      </c>
      <c r="G6" s="74" t="s">
        <v>120</v>
      </c>
      <c r="H6" s="74" t="s">
        <v>121</v>
      </c>
      <c r="I6" s="74"/>
      <c r="J6" s="79" t="s">
        <v>88</v>
      </c>
      <c r="K6" s="74" t="s">
        <v>122</v>
      </c>
      <c r="M6" s="128" t="s">
        <v>99</v>
      </c>
      <c r="N6" s="128"/>
      <c r="O6" s="128"/>
      <c r="P6" s="128"/>
    </row>
    <row r="7" spans="2:16" ht="15" hidden="1" thickBot="1">
      <c r="B7" s="27"/>
      <c r="C7" s="57"/>
      <c r="D7" s="57"/>
      <c r="I7" s="53"/>
      <c r="J7" s="77" t="s">
        <v>2</v>
      </c>
      <c r="K7" s="28"/>
      <c r="M7" s="32">
        <v>4073014</v>
      </c>
      <c r="N7" s="32">
        <v>1823517</v>
      </c>
      <c r="O7" s="32">
        <v>5060011</v>
      </c>
      <c r="P7" s="32">
        <v>1823518</v>
      </c>
    </row>
    <row r="8" spans="1:11" ht="14.25">
      <c r="A8" s="54">
        <v>25</v>
      </c>
      <c r="B8" s="67">
        <v>42916</v>
      </c>
      <c r="C8" s="28"/>
      <c r="D8" s="28"/>
      <c r="E8" s="55"/>
      <c r="F8" s="55"/>
      <c r="G8" s="55"/>
      <c r="H8" s="56"/>
      <c r="I8" s="56"/>
      <c r="J8" s="80"/>
      <c r="K8" s="28">
        <f>Components!K16</f>
        <v>155077139.7178957</v>
      </c>
    </row>
    <row r="9" spans="1:11" ht="14.25">
      <c r="A9" s="54">
        <v>26</v>
      </c>
      <c r="B9" s="67">
        <v>42917</v>
      </c>
      <c r="C9" s="28">
        <f aca="true" t="shared" si="0" ref="C9:C49">K8</f>
        <v>155077139.7178957</v>
      </c>
      <c r="D9" s="28"/>
      <c r="E9" s="55">
        <f>Additions!J31*$C$5</f>
        <v>0</v>
      </c>
      <c r="F9" s="55">
        <f>K8*$C$3</f>
        <v>1308851.0592190395</v>
      </c>
      <c r="G9" s="55">
        <f>C4</f>
        <v>1679975.123706393</v>
      </c>
      <c r="H9" s="29">
        <f>E9+F9-G9</f>
        <v>-371124.06448735343</v>
      </c>
      <c r="I9" s="56"/>
      <c r="J9" s="80">
        <f>-H9*0.35</f>
        <v>129893.42257057369</v>
      </c>
      <c r="K9" s="28">
        <f aca="true" t="shared" si="1" ref="K9:K72">C9+E9+F9-G9+J9</f>
        <v>154835909.0759789</v>
      </c>
    </row>
    <row r="10" spans="1:11" ht="14.25">
      <c r="A10" s="54">
        <v>27</v>
      </c>
      <c r="B10" s="67">
        <v>42948</v>
      </c>
      <c r="C10" s="28">
        <f t="shared" si="0"/>
        <v>154835909.0759789</v>
      </c>
      <c r="D10" s="28"/>
      <c r="E10" s="55">
        <f>Additions!J32*$C$5</f>
        <v>0</v>
      </c>
      <c r="F10" s="55">
        <f aca="true" t="shared" si="2" ref="F10:F50">K9*$C$3</f>
        <v>1306815.0726012618</v>
      </c>
      <c r="G10" s="55">
        <f>G9</f>
        <v>1679975.123706393</v>
      </c>
      <c r="H10" s="56">
        <f aca="true" t="shared" si="3" ref="H10:H49">E10+F10-G10</f>
        <v>-373160.05110513116</v>
      </c>
      <c r="I10" s="56"/>
      <c r="J10" s="80">
        <f aca="true" t="shared" si="4" ref="J10:J73">-H10*0.35</f>
        <v>130606.0178867959</v>
      </c>
      <c r="K10" s="28">
        <f t="shared" si="1"/>
        <v>154593355.04276055</v>
      </c>
    </row>
    <row r="11" spans="1:11" ht="14.25">
      <c r="A11" s="54">
        <v>28</v>
      </c>
      <c r="B11" s="67">
        <v>42979</v>
      </c>
      <c r="C11" s="28">
        <f t="shared" si="0"/>
        <v>154593355.04276055</v>
      </c>
      <c r="D11" s="28"/>
      <c r="E11" s="55">
        <f>Additions!J33*$C$5</f>
        <v>0</v>
      </c>
      <c r="F11" s="55">
        <f t="shared" si="2"/>
        <v>1304767.916560899</v>
      </c>
      <c r="G11" s="55">
        <f aca="true" t="shared" si="5" ref="G11:G74">G10</f>
        <v>1679975.123706393</v>
      </c>
      <c r="H11" s="56">
        <f t="shared" si="3"/>
        <v>-375207.20714549394</v>
      </c>
      <c r="I11" s="56"/>
      <c r="J11" s="80">
        <f t="shared" si="4"/>
        <v>131322.52250092287</v>
      </c>
      <c r="K11" s="28">
        <f t="shared" si="1"/>
        <v>154349470.35811597</v>
      </c>
    </row>
    <row r="12" spans="1:11" ht="14.25">
      <c r="A12" s="54">
        <v>29</v>
      </c>
      <c r="B12" s="67">
        <v>43009</v>
      </c>
      <c r="C12" s="28">
        <f t="shared" si="0"/>
        <v>154349470.35811597</v>
      </c>
      <c r="D12" s="28"/>
      <c r="E12" s="55">
        <f>Additions!J34*$C$5</f>
        <v>0</v>
      </c>
      <c r="F12" s="55">
        <f t="shared" si="2"/>
        <v>1302709.5298224988</v>
      </c>
      <c r="G12" s="55">
        <f t="shared" si="5"/>
        <v>1679975.123706393</v>
      </c>
      <c r="H12" s="56">
        <f t="shared" si="3"/>
        <v>-377265.59388389415</v>
      </c>
      <c r="I12" s="56"/>
      <c r="J12" s="80">
        <f t="shared" si="4"/>
        <v>132042.95785936294</v>
      </c>
      <c r="K12" s="28">
        <f t="shared" si="1"/>
        <v>154104247.72209144</v>
      </c>
    </row>
    <row r="13" spans="1:11" ht="14.25">
      <c r="A13" s="54">
        <v>30</v>
      </c>
      <c r="B13" s="67">
        <v>43040</v>
      </c>
      <c r="C13" s="28">
        <f t="shared" si="0"/>
        <v>154104247.72209144</v>
      </c>
      <c r="D13" s="28"/>
      <c r="E13" s="55">
        <f>Additions!J35*$C$5</f>
        <v>0</v>
      </c>
      <c r="F13" s="55">
        <f t="shared" si="2"/>
        <v>1300639.8507744516</v>
      </c>
      <c r="G13" s="55">
        <f t="shared" si="5"/>
        <v>1679975.123706393</v>
      </c>
      <c r="H13" s="56">
        <f t="shared" si="3"/>
        <v>-379335.2729319413</v>
      </c>
      <c r="I13" s="56"/>
      <c r="J13" s="80">
        <f t="shared" si="4"/>
        <v>132767.34552617944</v>
      </c>
      <c r="K13" s="28">
        <f t="shared" si="1"/>
        <v>153857679.79468566</v>
      </c>
    </row>
    <row r="14" spans="1:11" ht="14.25">
      <c r="A14" s="54">
        <v>31</v>
      </c>
      <c r="B14" s="67">
        <v>43070</v>
      </c>
      <c r="C14" s="28">
        <f t="shared" si="0"/>
        <v>153857679.79468566</v>
      </c>
      <c r="D14" s="28"/>
      <c r="E14" s="55">
        <f>Additions!J36*$C$5</f>
        <v>0</v>
      </c>
      <c r="F14" s="55">
        <f t="shared" si="2"/>
        <v>1298558.817467147</v>
      </c>
      <c r="G14" s="55">
        <f t="shared" si="5"/>
        <v>1679975.123706393</v>
      </c>
      <c r="H14" s="56">
        <f t="shared" si="3"/>
        <v>-381416.3062392459</v>
      </c>
      <c r="I14" s="56"/>
      <c r="J14" s="80">
        <f t="shared" si="4"/>
        <v>133495.70718373606</v>
      </c>
      <c r="K14" s="28">
        <f t="shared" si="1"/>
        <v>153609759.19563016</v>
      </c>
    </row>
    <row r="15" spans="1:11" ht="14.25">
      <c r="A15" s="54">
        <v>32</v>
      </c>
      <c r="B15" s="67">
        <v>43101</v>
      </c>
      <c r="C15" s="28">
        <f t="shared" si="0"/>
        <v>153609759.19563016</v>
      </c>
      <c r="D15" s="28"/>
      <c r="E15" s="55">
        <f>Additions!J37*$C$5</f>
        <v>0</v>
      </c>
      <c r="F15" s="55">
        <f t="shared" si="2"/>
        <v>1296466.3676111186</v>
      </c>
      <c r="G15" s="55">
        <f t="shared" si="5"/>
        <v>1679975.123706393</v>
      </c>
      <c r="H15" s="56">
        <f t="shared" si="3"/>
        <v>-383508.75609527435</v>
      </c>
      <c r="I15" s="56"/>
      <c r="J15" s="80">
        <f t="shared" si="4"/>
        <v>134228.06463334602</v>
      </c>
      <c r="K15" s="28">
        <f t="shared" si="1"/>
        <v>153360478.5041682</v>
      </c>
    </row>
    <row r="16" spans="1:11" ht="14.25">
      <c r="A16" s="54">
        <v>33</v>
      </c>
      <c r="B16" s="67">
        <v>43132</v>
      </c>
      <c r="C16" s="28">
        <f t="shared" si="0"/>
        <v>153360478.5041682</v>
      </c>
      <c r="D16" s="28"/>
      <c r="E16" s="55">
        <f>Additions!J38*$C$5</f>
        <v>0</v>
      </c>
      <c r="F16" s="55">
        <f t="shared" si="2"/>
        <v>1294362.4385751795</v>
      </c>
      <c r="G16" s="55">
        <f t="shared" si="5"/>
        <v>1679975.123706393</v>
      </c>
      <c r="H16" s="56">
        <f t="shared" si="3"/>
        <v>-385612.6851312134</v>
      </c>
      <c r="I16" s="56"/>
      <c r="J16" s="80">
        <f t="shared" si="4"/>
        <v>134964.43979592467</v>
      </c>
      <c r="K16" s="28">
        <f t="shared" si="1"/>
        <v>153109830.2588329</v>
      </c>
    </row>
    <row r="17" spans="1:11" ht="14.25">
      <c r="A17" s="54">
        <v>34</v>
      </c>
      <c r="B17" s="67">
        <v>43160</v>
      </c>
      <c r="C17" s="28">
        <f t="shared" si="0"/>
        <v>153109830.2588329</v>
      </c>
      <c r="D17" s="28"/>
      <c r="E17" s="55">
        <f>Additions!J39*$C$5</f>
        <v>0</v>
      </c>
      <c r="F17" s="55">
        <f t="shared" si="2"/>
        <v>1292246.9673845496</v>
      </c>
      <c r="G17" s="55">
        <f t="shared" si="5"/>
        <v>1679975.123706393</v>
      </c>
      <c r="H17" s="56">
        <f t="shared" si="3"/>
        <v>-387728.1563218434</v>
      </c>
      <c r="I17" s="56"/>
      <c r="J17" s="80">
        <f t="shared" si="4"/>
        <v>135704.85471264517</v>
      </c>
      <c r="K17" s="28">
        <f t="shared" si="1"/>
        <v>152857806.95722368</v>
      </c>
    </row>
    <row r="18" spans="1:11" ht="14.25">
      <c r="A18" s="54">
        <v>35</v>
      </c>
      <c r="B18" s="67">
        <v>43191</v>
      </c>
      <c r="C18" s="28">
        <f t="shared" si="0"/>
        <v>152857806.95722368</v>
      </c>
      <c r="D18" s="28"/>
      <c r="E18" s="55">
        <f>Additions!J40*$C$5</f>
        <v>0</v>
      </c>
      <c r="F18" s="55">
        <f t="shared" si="2"/>
        <v>1290119.890718968</v>
      </c>
      <c r="G18" s="55">
        <f t="shared" si="5"/>
        <v>1679975.123706393</v>
      </c>
      <c r="H18" s="56">
        <f t="shared" si="3"/>
        <v>-389855.23298742506</v>
      </c>
      <c r="I18" s="56"/>
      <c r="J18" s="80">
        <f t="shared" si="4"/>
        <v>136449.33154559878</v>
      </c>
      <c r="K18" s="28">
        <f t="shared" si="1"/>
        <v>152604401.05578184</v>
      </c>
    </row>
    <row r="19" spans="1:11" ht="14.25">
      <c r="A19" s="54">
        <v>36</v>
      </c>
      <c r="B19" s="67">
        <v>43221</v>
      </c>
      <c r="C19" s="28">
        <f t="shared" si="0"/>
        <v>152604401.05578184</v>
      </c>
      <c r="D19" s="28"/>
      <c r="E19" s="55">
        <f>Additions!J41*$C$5</f>
        <v>0</v>
      </c>
      <c r="F19" s="55">
        <f t="shared" si="2"/>
        <v>1287981.1449107986</v>
      </c>
      <c r="G19" s="55">
        <f t="shared" si="5"/>
        <v>1679975.123706393</v>
      </c>
      <c r="H19" s="56">
        <f t="shared" si="3"/>
        <v>-391993.9787955943</v>
      </c>
      <c r="I19" s="56"/>
      <c r="J19" s="80">
        <f t="shared" si="4"/>
        <v>137197.892578458</v>
      </c>
      <c r="K19" s="28">
        <f t="shared" si="1"/>
        <v>152349604.9695647</v>
      </c>
    </row>
    <row r="20" spans="1:11" ht="14.25">
      <c r="A20" s="54">
        <v>37</v>
      </c>
      <c r="B20" s="67">
        <v>43252</v>
      </c>
      <c r="C20" s="28">
        <f t="shared" si="0"/>
        <v>152349604.9695647</v>
      </c>
      <c r="D20" s="28"/>
      <c r="E20" s="55">
        <f>Additions!J42*$C$5</f>
        <v>0</v>
      </c>
      <c r="F20" s="55">
        <f t="shared" si="2"/>
        <v>1285830.665943126</v>
      </c>
      <c r="G20" s="55">
        <f t="shared" si="5"/>
        <v>1679975.123706393</v>
      </c>
      <c r="H20" s="56">
        <f t="shared" si="3"/>
        <v>-394144.457763267</v>
      </c>
      <c r="I20" s="56"/>
      <c r="J20" s="80">
        <f t="shared" si="4"/>
        <v>137950.56021714344</v>
      </c>
      <c r="K20" s="28">
        <f t="shared" si="1"/>
        <v>152093411.07201856</v>
      </c>
    </row>
    <row r="21" spans="1:11" ht="14.25">
      <c r="A21" s="54">
        <v>38</v>
      </c>
      <c r="B21" s="67">
        <v>43282</v>
      </c>
      <c r="C21" s="28">
        <f t="shared" si="0"/>
        <v>152093411.07201856</v>
      </c>
      <c r="D21" s="28"/>
      <c r="E21" s="55">
        <f>Additions!J43*$C$5</f>
        <v>0</v>
      </c>
      <c r="F21" s="55">
        <f t="shared" si="2"/>
        <v>1283668.3894478367</v>
      </c>
      <c r="G21" s="55">
        <f t="shared" si="5"/>
        <v>1679975.123706393</v>
      </c>
      <c r="H21" s="56">
        <f t="shared" si="3"/>
        <v>-396306.7342585563</v>
      </c>
      <c r="I21" s="56"/>
      <c r="J21" s="80">
        <f t="shared" si="4"/>
        <v>138707.35699049468</v>
      </c>
      <c r="K21" s="28">
        <f t="shared" si="1"/>
        <v>151835811.6947505</v>
      </c>
    </row>
    <row r="22" spans="1:11" ht="14.25">
      <c r="A22" s="54">
        <v>39</v>
      </c>
      <c r="B22" s="67">
        <v>43313</v>
      </c>
      <c r="C22" s="28">
        <f t="shared" si="0"/>
        <v>151835811.6947505</v>
      </c>
      <c r="D22" s="28"/>
      <c r="E22" s="55">
        <f>Additions!J44*$C$5</f>
        <v>0</v>
      </c>
      <c r="F22" s="55">
        <f t="shared" si="2"/>
        <v>1281494.250703694</v>
      </c>
      <c r="G22" s="55">
        <f t="shared" si="5"/>
        <v>1679975.123706393</v>
      </c>
      <c r="H22" s="56">
        <f t="shared" si="3"/>
        <v>-398480.8730026989</v>
      </c>
      <c r="I22" s="56"/>
      <c r="J22" s="80">
        <f t="shared" si="4"/>
        <v>139468.30555094458</v>
      </c>
      <c r="K22" s="28">
        <f t="shared" si="1"/>
        <v>151576799.1272987</v>
      </c>
    </row>
    <row r="23" spans="1:11" ht="14.25">
      <c r="A23" s="54">
        <v>40</v>
      </c>
      <c r="B23" s="67">
        <v>43344</v>
      </c>
      <c r="C23" s="28">
        <f t="shared" si="0"/>
        <v>151576799.1272987</v>
      </c>
      <c r="D23" s="28"/>
      <c r="E23" s="55">
        <f>Additions!J45*$C$5</f>
        <v>0</v>
      </c>
      <c r="F23" s="55">
        <f t="shared" si="2"/>
        <v>1279308.184634401</v>
      </c>
      <c r="G23" s="55">
        <f t="shared" si="5"/>
        <v>1679975.123706393</v>
      </c>
      <c r="H23" s="56">
        <f t="shared" si="3"/>
        <v>-400666.93907199195</v>
      </c>
      <c r="I23" s="56"/>
      <c r="J23" s="80">
        <f t="shared" si="4"/>
        <v>140233.42867519718</v>
      </c>
      <c r="K23" s="28">
        <f t="shared" si="1"/>
        <v>151316365.6169019</v>
      </c>
    </row>
    <row r="24" spans="1:11" ht="14.25">
      <c r="A24" s="54">
        <v>41</v>
      </c>
      <c r="B24" s="67">
        <v>43374</v>
      </c>
      <c r="C24" s="28">
        <f t="shared" si="0"/>
        <v>151316365.6169019</v>
      </c>
      <c r="D24" s="28"/>
      <c r="E24" s="55">
        <f>Additions!J46*$C$5</f>
        <v>0</v>
      </c>
      <c r="F24" s="55">
        <f t="shared" si="2"/>
        <v>1277110.125806652</v>
      </c>
      <c r="G24" s="55">
        <f t="shared" si="5"/>
        <v>1679975.123706393</v>
      </c>
      <c r="H24" s="56">
        <f t="shared" si="3"/>
        <v>-402864.99789974093</v>
      </c>
      <c r="I24" s="56"/>
      <c r="J24" s="80">
        <f t="shared" si="4"/>
        <v>141002.7492649093</v>
      </c>
      <c r="K24" s="28">
        <f t="shared" si="1"/>
        <v>151054503.36826706</v>
      </c>
    </row>
    <row r="25" spans="1:11" ht="14.25">
      <c r="A25" s="54">
        <v>42</v>
      </c>
      <c r="B25" s="67">
        <v>43405</v>
      </c>
      <c r="C25" s="28">
        <f t="shared" si="0"/>
        <v>151054503.36826706</v>
      </c>
      <c r="D25" s="28"/>
      <c r="E25" s="55">
        <f>Additions!J47*$C$5</f>
        <v>0</v>
      </c>
      <c r="F25" s="55">
        <f t="shared" si="2"/>
        <v>1274900.0084281738</v>
      </c>
      <c r="G25" s="55">
        <f t="shared" si="5"/>
        <v>1679975.123706393</v>
      </c>
      <c r="H25" s="56">
        <f t="shared" si="3"/>
        <v>-405075.1152782191</v>
      </c>
      <c r="I25" s="56"/>
      <c r="J25" s="80">
        <f t="shared" si="4"/>
        <v>141776.29034737666</v>
      </c>
      <c r="K25" s="28">
        <f t="shared" si="1"/>
        <v>150791204.5433362</v>
      </c>
    </row>
    <row r="26" spans="1:11" ht="14.25">
      <c r="A26" s="54">
        <v>43</v>
      </c>
      <c r="B26" s="67">
        <v>43435</v>
      </c>
      <c r="C26" s="28">
        <f t="shared" si="0"/>
        <v>150791204.5433362</v>
      </c>
      <c r="D26" s="28"/>
      <c r="E26" s="55">
        <f>Additions!J48*$C$5</f>
        <v>0</v>
      </c>
      <c r="F26" s="55">
        <f t="shared" si="2"/>
        <v>1272677.7663457575</v>
      </c>
      <c r="G26" s="55">
        <f t="shared" si="5"/>
        <v>1679975.123706393</v>
      </c>
      <c r="H26" s="56">
        <f t="shared" si="3"/>
        <v>-407297.3573606354</v>
      </c>
      <c r="I26" s="56"/>
      <c r="J26" s="80">
        <f t="shared" si="4"/>
        <v>142554.0750762224</v>
      </c>
      <c r="K26" s="28">
        <f t="shared" si="1"/>
        <v>150526461.2610518</v>
      </c>
    </row>
    <row r="27" spans="1:11" ht="14.25">
      <c r="A27" s="54">
        <v>44</v>
      </c>
      <c r="B27" s="67">
        <v>43466</v>
      </c>
      <c r="C27" s="28">
        <f t="shared" si="0"/>
        <v>150526461.2610518</v>
      </c>
      <c r="D27" s="28"/>
      <c r="E27" s="55">
        <f>Additions!J49*$C$5</f>
        <v>0</v>
      </c>
      <c r="F27" s="55">
        <f t="shared" si="2"/>
        <v>1270443.3330432773</v>
      </c>
      <c r="G27" s="55">
        <f t="shared" si="5"/>
        <v>1679975.123706393</v>
      </c>
      <c r="H27" s="56">
        <f t="shared" si="3"/>
        <v>-409531.7906631157</v>
      </c>
      <c r="I27" s="56"/>
      <c r="J27" s="80">
        <f t="shared" si="4"/>
        <v>143336.1267320905</v>
      </c>
      <c r="K27" s="28">
        <f t="shared" si="1"/>
        <v>150260265.59712076</v>
      </c>
    </row>
    <row r="28" spans="1:11" ht="14.25">
      <c r="A28" s="54">
        <v>45</v>
      </c>
      <c r="B28" s="67">
        <v>43497</v>
      </c>
      <c r="C28" s="28">
        <f t="shared" si="0"/>
        <v>150260265.59712076</v>
      </c>
      <c r="D28" s="28"/>
      <c r="E28" s="55">
        <f>Additions!J50*$C$5</f>
        <v>0</v>
      </c>
      <c r="F28" s="55">
        <f t="shared" si="2"/>
        <v>1268196.6416396992</v>
      </c>
      <c r="G28" s="55">
        <f t="shared" si="5"/>
        <v>1679975.123706393</v>
      </c>
      <c r="H28" s="56">
        <f t="shared" si="3"/>
        <v>-411778.4820666937</v>
      </c>
      <c r="I28" s="56"/>
      <c r="J28" s="80">
        <f t="shared" si="4"/>
        <v>144122.46872334278</v>
      </c>
      <c r="K28" s="28">
        <f t="shared" si="1"/>
        <v>149992609.58377743</v>
      </c>
    </row>
    <row r="29" spans="1:11" ht="14.25">
      <c r="A29" s="54">
        <v>46</v>
      </c>
      <c r="B29" s="67">
        <v>43525</v>
      </c>
      <c r="C29" s="28">
        <f t="shared" si="0"/>
        <v>149992609.58377743</v>
      </c>
      <c r="D29" s="28"/>
      <c r="E29" s="55">
        <f>Additions!J51*$C$5</f>
        <v>0</v>
      </c>
      <c r="F29" s="55">
        <f t="shared" si="2"/>
        <v>1265937.6248870813</v>
      </c>
      <c r="G29" s="55">
        <f t="shared" si="5"/>
        <v>1679975.123706393</v>
      </c>
      <c r="H29" s="56">
        <f t="shared" si="3"/>
        <v>-414037.4988193116</v>
      </c>
      <c r="I29" s="56"/>
      <c r="J29" s="80">
        <f t="shared" si="4"/>
        <v>144913.12458675905</v>
      </c>
      <c r="K29" s="28">
        <f t="shared" si="1"/>
        <v>149723485.20954487</v>
      </c>
    </row>
    <row r="30" spans="1:11" ht="14.25">
      <c r="A30" s="54">
        <v>47</v>
      </c>
      <c r="B30" s="67">
        <v>43556</v>
      </c>
      <c r="C30" s="28">
        <f t="shared" si="0"/>
        <v>149723485.20954487</v>
      </c>
      <c r="D30" s="28"/>
      <c r="E30" s="55">
        <f>Additions!J52*$C$5</f>
        <v>0</v>
      </c>
      <c r="F30" s="55">
        <f t="shared" si="2"/>
        <v>1263666.2151685585</v>
      </c>
      <c r="G30" s="55">
        <f t="shared" si="5"/>
        <v>1679975.123706393</v>
      </c>
      <c r="H30" s="56">
        <f t="shared" si="3"/>
        <v>-416308.9085378344</v>
      </c>
      <c r="I30" s="56"/>
      <c r="J30" s="80">
        <f t="shared" si="4"/>
        <v>145708.11798824204</v>
      </c>
      <c r="K30" s="28">
        <f t="shared" si="1"/>
        <v>149452884.41899526</v>
      </c>
    </row>
    <row r="31" spans="1:11" ht="14.25">
      <c r="A31" s="54">
        <v>48</v>
      </c>
      <c r="B31" s="67">
        <v>43586</v>
      </c>
      <c r="C31" s="28">
        <f t="shared" si="0"/>
        <v>149452884.41899526</v>
      </c>
      <c r="D31" s="28"/>
      <c r="E31" s="55">
        <f>Additions!J53*$C$5</f>
        <v>0</v>
      </c>
      <c r="F31" s="55">
        <f t="shared" si="2"/>
        <v>1261382.34449632</v>
      </c>
      <c r="G31" s="55">
        <f t="shared" si="5"/>
        <v>1679975.123706393</v>
      </c>
      <c r="H31" s="56">
        <f t="shared" si="3"/>
        <v>-418592.77921007294</v>
      </c>
      <c r="I31" s="56"/>
      <c r="J31" s="80">
        <f t="shared" si="4"/>
        <v>146507.4727235255</v>
      </c>
      <c r="K31" s="28">
        <f t="shared" si="1"/>
        <v>149180799.11250868</v>
      </c>
    </row>
    <row r="32" spans="1:11" ht="14.25">
      <c r="A32" s="54">
        <v>49</v>
      </c>
      <c r="B32" s="67">
        <v>43617</v>
      </c>
      <c r="C32" s="28">
        <f t="shared" si="0"/>
        <v>149180799.11250868</v>
      </c>
      <c r="D32" s="28"/>
      <c r="E32" s="55">
        <f>Additions!J54*$C$5</f>
        <v>0</v>
      </c>
      <c r="F32" s="55">
        <f t="shared" si="2"/>
        <v>1259085.9445095733</v>
      </c>
      <c r="G32" s="55">
        <f t="shared" si="5"/>
        <v>1679975.123706393</v>
      </c>
      <c r="H32" s="56">
        <f t="shared" si="3"/>
        <v>-420889.17919681966</v>
      </c>
      <c r="I32" s="56"/>
      <c r="J32" s="80">
        <f t="shared" si="4"/>
        <v>147311.21271888688</v>
      </c>
      <c r="K32" s="28">
        <f t="shared" si="1"/>
        <v>148907221.14603072</v>
      </c>
    </row>
    <row r="33" spans="1:11" ht="14.25">
      <c r="A33" s="54">
        <v>50</v>
      </c>
      <c r="B33" s="67">
        <v>43647</v>
      </c>
      <c r="C33" s="28">
        <f t="shared" si="0"/>
        <v>148907221.14603072</v>
      </c>
      <c r="D33" s="28"/>
      <c r="E33" s="55">
        <f>Additions!J55*$C$5</f>
        <v>0</v>
      </c>
      <c r="F33" s="55">
        <f t="shared" si="2"/>
        <v>1256776.9464724993</v>
      </c>
      <c r="G33" s="55">
        <f t="shared" si="5"/>
        <v>1679975.123706393</v>
      </c>
      <c r="H33" s="56">
        <f t="shared" si="3"/>
        <v>-423198.17723389366</v>
      </c>
      <c r="I33" s="56"/>
      <c r="J33" s="80">
        <f t="shared" si="4"/>
        <v>148119.36203186278</v>
      </c>
      <c r="K33" s="28">
        <f t="shared" si="1"/>
        <v>148632142.3308287</v>
      </c>
    </row>
    <row r="34" spans="1:11" ht="14.25">
      <c r="A34" s="54">
        <v>51</v>
      </c>
      <c r="B34" s="67">
        <v>43678</v>
      </c>
      <c r="C34" s="28">
        <f t="shared" si="0"/>
        <v>148632142.3308287</v>
      </c>
      <c r="D34" s="28"/>
      <c r="E34" s="55">
        <f>Additions!J56*$C$5</f>
        <v>0</v>
      </c>
      <c r="F34" s="55">
        <f t="shared" si="2"/>
        <v>1254455.281272194</v>
      </c>
      <c r="G34" s="55">
        <f t="shared" si="5"/>
        <v>1679975.123706393</v>
      </c>
      <c r="H34" s="56">
        <f t="shared" si="3"/>
        <v>-425519.8424341988</v>
      </c>
      <c r="I34" s="56"/>
      <c r="J34" s="80">
        <f t="shared" si="4"/>
        <v>148931.94485196957</v>
      </c>
      <c r="K34" s="28">
        <f t="shared" si="1"/>
        <v>148355554.43324646</v>
      </c>
    </row>
    <row r="35" spans="1:11" ht="14.25">
      <c r="A35" s="54">
        <v>52</v>
      </c>
      <c r="B35" s="67">
        <v>43709</v>
      </c>
      <c r="C35" s="28">
        <f t="shared" si="0"/>
        <v>148355554.43324646</v>
      </c>
      <c r="D35" s="28"/>
      <c r="E35" s="55">
        <f>Additions!J57*$C$5</f>
        <v>0</v>
      </c>
      <c r="F35" s="55">
        <f t="shared" si="2"/>
        <v>1252120.8794166</v>
      </c>
      <c r="G35" s="55">
        <f t="shared" si="5"/>
        <v>1679975.123706393</v>
      </c>
      <c r="H35" s="56">
        <f t="shared" si="3"/>
        <v>-427854.24428979284</v>
      </c>
      <c r="I35" s="56"/>
      <c r="J35" s="80">
        <f t="shared" si="4"/>
        <v>149748.9855014275</v>
      </c>
      <c r="K35" s="28">
        <f t="shared" si="1"/>
        <v>148077449.17445812</v>
      </c>
    </row>
    <row r="36" spans="1:11" ht="14.25">
      <c r="A36" s="54">
        <v>53</v>
      </c>
      <c r="B36" s="67">
        <v>43739</v>
      </c>
      <c r="C36" s="28">
        <f t="shared" si="0"/>
        <v>148077449.17445812</v>
      </c>
      <c r="D36" s="28"/>
      <c r="E36" s="55">
        <f>Additions!J58*$C$5</f>
        <v>0</v>
      </c>
      <c r="F36" s="55">
        <f t="shared" si="2"/>
        <v>1249773.6710324264</v>
      </c>
      <c r="G36" s="55">
        <f t="shared" si="5"/>
        <v>1679975.123706393</v>
      </c>
      <c r="H36" s="56">
        <f t="shared" si="3"/>
        <v>-430201.45267396653</v>
      </c>
      <c r="I36" s="56"/>
      <c r="J36" s="80">
        <f t="shared" si="4"/>
        <v>150570.50843588827</v>
      </c>
      <c r="K36" s="28">
        <f t="shared" si="1"/>
        <v>147797818.23022002</v>
      </c>
    </row>
    <row r="37" spans="1:11" ht="14.25">
      <c r="A37" s="54">
        <v>54</v>
      </c>
      <c r="B37" s="67">
        <v>43770</v>
      </c>
      <c r="C37" s="28">
        <f t="shared" si="0"/>
        <v>147797818.23022002</v>
      </c>
      <c r="D37" s="28"/>
      <c r="E37" s="55">
        <f>Additions!J59*$C$5</f>
        <v>0</v>
      </c>
      <c r="F37" s="55">
        <f t="shared" si="2"/>
        <v>1247413.5858630568</v>
      </c>
      <c r="G37" s="55">
        <f t="shared" si="5"/>
        <v>1679975.123706393</v>
      </c>
      <c r="H37" s="56">
        <f t="shared" si="3"/>
        <v>-432561.5378433361</v>
      </c>
      <c r="I37" s="56"/>
      <c r="J37" s="80">
        <f t="shared" si="4"/>
        <v>151396.53824516764</v>
      </c>
      <c r="K37" s="28">
        <f t="shared" si="1"/>
        <v>147516653.23062184</v>
      </c>
    </row>
    <row r="38" spans="1:11" ht="14.25">
      <c r="A38" s="54">
        <v>55</v>
      </c>
      <c r="B38" s="67">
        <v>43800</v>
      </c>
      <c r="C38" s="28">
        <f t="shared" si="0"/>
        <v>147516653.23062184</v>
      </c>
      <c r="D38" s="28"/>
      <c r="E38" s="55">
        <f>Additions!J60*$C$5</f>
        <v>0</v>
      </c>
      <c r="F38" s="55">
        <f t="shared" si="2"/>
        <v>1245040.5532664482</v>
      </c>
      <c r="G38" s="55">
        <f t="shared" si="5"/>
        <v>1679975.123706393</v>
      </c>
      <c r="H38" s="56">
        <f t="shared" si="3"/>
        <v>-434934.57043994474</v>
      </c>
      <c r="I38" s="56"/>
      <c r="J38" s="80">
        <f t="shared" si="4"/>
        <v>152227.09965398064</v>
      </c>
      <c r="K38" s="28">
        <f t="shared" si="1"/>
        <v>147233945.75983587</v>
      </c>
    </row>
    <row r="39" spans="1:11" ht="14.25">
      <c r="A39" s="54">
        <v>56</v>
      </c>
      <c r="B39" s="67">
        <v>43831</v>
      </c>
      <c r="C39" s="28">
        <f t="shared" si="0"/>
        <v>147233945.75983587</v>
      </c>
      <c r="D39" s="28"/>
      <c r="E39" s="55">
        <f>Additions!J61*$C$5</f>
        <v>0</v>
      </c>
      <c r="F39" s="55">
        <f t="shared" si="2"/>
        <v>1242654.5022130148</v>
      </c>
      <c r="G39" s="55">
        <f t="shared" si="5"/>
        <v>1679975.123706393</v>
      </c>
      <c r="H39" s="56">
        <f t="shared" si="3"/>
        <v>-437320.6214933782</v>
      </c>
      <c r="I39" s="56"/>
      <c r="J39" s="80">
        <f t="shared" si="4"/>
        <v>153062.21752268236</v>
      </c>
      <c r="K39" s="28">
        <f t="shared" si="1"/>
        <v>146949687.35586515</v>
      </c>
    </row>
    <row r="40" spans="1:11" ht="14.25">
      <c r="A40" s="54">
        <v>57</v>
      </c>
      <c r="B40" s="67">
        <v>43862</v>
      </c>
      <c r="C40" s="28">
        <f t="shared" si="0"/>
        <v>146949687.35586515</v>
      </c>
      <c r="D40" s="28"/>
      <c r="E40" s="55">
        <f>Additions!J62*$C$5</f>
        <v>0</v>
      </c>
      <c r="F40" s="55">
        <f t="shared" si="2"/>
        <v>1240255.3612835018</v>
      </c>
      <c r="G40" s="55">
        <f t="shared" si="5"/>
        <v>1679975.123706393</v>
      </c>
      <c r="H40" s="56">
        <f t="shared" si="3"/>
        <v>-439719.7624228911</v>
      </c>
      <c r="I40" s="56"/>
      <c r="J40" s="80">
        <f t="shared" si="4"/>
        <v>153901.91684801187</v>
      </c>
      <c r="K40" s="28">
        <f t="shared" si="1"/>
        <v>146663869.51029027</v>
      </c>
    </row>
    <row r="41" spans="1:11" ht="14.25">
      <c r="A41" s="54">
        <v>58</v>
      </c>
      <c r="B41" s="67">
        <v>43891</v>
      </c>
      <c r="C41" s="28">
        <f t="shared" si="0"/>
        <v>146663869.51029027</v>
      </c>
      <c r="D41" s="28"/>
      <c r="E41" s="55">
        <f>Additions!J63*$C$5</f>
        <v>0</v>
      </c>
      <c r="F41" s="55">
        <f t="shared" si="2"/>
        <v>1237843.0586668497</v>
      </c>
      <c r="G41" s="55">
        <f t="shared" si="5"/>
        <v>1679975.123706393</v>
      </c>
      <c r="H41" s="56">
        <f t="shared" si="3"/>
        <v>-442132.0650395432</v>
      </c>
      <c r="I41" s="56"/>
      <c r="J41" s="80">
        <f t="shared" si="4"/>
        <v>154746.2227638401</v>
      </c>
      <c r="K41" s="28">
        <f t="shared" si="1"/>
        <v>146376483.66801456</v>
      </c>
    </row>
    <row r="42" spans="1:11" ht="14.25">
      <c r="A42" s="54">
        <v>59</v>
      </c>
      <c r="B42" s="67">
        <v>43922</v>
      </c>
      <c r="C42" s="28">
        <f t="shared" si="0"/>
        <v>146376483.66801456</v>
      </c>
      <c r="D42" s="28"/>
      <c r="E42" s="55">
        <f>Additions!J64*$C$5</f>
        <v>0</v>
      </c>
      <c r="F42" s="55">
        <f t="shared" si="2"/>
        <v>1235417.5221580428</v>
      </c>
      <c r="G42" s="55">
        <f t="shared" si="5"/>
        <v>1679975.123706393</v>
      </c>
      <c r="H42" s="56">
        <f t="shared" si="3"/>
        <v>-444557.6015483502</v>
      </c>
      <c r="I42" s="56"/>
      <c r="J42" s="80">
        <f t="shared" si="4"/>
        <v>155595.16054192255</v>
      </c>
      <c r="K42" s="28">
        <f t="shared" si="1"/>
        <v>146087521.22700813</v>
      </c>
    </row>
    <row r="43" spans="1:11" ht="14.25">
      <c r="A43" s="54">
        <v>60</v>
      </c>
      <c r="B43" s="67">
        <v>43952</v>
      </c>
      <c r="C43" s="28">
        <f t="shared" si="0"/>
        <v>146087521.22700813</v>
      </c>
      <c r="D43" s="28"/>
      <c r="E43" s="55">
        <f>Additions!J65*$C$5</f>
        <v>0</v>
      </c>
      <c r="F43" s="55">
        <f t="shared" si="2"/>
        <v>1232978.6791559486</v>
      </c>
      <c r="G43" s="55">
        <f t="shared" si="5"/>
        <v>1679975.123706393</v>
      </c>
      <c r="H43" s="56">
        <f t="shared" si="3"/>
        <v>-446996.4445504444</v>
      </c>
      <c r="I43" s="56"/>
      <c r="J43" s="80">
        <f t="shared" si="4"/>
        <v>156448.7555926555</v>
      </c>
      <c r="K43" s="28">
        <f t="shared" si="1"/>
        <v>145796973.53805032</v>
      </c>
    </row>
    <row r="44" spans="1:11" ht="14.25">
      <c r="A44" s="54">
        <v>61</v>
      </c>
      <c r="B44" s="67">
        <v>43983</v>
      </c>
      <c r="C44" s="28">
        <f t="shared" si="0"/>
        <v>145796973.53805032</v>
      </c>
      <c r="D44" s="28"/>
      <c r="E44" s="55">
        <f>Additions!J66*$C$5</f>
        <v>0</v>
      </c>
      <c r="F44" s="55">
        <f t="shared" si="2"/>
        <v>1230526.4566611447</v>
      </c>
      <c r="G44" s="55">
        <f t="shared" si="5"/>
        <v>1679975.123706393</v>
      </c>
      <c r="H44" s="56">
        <f t="shared" si="3"/>
        <v>-449448.6670452482</v>
      </c>
      <c r="I44" s="56"/>
      <c r="J44" s="80">
        <f t="shared" si="4"/>
        <v>157307.03346583687</v>
      </c>
      <c r="K44" s="28">
        <f t="shared" si="1"/>
        <v>145504831.9044709</v>
      </c>
    </row>
    <row r="45" spans="1:11" ht="14.25">
      <c r="A45" s="54">
        <v>62</v>
      </c>
      <c r="B45" s="67">
        <v>44013</v>
      </c>
      <c r="C45" s="28">
        <f t="shared" si="0"/>
        <v>145504831.9044709</v>
      </c>
      <c r="D45" s="28"/>
      <c r="E45" s="55">
        <f>Additions!J67*$C$5</f>
        <v>0</v>
      </c>
      <c r="F45" s="55">
        <f t="shared" si="2"/>
        <v>1228060.7812737343</v>
      </c>
      <c r="G45" s="55">
        <f t="shared" si="5"/>
        <v>1679975.123706393</v>
      </c>
      <c r="H45" s="56">
        <f t="shared" si="3"/>
        <v>-451914.34243265865</v>
      </c>
      <c r="I45" s="56"/>
      <c r="J45" s="80">
        <f t="shared" si="4"/>
        <v>158170.01985143052</v>
      </c>
      <c r="K45" s="28">
        <f t="shared" si="1"/>
        <v>145211087.58188963</v>
      </c>
    </row>
    <row r="46" spans="1:11" ht="14.25">
      <c r="A46" s="54">
        <v>63</v>
      </c>
      <c r="B46" s="67">
        <v>44044</v>
      </c>
      <c r="C46" s="28">
        <f t="shared" si="0"/>
        <v>145211087.58188963</v>
      </c>
      <c r="D46" s="28"/>
      <c r="E46" s="55">
        <f>Additions!J68*$C$5</f>
        <v>0</v>
      </c>
      <c r="F46" s="55">
        <f t="shared" si="2"/>
        <v>1225581.5791911485</v>
      </c>
      <c r="G46" s="55">
        <f t="shared" si="5"/>
        <v>1679975.123706393</v>
      </c>
      <c r="H46" s="56">
        <f t="shared" si="3"/>
        <v>-454393.54451524443</v>
      </c>
      <c r="I46" s="56"/>
      <c r="J46" s="80">
        <f t="shared" si="4"/>
        <v>159037.74058033555</v>
      </c>
      <c r="K46" s="28">
        <f t="shared" si="1"/>
        <v>144915731.77795473</v>
      </c>
    </row>
    <row r="47" spans="1:11" ht="14.25">
      <c r="A47" s="54">
        <v>64</v>
      </c>
      <c r="B47" s="67">
        <v>44075</v>
      </c>
      <c r="C47" s="28">
        <f t="shared" si="0"/>
        <v>144915731.77795473</v>
      </c>
      <c r="D47" s="28"/>
      <c r="E47" s="55">
        <f>Additions!J69*$C$5</f>
        <v>0</v>
      </c>
      <c r="F47" s="55">
        <f t="shared" si="2"/>
        <v>1223088.7762059378</v>
      </c>
      <c r="G47" s="55">
        <f t="shared" si="5"/>
        <v>1679975.123706393</v>
      </c>
      <c r="H47" s="56">
        <f t="shared" si="3"/>
        <v>-456886.3475004551</v>
      </c>
      <c r="I47" s="56"/>
      <c r="J47" s="80">
        <f t="shared" si="4"/>
        <v>159910.22162515926</v>
      </c>
      <c r="K47" s="28">
        <f t="shared" si="1"/>
        <v>144618755.6520794</v>
      </c>
    </row>
    <row r="48" spans="1:11" ht="14.25">
      <c r="A48" s="54">
        <v>65</v>
      </c>
      <c r="B48" s="67">
        <v>44105</v>
      </c>
      <c r="C48" s="28">
        <f t="shared" si="0"/>
        <v>144618755.6520794</v>
      </c>
      <c r="D48" s="28"/>
      <c r="E48" s="55">
        <f>Additions!J70*$C$5</f>
        <v>0</v>
      </c>
      <c r="F48" s="55">
        <f t="shared" si="2"/>
        <v>1220582.2977035502</v>
      </c>
      <c r="G48" s="55">
        <f t="shared" si="5"/>
        <v>1679975.123706393</v>
      </c>
      <c r="H48" s="56">
        <f t="shared" si="3"/>
        <v>-459392.82600284275</v>
      </c>
      <c r="I48" s="56"/>
      <c r="J48" s="80">
        <f t="shared" si="4"/>
        <v>160787.48910099495</v>
      </c>
      <c r="K48" s="28">
        <f t="shared" si="1"/>
        <v>144320150.31517756</v>
      </c>
    </row>
    <row r="49" spans="1:11" ht="14.25">
      <c r="A49" s="54">
        <v>66</v>
      </c>
      <c r="B49" s="67">
        <v>44136</v>
      </c>
      <c r="C49" s="28">
        <f t="shared" si="0"/>
        <v>144320150.31517756</v>
      </c>
      <c r="D49" s="28"/>
      <c r="E49" s="55">
        <f>Additions!J71*$C$5</f>
        <v>0</v>
      </c>
      <c r="F49" s="55">
        <f t="shared" si="2"/>
        <v>1218062.0686600986</v>
      </c>
      <c r="G49" s="55">
        <f t="shared" si="5"/>
        <v>1679975.123706393</v>
      </c>
      <c r="H49" s="56">
        <f t="shared" si="3"/>
        <v>-461913.05504629435</v>
      </c>
      <c r="I49" s="56"/>
      <c r="J49" s="80">
        <f t="shared" si="4"/>
        <v>161669.569266203</v>
      </c>
      <c r="K49" s="28">
        <f t="shared" si="1"/>
        <v>144019906.82939747</v>
      </c>
    </row>
    <row r="50" spans="1:11" ht="14.25">
      <c r="A50" s="54">
        <v>67</v>
      </c>
      <c r="B50" s="67">
        <v>44166</v>
      </c>
      <c r="C50" s="28">
        <f aca="true" t="shared" si="6" ref="C50:C113">K49</f>
        <v>144019906.82939747</v>
      </c>
      <c r="D50" s="28"/>
      <c r="E50" s="55">
        <f>Additions!J72*$C$5</f>
        <v>0</v>
      </c>
      <c r="F50" s="55">
        <f t="shared" si="2"/>
        <v>1215528.0136401146</v>
      </c>
      <c r="G50" s="55">
        <f t="shared" si="5"/>
        <v>1679975.123706393</v>
      </c>
      <c r="H50" s="56">
        <f aca="true" t="shared" si="7" ref="H50:H113">E50+F50-G50</f>
        <v>-464447.1100662784</v>
      </c>
      <c r="I50" s="56"/>
      <c r="J50" s="80">
        <f t="shared" si="4"/>
        <v>162556.48852319742</v>
      </c>
      <c r="K50" s="28">
        <f t="shared" si="1"/>
        <v>143718016.20785436</v>
      </c>
    </row>
    <row r="51" spans="1:11" ht="14.25">
      <c r="A51" s="54">
        <v>68</v>
      </c>
      <c r="B51" s="67">
        <v>44197</v>
      </c>
      <c r="C51" s="28">
        <f t="shared" si="6"/>
        <v>143718016.20785436</v>
      </c>
      <c r="D51" s="28"/>
      <c r="E51" s="55">
        <f>Additions!J73*$C$5</f>
        <v>0</v>
      </c>
      <c r="F51" s="55">
        <f aca="true" t="shared" si="8" ref="F51:F114">K50*$C$3</f>
        <v>1212980.0567942907</v>
      </c>
      <c r="G51" s="55">
        <f t="shared" si="5"/>
        <v>1679975.123706393</v>
      </c>
      <c r="H51" s="56">
        <f t="shared" si="7"/>
        <v>-466995.0669121023</v>
      </c>
      <c r="I51" s="56"/>
      <c r="J51" s="80">
        <f t="shared" si="4"/>
        <v>163448.27341923577</v>
      </c>
      <c r="K51" s="28">
        <f t="shared" si="1"/>
        <v>143414469.41436148</v>
      </c>
    </row>
    <row r="52" spans="1:11" ht="14.25">
      <c r="A52" s="54">
        <v>69</v>
      </c>
      <c r="B52" s="67">
        <v>44228</v>
      </c>
      <c r="C52" s="28">
        <f t="shared" si="6"/>
        <v>143414469.41436148</v>
      </c>
      <c r="D52" s="28"/>
      <c r="E52" s="55">
        <f>Additions!J74*$C$5</f>
        <v>0</v>
      </c>
      <c r="F52" s="55">
        <f t="shared" si="8"/>
        <v>1210418.1218572108</v>
      </c>
      <c r="G52" s="55">
        <f t="shared" si="5"/>
        <v>1679975.123706393</v>
      </c>
      <c r="H52" s="56">
        <f t="shared" si="7"/>
        <v>-469557.0018491822</v>
      </c>
      <c r="I52" s="56"/>
      <c r="J52" s="80">
        <f t="shared" si="4"/>
        <v>164344.95064721376</v>
      </c>
      <c r="K52" s="28">
        <f t="shared" si="1"/>
        <v>143109257.36315948</v>
      </c>
    </row>
    <row r="53" spans="1:11" ht="14.25">
      <c r="A53" s="54">
        <v>70</v>
      </c>
      <c r="B53" s="67">
        <v>44256</v>
      </c>
      <c r="C53" s="28">
        <f t="shared" si="6"/>
        <v>143109257.36315948</v>
      </c>
      <c r="D53" s="28"/>
      <c r="E53" s="55">
        <f>Additions!J75*$C$5</f>
        <v>0</v>
      </c>
      <c r="F53" s="55">
        <f t="shared" si="8"/>
        <v>1207842.132145066</v>
      </c>
      <c r="G53" s="55">
        <f t="shared" si="5"/>
        <v>1679975.123706393</v>
      </c>
      <c r="H53" s="56">
        <f t="shared" si="7"/>
        <v>-472132.9915613269</v>
      </c>
      <c r="I53" s="56"/>
      <c r="J53" s="80">
        <f t="shared" si="4"/>
        <v>165246.5470464644</v>
      </c>
      <c r="K53" s="28">
        <f t="shared" si="1"/>
        <v>142802370.9186446</v>
      </c>
    </row>
    <row r="54" spans="1:11" ht="14.25">
      <c r="A54" s="54">
        <v>71</v>
      </c>
      <c r="B54" s="67">
        <v>44287</v>
      </c>
      <c r="C54" s="28">
        <f t="shared" si="6"/>
        <v>142802370.9186446</v>
      </c>
      <c r="D54" s="28"/>
      <c r="E54" s="55">
        <f>Additions!J76*$C$5</f>
        <v>0</v>
      </c>
      <c r="F54" s="55">
        <f t="shared" si="8"/>
        <v>1205252.0105533605</v>
      </c>
      <c r="G54" s="55">
        <f t="shared" si="5"/>
        <v>1679975.123706393</v>
      </c>
      <c r="H54" s="56">
        <f t="shared" si="7"/>
        <v>-474723.1131530325</v>
      </c>
      <c r="I54" s="56"/>
      <c r="J54" s="80">
        <f t="shared" si="4"/>
        <v>166153.08960356136</v>
      </c>
      <c r="K54" s="28">
        <f t="shared" si="1"/>
        <v>142493800.89509514</v>
      </c>
    </row>
    <row r="55" spans="1:11" ht="14.25">
      <c r="A55" s="54">
        <v>72</v>
      </c>
      <c r="B55" s="67">
        <v>44317</v>
      </c>
      <c r="C55" s="28">
        <f t="shared" si="6"/>
        <v>142493800.89509514</v>
      </c>
      <c r="D55" s="28"/>
      <c r="E55" s="55">
        <f>Additions!J77*$C$5</f>
        <v>0</v>
      </c>
      <c r="F55" s="55">
        <f t="shared" si="8"/>
        <v>1202647.6795546028</v>
      </c>
      <c r="G55" s="55">
        <f t="shared" si="5"/>
        <v>1679975.123706393</v>
      </c>
      <c r="H55" s="56">
        <f t="shared" si="7"/>
        <v>-477327.4441517901</v>
      </c>
      <c r="I55" s="56"/>
      <c r="J55" s="80">
        <f t="shared" si="4"/>
        <v>167064.60545312654</v>
      </c>
      <c r="K55" s="28">
        <f t="shared" si="1"/>
        <v>142183538.05639648</v>
      </c>
    </row>
    <row r="56" spans="1:11" ht="14.25">
      <c r="A56" s="54">
        <v>73</v>
      </c>
      <c r="B56" s="67">
        <v>44348</v>
      </c>
      <c r="C56" s="28">
        <f t="shared" si="6"/>
        <v>142183538.05639648</v>
      </c>
      <c r="D56" s="28"/>
      <c r="E56" s="55">
        <f>Additions!J78*$C$5</f>
        <v>0</v>
      </c>
      <c r="F56" s="55">
        <f t="shared" si="8"/>
        <v>1200029.0611959863</v>
      </c>
      <c r="G56" s="55">
        <f t="shared" si="5"/>
        <v>1679975.123706393</v>
      </c>
      <c r="H56" s="56">
        <f t="shared" si="7"/>
        <v>-479946.0625104066</v>
      </c>
      <c r="I56" s="56"/>
      <c r="J56" s="80">
        <f t="shared" si="4"/>
        <v>167981.1218786423</v>
      </c>
      <c r="K56" s="28">
        <f t="shared" si="1"/>
        <v>141871573.11576474</v>
      </c>
    </row>
    <row r="57" spans="1:11" ht="14.25">
      <c r="A57" s="54">
        <v>74</v>
      </c>
      <c r="B57" s="67">
        <v>44378</v>
      </c>
      <c r="C57" s="28">
        <f t="shared" si="6"/>
        <v>141871573.11576474</v>
      </c>
      <c r="D57" s="28"/>
      <c r="E57" s="55">
        <f>Additions!J79*$C$5</f>
        <v>0</v>
      </c>
      <c r="F57" s="55">
        <f t="shared" si="8"/>
        <v>1197396.0770970543</v>
      </c>
      <c r="G57" s="55">
        <f t="shared" si="5"/>
        <v>1679975.123706393</v>
      </c>
      <c r="H57" s="56">
        <f t="shared" si="7"/>
        <v>-482579.0466093386</v>
      </c>
      <c r="I57" s="56"/>
      <c r="J57" s="80">
        <f t="shared" si="4"/>
        <v>168902.6663132685</v>
      </c>
      <c r="K57" s="28">
        <f t="shared" si="1"/>
        <v>141557896.73546866</v>
      </c>
    </row>
    <row r="58" spans="1:11" ht="14.25">
      <c r="A58" s="54">
        <v>75</v>
      </c>
      <c r="B58" s="67">
        <v>44409</v>
      </c>
      <c r="C58" s="28">
        <f t="shared" si="6"/>
        <v>141557896.73546866</v>
      </c>
      <c r="D58" s="28"/>
      <c r="E58" s="55">
        <f>Additions!J80*$C$5</f>
        <v>0</v>
      </c>
      <c r="F58" s="55">
        <f t="shared" si="8"/>
        <v>1194748.6484473555</v>
      </c>
      <c r="G58" s="55">
        <f t="shared" si="5"/>
        <v>1679975.123706393</v>
      </c>
      <c r="H58" s="56">
        <f t="shared" si="7"/>
        <v>-485226.47525903746</v>
      </c>
      <c r="I58" s="56"/>
      <c r="J58" s="80">
        <f t="shared" si="4"/>
        <v>169829.2663406631</v>
      </c>
      <c r="K58" s="28">
        <f t="shared" si="1"/>
        <v>141242499.5265503</v>
      </c>
    </row>
    <row r="59" spans="1:11" ht="14.25">
      <c r="A59" s="54">
        <v>76</v>
      </c>
      <c r="B59" s="67">
        <v>44440</v>
      </c>
      <c r="C59" s="28">
        <f t="shared" si="6"/>
        <v>141242499.5265503</v>
      </c>
      <c r="D59" s="28"/>
      <c r="E59" s="55">
        <f>Additions!J81*$C$5</f>
        <v>0</v>
      </c>
      <c r="F59" s="55">
        <f t="shared" si="8"/>
        <v>1192086.6960040843</v>
      </c>
      <c r="G59" s="55">
        <f t="shared" si="5"/>
        <v>1679975.123706393</v>
      </c>
      <c r="H59" s="56">
        <f t="shared" si="7"/>
        <v>-487888.42770230863</v>
      </c>
      <c r="I59" s="56"/>
      <c r="J59" s="80">
        <f t="shared" si="4"/>
        <v>170760.949695808</v>
      </c>
      <c r="K59" s="28">
        <f t="shared" si="1"/>
        <v>140925372.04854378</v>
      </c>
    </row>
    <row r="60" spans="1:11" ht="14.25">
      <c r="A60" s="54">
        <v>77</v>
      </c>
      <c r="B60" s="67">
        <v>44470</v>
      </c>
      <c r="C60" s="28">
        <f t="shared" si="6"/>
        <v>140925372.04854378</v>
      </c>
      <c r="D60" s="28"/>
      <c r="E60" s="55">
        <f>Additions!J82*$C$5</f>
        <v>0</v>
      </c>
      <c r="F60" s="55">
        <f t="shared" si="8"/>
        <v>1189410.1400897095</v>
      </c>
      <c r="G60" s="55">
        <f t="shared" si="5"/>
        <v>1679975.123706393</v>
      </c>
      <c r="H60" s="56">
        <f t="shared" si="7"/>
        <v>-490564.9836166834</v>
      </c>
      <c r="I60" s="56"/>
      <c r="J60" s="80">
        <f t="shared" si="4"/>
        <v>171697.74426583917</v>
      </c>
      <c r="K60" s="28">
        <f t="shared" si="1"/>
        <v>140606504.80919293</v>
      </c>
    </row>
    <row r="61" spans="1:11" ht="14.25">
      <c r="A61" s="54">
        <v>78</v>
      </c>
      <c r="B61" s="67">
        <v>44501</v>
      </c>
      <c r="C61" s="28">
        <f t="shared" si="6"/>
        <v>140606504.80919293</v>
      </c>
      <c r="D61" s="28"/>
      <c r="E61" s="55">
        <f>Additions!J83*$C$5</f>
        <v>0</v>
      </c>
      <c r="F61" s="55">
        <f t="shared" si="8"/>
        <v>1186718.9005895883</v>
      </c>
      <c r="G61" s="55">
        <f t="shared" si="5"/>
        <v>1679975.123706393</v>
      </c>
      <c r="H61" s="56">
        <f t="shared" si="7"/>
        <v>-493256.2231168046</v>
      </c>
      <c r="I61" s="56"/>
      <c r="J61" s="80">
        <f t="shared" si="4"/>
        <v>172639.6780908816</v>
      </c>
      <c r="K61" s="28">
        <f t="shared" si="1"/>
        <v>140285888.26416698</v>
      </c>
    </row>
    <row r="62" spans="1:11" ht="14.25">
      <c r="A62" s="54">
        <v>79</v>
      </c>
      <c r="B62" s="67">
        <v>44531</v>
      </c>
      <c r="C62" s="28">
        <f t="shared" si="6"/>
        <v>140285888.26416698</v>
      </c>
      <c r="D62" s="28"/>
      <c r="E62" s="55">
        <f>Additions!J84*$C$5</f>
        <v>0</v>
      </c>
      <c r="F62" s="55">
        <f t="shared" si="8"/>
        <v>1184012.8969495692</v>
      </c>
      <c r="G62" s="55">
        <f t="shared" si="5"/>
        <v>1679975.123706393</v>
      </c>
      <c r="H62" s="56">
        <f t="shared" si="7"/>
        <v>-495962.2267568237</v>
      </c>
      <c r="I62" s="56"/>
      <c r="J62" s="80">
        <f t="shared" si="4"/>
        <v>173586.7793648883</v>
      </c>
      <c r="K62" s="28">
        <f t="shared" si="1"/>
        <v>139963512.81677502</v>
      </c>
    </row>
    <row r="63" spans="1:11" ht="14.25">
      <c r="A63" s="54">
        <v>80</v>
      </c>
      <c r="B63" s="67">
        <v>44562</v>
      </c>
      <c r="C63" s="28">
        <f t="shared" si="6"/>
        <v>139963512.81677502</v>
      </c>
      <c r="D63" s="28"/>
      <c r="E63" s="55">
        <f>Additions!J85*$C$5</f>
        <v>0</v>
      </c>
      <c r="F63" s="55">
        <f t="shared" si="8"/>
        <v>1181292.0481735813</v>
      </c>
      <c r="G63" s="55">
        <f t="shared" si="5"/>
        <v>1679975.123706393</v>
      </c>
      <c r="H63" s="56">
        <f t="shared" si="7"/>
        <v>-498683.0755328117</v>
      </c>
      <c r="I63" s="56"/>
      <c r="J63" s="80">
        <f t="shared" si="4"/>
        <v>174539.0764364841</v>
      </c>
      <c r="K63" s="28">
        <f t="shared" si="1"/>
        <v>139639368.8176787</v>
      </c>
    </row>
    <row r="64" spans="1:11" ht="14.25">
      <c r="A64" s="54">
        <v>81</v>
      </c>
      <c r="B64" s="67">
        <v>44593</v>
      </c>
      <c r="C64" s="28">
        <f t="shared" si="6"/>
        <v>139639368.8176787</v>
      </c>
      <c r="D64" s="28"/>
      <c r="E64" s="55">
        <f>Additions!J86*$C$5</f>
        <v>0</v>
      </c>
      <c r="F64" s="55">
        <f t="shared" si="8"/>
        <v>1178556.272821208</v>
      </c>
      <c r="G64" s="55">
        <f t="shared" si="5"/>
        <v>1679975.123706393</v>
      </c>
      <c r="H64" s="56">
        <f t="shared" si="7"/>
        <v>-501418.85088518495</v>
      </c>
      <c r="I64" s="56"/>
      <c r="J64" s="80">
        <f t="shared" si="4"/>
        <v>175496.59780981473</v>
      </c>
      <c r="K64" s="28">
        <f t="shared" si="1"/>
        <v>139313446.56460333</v>
      </c>
    </row>
    <row r="65" spans="1:11" ht="14.25">
      <c r="A65" s="54">
        <v>82</v>
      </c>
      <c r="B65" s="67">
        <v>44621</v>
      </c>
      <c r="C65" s="28">
        <f t="shared" si="6"/>
        <v>139313446.56460333</v>
      </c>
      <c r="D65" s="28"/>
      <c r="E65" s="55">
        <f>Additions!J87*$C$5</f>
        <v>0</v>
      </c>
      <c r="F65" s="55">
        <f t="shared" si="8"/>
        <v>1175805.489005252</v>
      </c>
      <c r="G65" s="55">
        <f t="shared" si="5"/>
        <v>1679975.123706393</v>
      </c>
      <c r="H65" s="56">
        <f t="shared" si="7"/>
        <v>-504169.6347011409</v>
      </c>
      <c r="I65" s="56"/>
      <c r="J65" s="80">
        <f t="shared" si="4"/>
        <v>176459.3721453993</v>
      </c>
      <c r="K65" s="28">
        <f t="shared" si="1"/>
        <v>138985736.30204755</v>
      </c>
    </row>
    <row r="66" spans="1:11" ht="14.25">
      <c r="A66" s="54">
        <v>83</v>
      </c>
      <c r="B66" s="67">
        <v>44652</v>
      </c>
      <c r="C66" s="28">
        <f t="shared" si="6"/>
        <v>138985736.30204755</v>
      </c>
      <c r="D66" s="28"/>
      <c r="E66" s="55">
        <f>Additions!J88*$C$5</f>
        <v>0</v>
      </c>
      <c r="F66" s="55">
        <f t="shared" si="8"/>
        <v>1173039.6143892813</v>
      </c>
      <c r="G66" s="55">
        <f t="shared" si="5"/>
        <v>1679975.123706393</v>
      </c>
      <c r="H66" s="56">
        <f t="shared" si="7"/>
        <v>-506935.5093171117</v>
      </c>
      <c r="I66" s="56"/>
      <c r="J66" s="80">
        <f t="shared" si="4"/>
        <v>177427.42826098908</v>
      </c>
      <c r="K66" s="28">
        <f t="shared" si="1"/>
        <v>138656228.2209914</v>
      </c>
    </row>
    <row r="67" spans="1:11" ht="14.25">
      <c r="A67" s="54">
        <v>84</v>
      </c>
      <c r="B67" s="67">
        <v>44682</v>
      </c>
      <c r="C67" s="28">
        <f t="shared" si="6"/>
        <v>138656228.2209914</v>
      </c>
      <c r="D67" s="28"/>
      <c r="E67" s="55">
        <f>Additions!J89*$C$5</f>
        <v>0</v>
      </c>
      <c r="F67" s="55">
        <f t="shared" si="8"/>
        <v>1170258.5661851673</v>
      </c>
      <c r="G67" s="55">
        <f t="shared" si="5"/>
        <v>1679975.123706393</v>
      </c>
      <c r="H67" s="56">
        <f t="shared" si="7"/>
        <v>-509716.55752122565</v>
      </c>
      <c r="I67" s="56"/>
      <c r="J67" s="80">
        <f t="shared" si="4"/>
        <v>178400.79513242896</v>
      </c>
      <c r="K67" s="28">
        <f t="shared" si="1"/>
        <v>138324912.4586026</v>
      </c>
    </row>
    <row r="68" spans="1:11" ht="14.25">
      <c r="A68" s="54">
        <v>85</v>
      </c>
      <c r="B68" s="67">
        <v>44713</v>
      </c>
      <c r="C68" s="28">
        <f t="shared" si="6"/>
        <v>138324912.4586026</v>
      </c>
      <c r="D68" s="28"/>
      <c r="E68" s="55">
        <f>Additions!J90*$C$5</f>
        <v>0</v>
      </c>
      <c r="F68" s="55">
        <f t="shared" si="8"/>
        <v>1167462.261150606</v>
      </c>
      <c r="G68" s="55">
        <f t="shared" si="5"/>
        <v>1679975.123706393</v>
      </c>
      <c r="H68" s="56">
        <f t="shared" si="7"/>
        <v>-512512.86255578697</v>
      </c>
      <c r="I68" s="56"/>
      <c r="J68" s="80">
        <f t="shared" si="4"/>
        <v>179379.50189452543</v>
      </c>
      <c r="K68" s="28">
        <f t="shared" si="1"/>
        <v>137991779.09794134</v>
      </c>
    </row>
    <row r="69" spans="1:11" ht="14.25">
      <c r="A69" s="54">
        <v>86</v>
      </c>
      <c r="B69" s="67">
        <v>44743</v>
      </c>
      <c r="C69" s="28">
        <f t="shared" si="6"/>
        <v>137991779.09794134</v>
      </c>
      <c r="D69" s="28"/>
      <c r="E69" s="55">
        <f>Additions!J91*$C$5</f>
        <v>0</v>
      </c>
      <c r="F69" s="55">
        <f t="shared" si="8"/>
        <v>1164650.615586625</v>
      </c>
      <c r="G69" s="55">
        <f t="shared" si="5"/>
        <v>1679975.123706393</v>
      </c>
      <c r="H69" s="56">
        <f t="shared" si="7"/>
        <v>-515324.508119768</v>
      </c>
      <c r="I69" s="56"/>
      <c r="J69" s="80">
        <f t="shared" si="4"/>
        <v>180363.5778419188</v>
      </c>
      <c r="K69" s="28">
        <f t="shared" si="1"/>
        <v>137656818.16766348</v>
      </c>
    </row>
    <row r="70" spans="1:11" ht="14.25">
      <c r="A70" s="54">
        <v>87</v>
      </c>
      <c r="B70" s="67">
        <v>44774</v>
      </c>
      <c r="C70" s="28">
        <f t="shared" si="6"/>
        <v>137656818.16766348</v>
      </c>
      <c r="D70" s="28"/>
      <c r="E70" s="55">
        <f>Additions!J92*$C$5</f>
        <v>0</v>
      </c>
      <c r="F70" s="55">
        <f t="shared" si="8"/>
        <v>1161823.5453350798</v>
      </c>
      <c r="G70" s="55">
        <f t="shared" si="5"/>
        <v>1679975.123706393</v>
      </c>
      <c r="H70" s="56">
        <f t="shared" si="7"/>
        <v>-518151.57837131317</v>
      </c>
      <c r="I70" s="56"/>
      <c r="J70" s="80">
        <f t="shared" si="4"/>
        <v>181353.05242995959</v>
      </c>
      <c r="K70" s="28">
        <f t="shared" si="1"/>
        <v>137320019.64172214</v>
      </c>
    </row>
    <row r="71" spans="1:11" ht="14.25">
      <c r="A71" s="54">
        <v>88</v>
      </c>
      <c r="B71" s="67">
        <v>44805</v>
      </c>
      <c r="C71" s="28">
        <f t="shared" si="6"/>
        <v>137320019.64172214</v>
      </c>
      <c r="D71" s="28"/>
      <c r="E71" s="55">
        <f>Additions!J93*$C$5</f>
        <v>0</v>
      </c>
      <c r="F71" s="55">
        <f t="shared" si="8"/>
        <v>1158980.9657761347</v>
      </c>
      <c r="G71" s="55">
        <f t="shared" si="5"/>
        <v>1679975.123706393</v>
      </c>
      <c r="H71" s="56">
        <f t="shared" si="7"/>
        <v>-520994.1579302582</v>
      </c>
      <c r="I71" s="56"/>
      <c r="J71" s="80">
        <f t="shared" si="4"/>
        <v>182347.95527559036</v>
      </c>
      <c r="K71" s="28">
        <f t="shared" si="1"/>
        <v>136981373.43906748</v>
      </c>
    </row>
    <row r="72" spans="1:11" ht="14.25">
      <c r="A72" s="54">
        <v>89</v>
      </c>
      <c r="B72" s="67">
        <v>44835</v>
      </c>
      <c r="C72" s="28">
        <f t="shared" si="6"/>
        <v>136981373.43906748</v>
      </c>
      <c r="D72" s="28"/>
      <c r="E72" s="55">
        <f>Additions!J94*$C$5</f>
        <v>0</v>
      </c>
      <c r="F72" s="55">
        <f t="shared" si="8"/>
        <v>1156122.7918257294</v>
      </c>
      <c r="G72" s="55">
        <f t="shared" si="5"/>
        <v>1679975.123706393</v>
      </c>
      <c r="H72" s="56">
        <f t="shared" si="7"/>
        <v>-523852.3318806635</v>
      </c>
      <c r="I72" s="56"/>
      <c r="J72" s="80">
        <f t="shared" si="4"/>
        <v>183348.31615823222</v>
      </c>
      <c r="K72" s="28">
        <f t="shared" si="1"/>
        <v>136640869.42334506</v>
      </c>
    </row>
    <row r="73" spans="1:11" ht="14.25">
      <c r="A73" s="54">
        <v>90</v>
      </c>
      <c r="B73" s="67">
        <v>44866</v>
      </c>
      <c r="C73" s="28">
        <f t="shared" si="6"/>
        <v>136640869.42334506</v>
      </c>
      <c r="D73" s="28"/>
      <c r="E73" s="55">
        <f>Additions!J95*$C$5</f>
        <v>0</v>
      </c>
      <c r="F73" s="55">
        <f t="shared" si="8"/>
        <v>1153248.9379330322</v>
      </c>
      <c r="G73" s="55">
        <f t="shared" si="5"/>
        <v>1679975.123706393</v>
      </c>
      <c r="H73" s="56">
        <f t="shared" si="7"/>
        <v>-526726.1857733608</v>
      </c>
      <c r="I73" s="56"/>
      <c r="J73" s="80">
        <f t="shared" si="4"/>
        <v>184354.16502067627</v>
      </c>
      <c r="K73" s="28">
        <f aca="true" t="shared" si="9" ref="K73:K136">C73+E73+F73-G73+J73</f>
        <v>136298497.40259236</v>
      </c>
    </row>
    <row r="74" spans="1:11" ht="14.25">
      <c r="A74" s="54">
        <v>91</v>
      </c>
      <c r="B74" s="67">
        <v>44896</v>
      </c>
      <c r="C74" s="28">
        <f t="shared" si="6"/>
        <v>136298497.40259236</v>
      </c>
      <c r="D74" s="28"/>
      <c r="E74" s="55">
        <f>Additions!J96*$C$5</f>
        <v>0</v>
      </c>
      <c r="F74" s="55">
        <f t="shared" si="8"/>
        <v>1150359.3180778795</v>
      </c>
      <c r="G74" s="55">
        <f t="shared" si="5"/>
        <v>1679975.123706393</v>
      </c>
      <c r="H74" s="56">
        <f t="shared" si="7"/>
        <v>-529615.8056285135</v>
      </c>
      <c r="I74" s="56"/>
      <c r="J74" s="80">
        <f aca="true" t="shared" si="10" ref="J74:J137">-H74*0.35</f>
        <v>185365.5319699797</v>
      </c>
      <c r="K74" s="28">
        <f t="shared" si="9"/>
        <v>135954247.12893385</v>
      </c>
    </row>
    <row r="75" spans="1:11" ht="14.25">
      <c r="A75" s="54">
        <v>92</v>
      </c>
      <c r="B75" s="67">
        <v>44927</v>
      </c>
      <c r="C75" s="28">
        <f t="shared" si="6"/>
        <v>135954247.12893385</v>
      </c>
      <c r="D75" s="28"/>
      <c r="E75" s="55">
        <f>Additions!J97*$C$5</f>
        <v>0</v>
      </c>
      <c r="F75" s="55">
        <f t="shared" si="8"/>
        <v>1147453.8457682016</v>
      </c>
      <c r="G75" s="55">
        <f aca="true" t="shared" si="11" ref="G75:G138">G74</f>
        <v>1679975.123706393</v>
      </c>
      <c r="H75" s="56">
        <f t="shared" si="7"/>
        <v>-532521.2779381913</v>
      </c>
      <c r="I75" s="56"/>
      <c r="J75" s="80">
        <f t="shared" si="10"/>
        <v>186382.44727836695</v>
      </c>
      <c r="K75" s="28">
        <f t="shared" si="9"/>
        <v>135608108.29827404</v>
      </c>
    </row>
    <row r="76" spans="1:11" ht="14.25">
      <c r="A76" s="54">
        <v>93</v>
      </c>
      <c r="B76" s="67">
        <v>44958</v>
      </c>
      <c r="C76" s="28">
        <f t="shared" si="6"/>
        <v>135608108.29827404</v>
      </c>
      <c r="D76" s="28"/>
      <c r="E76" s="55">
        <f>Additions!J98*$C$5</f>
        <v>0</v>
      </c>
      <c r="F76" s="55">
        <f t="shared" si="8"/>
        <v>1144532.4340374328</v>
      </c>
      <c r="G76" s="55">
        <f t="shared" si="11"/>
        <v>1679975.123706393</v>
      </c>
      <c r="H76" s="56">
        <f t="shared" si="7"/>
        <v>-535442.6896689602</v>
      </c>
      <c r="I76" s="56"/>
      <c r="J76" s="80">
        <f t="shared" si="10"/>
        <v>187404.94138413604</v>
      </c>
      <c r="K76" s="28">
        <f t="shared" si="9"/>
        <v>135260070.54998922</v>
      </c>
    </row>
    <row r="77" spans="1:11" ht="14.25">
      <c r="A77" s="54">
        <v>94</v>
      </c>
      <c r="B77" s="67">
        <v>44986</v>
      </c>
      <c r="C77" s="28">
        <f t="shared" si="6"/>
        <v>135260070.54998922</v>
      </c>
      <c r="D77" s="28"/>
      <c r="E77" s="55">
        <f>Additions!J99*$C$5</f>
        <v>0</v>
      </c>
      <c r="F77" s="55">
        <f t="shared" si="8"/>
        <v>1141594.995441909</v>
      </c>
      <c r="G77" s="55">
        <f t="shared" si="11"/>
        <v>1679975.123706393</v>
      </c>
      <c r="H77" s="56">
        <f t="shared" si="7"/>
        <v>-538380.128264484</v>
      </c>
      <c r="I77" s="56"/>
      <c r="J77" s="80">
        <f t="shared" si="10"/>
        <v>188433.0448925694</v>
      </c>
      <c r="K77" s="28">
        <f t="shared" si="9"/>
        <v>134910123.46661732</v>
      </c>
    </row>
    <row r="78" spans="1:11" ht="14.25">
      <c r="A78" s="54">
        <v>95</v>
      </c>
      <c r="B78" s="67">
        <v>45017</v>
      </c>
      <c r="C78" s="28">
        <f t="shared" si="6"/>
        <v>134910123.46661732</v>
      </c>
      <c r="D78" s="28"/>
      <c r="E78" s="55">
        <f>Additions!J100*$C$5</f>
        <v>0</v>
      </c>
      <c r="F78" s="55">
        <f t="shared" si="8"/>
        <v>1138641.44205825</v>
      </c>
      <c r="G78" s="55">
        <f t="shared" si="11"/>
        <v>1679975.123706393</v>
      </c>
      <c r="H78" s="56">
        <f t="shared" si="7"/>
        <v>-541333.6816481429</v>
      </c>
      <c r="I78" s="56"/>
      <c r="J78" s="80">
        <f t="shared" si="10"/>
        <v>189466.78857685</v>
      </c>
      <c r="K78" s="28">
        <f t="shared" si="9"/>
        <v>134558256.573546</v>
      </c>
    </row>
    <row r="79" spans="1:11" ht="14.25">
      <c r="A79" s="54">
        <v>96</v>
      </c>
      <c r="B79" s="67">
        <v>45047</v>
      </c>
      <c r="C79" s="28">
        <f t="shared" si="6"/>
        <v>134558256.573546</v>
      </c>
      <c r="D79" s="28"/>
      <c r="E79" s="55">
        <f>Additions!J101*$C$5</f>
        <v>0</v>
      </c>
      <c r="F79" s="55">
        <f t="shared" si="8"/>
        <v>1135671.685480728</v>
      </c>
      <c r="G79" s="55">
        <f t="shared" si="11"/>
        <v>1679975.123706393</v>
      </c>
      <c r="H79" s="56">
        <f t="shared" si="7"/>
        <v>-544303.4382256649</v>
      </c>
      <c r="I79" s="56"/>
      <c r="J79" s="80">
        <f t="shared" si="10"/>
        <v>190506.2033789827</v>
      </c>
      <c r="K79" s="28">
        <f t="shared" si="9"/>
        <v>134204459.33869928</v>
      </c>
    </row>
    <row r="80" spans="1:11" ht="14.25">
      <c r="A80" s="54">
        <v>97</v>
      </c>
      <c r="B80" s="67">
        <v>45078</v>
      </c>
      <c r="C80" s="28">
        <f t="shared" si="6"/>
        <v>134204459.33869928</v>
      </c>
      <c r="D80" s="28"/>
      <c r="E80" s="55">
        <f>Additions!J102*$C$5</f>
        <v>0</v>
      </c>
      <c r="F80" s="55">
        <f t="shared" si="8"/>
        <v>1132685.6368186218</v>
      </c>
      <c r="G80" s="55">
        <f t="shared" si="11"/>
        <v>1679975.123706393</v>
      </c>
      <c r="H80" s="56">
        <f t="shared" si="7"/>
        <v>-547289.4868877712</v>
      </c>
      <c r="I80" s="56"/>
      <c r="J80" s="80">
        <f t="shared" si="10"/>
        <v>191551.3204107199</v>
      </c>
      <c r="K80" s="28">
        <f t="shared" si="9"/>
        <v>133848721.17222221</v>
      </c>
    </row>
    <row r="81" spans="1:11" ht="14.25">
      <c r="A81" s="54">
        <v>98</v>
      </c>
      <c r="B81" s="67">
        <v>45108</v>
      </c>
      <c r="C81" s="28">
        <f t="shared" si="6"/>
        <v>133848721.17222221</v>
      </c>
      <c r="D81" s="28"/>
      <c r="E81" s="55">
        <f>Additions!J103*$C$5</f>
        <v>0</v>
      </c>
      <c r="F81" s="55">
        <f t="shared" si="8"/>
        <v>1129683.2066935555</v>
      </c>
      <c r="G81" s="55">
        <f t="shared" si="11"/>
        <v>1679975.123706393</v>
      </c>
      <c r="H81" s="56">
        <f t="shared" si="7"/>
        <v>-550291.9170128375</v>
      </c>
      <c r="I81" s="56"/>
      <c r="J81" s="80">
        <f t="shared" si="10"/>
        <v>192602.1709544931</v>
      </c>
      <c r="K81" s="28">
        <f t="shared" si="9"/>
        <v>133491031.42616385</v>
      </c>
    </row>
    <row r="82" spans="1:11" ht="14.25">
      <c r="A82" s="54">
        <v>99</v>
      </c>
      <c r="B82" s="67">
        <v>45139</v>
      </c>
      <c r="C82" s="28">
        <f t="shared" si="6"/>
        <v>133491031.42616385</v>
      </c>
      <c r="D82" s="28"/>
      <c r="E82" s="55">
        <f>Additions!J104*$C$5</f>
        <v>0</v>
      </c>
      <c r="F82" s="55">
        <f t="shared" si="8"/>
        <v>1126664.305236823</v>
      </c>
      <c r="G82" s="55">
        <f t="shared" si="11"/>
        <v>1679975.123706393</v>
      </c>
      <c r="H82" s="56">
        <f t="shared" si="7"/>
        <v>-553310.81846957</v>
      </c>
      <c r="I82" s="56"/>
      <c r="J82" s="80">
        <f t="shared" si="10"/>
        <v>193658.78646434948</v>
      </c>
      <c r="K82" s="28">
        <f t="shared" si="9"/>
        <v>133131379.39415862</v>
      </c>
    </row>
    <row r="83" spans="1:11" ht="14.25">
      <c r="A83" s="54">
        <v>100</v>
      </c>
      <c r="B83" s="67">
        <v>45170</v>
      </c>
      <c r="C83" s="28">
        <f t="shared" si="6"/>
        <v>133131379.39415862</v>
      </c>
      <c r="D83" s="28"/>
      <c r="E83" s="55">
        <f>Additions!J105*$C$5</f>
        <v>0</v>
      </c>
      <c r="F83" s="55">
        <f t="shared" si="8"/>
        <v>1123628.8420866986</v>
      </c>
      <c r="G83" s="55">
        <f t="shared" si="11"/>
        <v>1679975.123706393</v>
      </c>
      <c r="H83" s="56">
        <f t="shared" si="7"/>
        <v>-556346.2816196943</v>
      </c>
      <c r="I83" s="56"/>
      <c r="J83" s="80">
        <f t="shared" si="10"/>
        <v>194721.198566893</v>
      </c>
      <c r="K83" s="28">
        <f t="shared" si="9"/>
        <v>132769754.3111058</v>
      </c>
    </row>
    <row r="84" spans="1:11" ht="14.25">
      <c r="A84" s="54">
        <v>101</v>
      </c>
      <c r="B84" s="67">
        <v>45200</v>
      </c>
      <c r="C84" s="28">
        <f t="shared" si="6"/>
        <v>132769754.3111058</v>
      </c>
      <c r="D84" s="28"/>
      <c r="E84" s="55">
        <f>Additions!J106*$C$5</f>
        <v>0</v>
      </c>
      <c r="F84" s="55">
        <f t="shared" si="8"/>
        <v>1120576.7263857329</v>
      </c>
      <c r="G84" s="55">
        <f t="shared" si="11"/>
        <v>1679975.123706393</v>
      </c>
      <c r="H84" s="56">
        <f t="shared" si="7"/>
        <v>-559398.3973206601</v>
      </c>
      <c r="I84" s="56"/>
      <c r="J84" s="80">
        <f t="shared" si="10"/>
        <v>195789.43906223102</v>
      </c>
      <c r="K84" s="28">
        <f t="shared" si="9"/>
        <v>132406145.35284737</v>
      </c>
    </row>
    <row r="85" spans="1:11" ht="14.25">
      <c r="A85" s="54">
        <v>102</v>
      </c>
      <c r="B85" s="67">
        <v>45231</v>
      </c>
      <c r="C85" s="28">
        <f t="shared" si="6"/>
        <v>132406145.35284737</v>
      </c>
      <c r="D85" s="28"/>
      <c r="E85" s="55">
        <f>Additions!J107*$C$5</f>
        <v>0</v>
      </c>
      <c r="F85" s="55">
        <f t="shared" si="8"/>
        <v>1117507.8667780317</v>
      </c>
      <c r="G85" s="55">
        <f t="shared" si="11"/>
        <v>1679975.123706393</v>
      </c>
      <c r="H85" s="56">
        <f t="shared" si="7"/>
        <v>-562467.2569283613</v>
      </c>
      <c r="I85" s="56"/>
      <c r="J85" s="80">
        <f t="shared" si="10"/>
        <v>196863.53992492642</v>
      </c>
      <c r="K85" s="28">
        <f t="shared" si="9"/>
        <v>132040541.63584393</v>
      </c>
    </row>
    <row r="86" spans="1:11" ht="14.25">
      <c r="A86" s="54">
        <v>103</v>
      </c>
      <c r="B86" s="67">
        <v>45261</v>
      </c>
      <c r="C86" s="28">
        <f t="shared" si="6"/>
        <v>132040541.63584393</v>
      </c>
      <c r="D86" s="28"/>
      <c r="E86" s="55">
        <f>Additions!J108*$C$5</f>
        <v>0</v>
      </c>
      <c r="F86" s="55">
        <f t="shared" si="8"/>
        <v>1114422.1714065226</v>
      </c>
      <c r="G86" s="55">
        <f t="shared" si="11"/>
        <v>1679975.123706393</v>
      </c>
      <c r="H86" s="56">
        <f t="shared" si="7"/>
        <v>-565552.9522998703</v>
      </c>
      <c r="I86" s="56"/>
      <c r="J86" s="80">
        <f t="shared" si="10"/>
        <v>197943.5333049546</v>
      </c>
      <c r="K86" s="28">
        <f t="shared" si="9"/>
        <v>131672932.21684903</v>
      </c>
    </row>
    <row r="87" spans="1:11" ht="14.25">
      <c r="A87" s="54">
        <v>104</v>
      </c>
      <c r="B87" s="67">
        <v>45292</v>
      </c>
      <c r="C87" s="28">
        <f t="shared" si="6"/>
        <v>131672932.21684903</v>
      </c>
      <c r="D87" s="28"/>
      <c r="E87" s="55">
        <f>Additions!J109*$C$5</f>
        <v>0</v>
      </c>
      <c r="F87" s="55">
        <f t="shared" si="8"/>
        <v>1111319.5479102058</v>
      </c>
      <c r="G87" s="55">
        <f t="shared" si="11"/>
        <v>1679975.123706393</v>
      </c>
      <c r="H87" s="56">
        <f t="shared" si="7"/>
        <v>-568655.5757961872</v>
      </c>
      <c r="I87" s="56"/>
      <c r="J87" s="80">
        <f t="shared" si="10"/>
        <v>199029.4515286655</v>
      </c>
      <c r="K87" s="28">
        <f t="shared" si="9"/>
        <v>131303306.09258151</v>
      </c>
    </row>
    <row r="88" spans="1:11" ht="14.25">
      <c r="A88" s="54">
        <v>105</v>
      </c>
      <c r="B88" s="67">
        <v>45323</v>
      </c>
      <c r="C88" s="28">
        <f t="shared" si="6"/>
        <v>131303306.09258151</v>
      </c>
      <c r="D88" s="28"/>
      <c r="E88" s="55">
        <f>Additions!J110*$C$5</f>
        <v>0</v>
      </c>
      <c r="F88" s="55">
        <f t="shared" si="8"/>
        <v>1108199.903421388</v>
      </c>
      <c r="G88" s="55">
        <f t="shared" si="11"/>
        <v>1679975.123706393</v>
      </c>
      <c r="H88" s="56">
        <f t="shared" si="7"/>
        <v>-571775.2202850049</v>
      </c>
      <c r="I88" s="56"/>
      <c r="J88" s="80">
        <f t="shared" si="10"/>
        <v>200121.3270997517</v>
      </c>
      <c r="K88" s="28">
        <f t="shared" si="9"/>
        <v>130931652.19939627</v>
      </c>
    </row>
    <row r="89" spans="1:11" ht="14.25">
      <c r="A89" s="54">
        <v>106</v>
      </c>
      <c r="B89" s="67">
        <v>45352</v>
      </c>
      <c r="C89" s="28">
        <f t="shared" si="6"/>
        <v>130931652.19939627</v>
      </c>
      <c r="D89" s="28"/>
      <c r="E89" s="55">
        <f>Additions!J111*$C$5</f>
        <v>0</v>
      </c>
      <c r="F89" s="55">
        <f t="shared" si="8"/>
        <v>1105063.1445629045</v>
      </c>
      <c r="G89" s="55">
        <f t="shared" si="11"/>
        <v>1679975.123706393</v>
      </c>
      <c r="H89" s="56">
        <f t="shared" si="7"/>
        <v>-574911.9791434885</v>
      </c>
      <c r="I89" s="56"/>
      <c r="J89" s="80">
        <f t="shared" si="10"/>
        <v>201219.19270022094</v>
      </c>
      <c r="K89" s="28">
        <f t="shared" si="9"/>
        <v>130557959.412953</v>
      </c>
    </row>
    <row r="90" spans="1:11" ht="14.25">
      <c r="A90" s="54">
        <v>107</v>
      </c>
      <c r="B90" s="67">
        <v>45383</v>
      </c>
      <c r="C90" s="28">
        <f t="shared" si="6"/>
        <v>130557959.412953</v>
      </c>
      <c r="D90" s="28"/>
      <c r="E90" s="55">
        <f>Additions!J112*$C$5</f>
        <v>0</v>
      </c>
      <c r="F90" s="55">
        <f t="shared" si="8"/>
        <v>1101909.1774453232</v>
      </c>
      <c r="G90" s="55">
        <f t="shared" si="11"/>
        <v>1679975.123706393</v>
      </c>
      <c r="H90" s="56">
        <f t="shared" si="7"/>
        <v>-578065.9462610697</v>
      </c>
      <c r="I90" s="56"/>
      <c r="J90" s="80">
        <f t="shared" si="10"/>
        <v>202323.0811913744</v>
      </c>
      <c r="K90" s="28">
        <f t="shared" si="9"/>
        <v>130182216.54788332</v>
      </c>
    </row>
    <row r="91" spans="1:11" ht="14.25">
      <c r="A91" s="54">
        <v>108</v>
      </c>
      <c r="B91" s="67">
        <v>45413</v>
      </c>
      <c r="C91" s="28">
        <f t="shared" si="6"/>
        <v>130182216.54788332</v>
      </c>
      <c r="D91" s="28"/>
      <c r="E91" s="55">
        <f>Additions!J113*$C$5</f>
        <v>0</v>
      </c>
      <c r="F91" s="55">
        <f t="shared" si="8"/>
        <v>1098737.907664135</v>
      </c>
      <c r="G91" s="55">
        <f t="shared" si="11"/>
        <v>1679975.123706393</v>
      </c>
      <c r="H91" s="56">
        <f t="shared" si="7"/>
        <v>-581237.2160422578</v>
      </c>
      <c r="I91" s="56"/>
      <c r="J91" s="80">
        <f t="shared" si="10"/>
        <v>203433.02561479024</v>
      </c>
      <c r="K91" s="28">
        <f t="shared" si="9"/>
        <v>129804412.35745583</v>
      </c>
    </row>
    <row r="92" spans="1:11" ht="14.25">
      <c r="A92" s="54">
        <v>109</v>
      </c>
      <c r="B92" s="67">
        <v>45444</v>
      </c>
      <c r="C92" s="28">
        <f t="shared" si="6"/>
        <v>129804412.35745583</v>
      </c>
      <c r="D92" s="28"/>
      <c r="E92" s="55">
        <f>Additions!J114*$C$5</f>
        <v>0</v>
      </c>
      <c r="F92" s="55">
        <f t="shared" si="8"/>
        <v>1095549.2402969273</v>
      </c>
      <c r="G92" s="55">
        <f t="shared" si="11"/>
        <v>1679975.123706393</v>
      </c>
      <c r="H92" s="56">
        <f t="shared" si="7"/>
        <v>-584425.8834094657</v>
      </c>
      <c r="I92" s="56"/>
      <c r="J92" s="80">
        <f t="shared" si="10"/>
        <v>204549.05919331298</v>
      </c>
      <c r="K92" s="28">
        <f t="shared" si="9"/>
        <v>129424535.53323969</v>
      </c>
    </row>
    <row r="93" spans="1:11" ht="14.25">
      <c r="A93" s="54">
        <v>110</v>
      </c>
      <c r="B93" s="67">
        <v>45474</v>
      </c>
      <c r="C93" s="28">
        <f t="shared" si="6"/>
        <v>129424535.53323969</v>
      </c>
      <c r="D93" s="28"/>
      <c r="E93" s="55">
        <f>Additions!J115*$C$5</f>
        <v>0</v>
      </c>
      <c r="F93" s="55">
        <f t="shared" si="8"/>
        <v>1092343.079900543</v>
      </c>
      <c r="G93" s="55">
        <f t="shared" si="11"/>
        <v>1679975.123706393</v>
      </c>
      <c r="H93" s="56">
        <f t="shared" si="7"/>
        <v>-587632.04380585</v>
      </c>
      <c r="I93" s="56"/>
      <c r="J93" s="80">
        <f t="shared" si="10"/>
        <v>205671.2153320475</v>
      </c>
      <c r="K93" s="28">
        <f t="shared" si="9"/>
        <v>129042574.7047659</v>
      </c>
    </row>
    <row r="94" spans="1:11" ht="14.25">
      <c r="A94" s="54">
        <v>111</v>
      </c>
      <c r="B94" s="67">
        <v>45505</v>
      </c>
      <c r="C94" s="28">
        <f t="shared" si="6"/>
        <v>129042574.7047659</v>
      </c>
      <c r="D94" s="28"/>
      <c r="E94" s="55">
        <f>Additions!J116*$C$5</f>
        <v>0</v>
      </c>
      <c r="F94" s="55">
        <f t="shared" si="8"/>
        <v>1089119.3305082242</v>
      </c>
      <c r="G94" s="55">
        <f t="shared" si="11"/>
        <v>1679975.123706393</v>
      </c>
      <c r="H94" s="56">
        <f t="shared" si="7"/>
        <v>-590855.7931981687</v>
      </c>
      <c r="I94" s="56"/>
      <c r="J94" s="80">
        <f t="shared" si="10"/>
        <v>206799.52761935905</v>
      </c>
      <c r="K94" s="28">
        <f t="shared" si="9"/>
        <v>128658518.43918708</v>
      </c>
    </row>
    <row r="95" spans="1:11" ht="14.25">
      <c r="A95" s="54">
        <v>112</v>
      </c>
      <c r="B95" s="67">
        <v>45536</v>
      </c>
      <c r="C95" s="28">
        <f t="shared" si="6"/>
        <v>128658518.43918708</v>
      </c>
      <c r="D95" s="28"/>
      <c r="E95" s="55">
        <f>Additions!J117*$C$5</f>
        <v>0</v>
      </c>
      <c r="F95" s="55">
        <f t="shared" si="8"/>
        <v>1085877.895626739</v>
      </c>
      <c r="G95" s="55">
        <f t="shared" si="11"/>
        <v>1679975.123706393</v>
      </c>
      <c r="H95" s="56">
        <f t="shared" si="7"/>
        <v>-594097.228079654</v>
      </c>
      <c r="I95" s="56"/>
      <c r="J95" s="80">
        <f t="shared" si="10"/>
        <v>207934.0298278789</v>
      </c>
      <c r="K95" s="28">
        <f t="shared" si="9"/>
        <v>128272355.24093531</v>
      </c>
    </row>
    <row r="96" spans="1:11" ht="14.25">
      <c r="A96" s="54">
        <v>113</v>
      </c>
      <c r="B96" s="67">
        <v>45566</v>
      </c>
      <c r="C96" s="28">
        <f t="shared" si="6"/>
        <v>128272355.24093531</v>
      </c>
      <c r="D96" s="28"/>
      <c r="E96" s="55">
        <f>Additions!J118*$C$5</f>
        <v>0</v>
      </c>
      <c r="F96" s="55">
        <f t="shared" si="8"/>
        <v>1082618.678233494</v>
      </c>
      <c r="G96" s="55">
        <f t="shared" si="11"/>
        <v>1679975.123706393</v>
      </c>
      <c r="H96" s="56">
        <f t="shared" si="7"/>
        <v>-597356.4454728989</v>
      </c>
      <c r="I96" s="56"/>
      <c r="J96" s="80">
        <f t="shared" si="10"/>
        <v>209074.7559155146</v>
      </c>
      <c r="K96" s="28">
        <f t="shared" si="9"/>
        <v>127884073.5513779</v>
      </c>
    </row>
    <row r="97" spans="1:11" ht="14.25">
      <c r="A97" s="54">
        <v>114</v>
      </c>
      <c r="B97" s="67">
        <v>45597</v>
      </c>
      <c r="C97" s="28">
        <f t="shared" si="6"/>
        <v>127884073.5513779</v>
      </c>
      <c r="D97" s="28"/>
      <c r="E97" s="55">
        <f>Additions!J119*$C$5</f>
        <v>0</v>
      </c>
      <c r="F97" s="55">
        <f t="shared" si="8"/>
        <v>1079341.5807736295</v>
      </c>
      <c r="G97" s="55">
        <f t="shared" si="11"/>
        <v>1679975.123706393</v>
      </c>
      <c r="H97" s="56">
        <f t="shared" si="7"/>
        <v>-600633.5429327635</v>
      </c>
      <c r="I97" s="56"/>
      <c r="J97" s="80">
        <f t="shared" si="10"/>
        <v>210221.7400264672</v>
      </c>
      <c r="K97" s="28">
        <f t="shared" si="9"/>
        <v>127493661.74847162</v>
      </c>
    </row>
    <row r="98" spans="1:11" ht="14.25">
      <c r="A98" s="54">
        <v>115</v>
      </c>
      <c r="B98" s="67">
        <v>45627</v>
      </c>
      <c r="C98" s="28">
        <f t="shared" si="6"/>
        <v>127493661.74847162</v>
      </c>
      <c r="D98" s="28"/>
      <c r="E98" s="55">
        <f>Additions!J120*$C$5</f>
        <v>0</v>
      </c>
      <c r="F98" s="55">
        <f t="shared" si="8"/>
        <v>1076046.5051571005</v>
      </c>
      <c r="G98" s="55">
        <f t="shared" si="11"/>
        <v>1679975.123706393</v>
      </c>
      <c r="H98" s="56">
        <f t="shared" si="7"/>
        <v>-603928.6185492924</v>
      </c>
      <c r="I98" s="56"/>
      <c r="J98" s="80">
        <f t="shared" si="10"/>
        <v>211375.01649225235</v>
      </c>
      <c r="K98" s="28">
        <f t="shared" si="9"/>
        <v>127101108.14641458</v>
      </c>
    </row>
    <row r="99" spans="1:11" ht="14.25">
      <c r="A99" s="54">
        <v>116</v>
      </c>
      <c r="B99" s="67">
        <v>45658</v>
      </c>
      <c r="C99" s="28">
        <f t="shared" si="6"/>
        <v>127101108.14641458</v>
      </c>
      <c r="D99" s="28"/>
      <c r="E99" s="55">
        <f>Additions!J121*$C$5</f>
        <v>0</v>
      </c>
      <c r="F99" s="55">
        <f t="shared" si="8"/>
        <v>1072733.352755739</v>
      </c>
      <c r="G99" s="55">
        <f t="shared" si="11"/>
        <v>1679975.123706393</v>
      </c>
      <c r="H99" s="56">
        <f t="shared" si="7"/>
        <v>-607241.770950654</v>
      </c>
      <c r="I99" s="56"/>
      <c r="J99" s="80">
        <f t="shared" si="10"/>
        <v>212534.6198327289</v>
      </c>
      <c r="K99" s="28">
        <f t="shared" si="9"/>
        <v>126706400.99529666</v>
      </c>
    </row>
    <row r="100" spans="1:11" ht="14.25">
      <c r="A100" s="54">
        <v>117</v>
      </c>
      <c r="B100" s="67">
        <v>45689</v>
      </c>
      <c r="C100" s="28">
        <f t="shared" si="6"/>
        <v>126706400.99529666</v>
      </c>
      <c r="D100" s="28"/>
      <c r="E100" s="55">
        <f>Additions!J122*$C$5</f>
        <v>0</v>
      </c>
      <c r="F100" s="55">
        <f t="shared" si="8"/>
        <v>1069402.0244003038</v>
      </c>
      <c r="G100" s="55">
        <f t="shared" si="11"/>
        <v>1679975.123706393</v>
      </c>
      <c r="H100" s="56">
        <f t="shared" si="7"/>
        <v>-610573.0993060891</v>
      </c>
      <c r="I100" s="56"/>
      <c r="J100" s="80">
        <f t="shared" si="10"/>
        <v>213700.58475713118</v>
      </c>
      <c r="K100" s="28">
        <f t="shared" si="9"/>
        <v>126309528.48074771</v>
      </c>
    </row>
    <row r="101" spans="1:11" ht="14.25">
      <c r="A101" s="54">
        <v>118</v>
      </c>
      <c r="B101" s="67">
        <v>45717</v>
      </c>
      <c r="C101" s="28">
        <f t="shared" si="6"/>
        <v>126309528.48074771</v>
      </c>
      <c r="D101" s="28"/>
      <c r="E101" s="55">
        <f>Additions!J123*$C$5</f>
        <v>0</v>
      </c>
      <c r="F101" s="55">
        <f t="shared" si="8"/>
        <v>1066052.4203775106</v>
      </c>
      <c r="G101" s="55">
        <f t="shared" si="11"/>
        <v>1679975.123706393</v>
      </c>
      <c r="H101" s="56">
        <f t="shared" si="7"/>
        <v>-613922.7033288823</v>
      </c>
      <c r="I101" s="56"/>
      <c r="J101" s="80">
        <f t="shared" si="10"/>
        <v>214872.94616510882</v>
      </c>
      <c r="K101" s="28">
        <f t="shared" si="9"/>
        <v>125910478.72358394</v>
      </c>
    </row>
    <row r="102" spans="1:11" ht="14.25">
      <c r="A102" s="54">
        <v>119</v>
      </c>
      <c r="B102" s="67">
        <v>45748</v>
      </c>
      <c r="C102" s="28">
        <f t="shared" si="6"/>
        <v>125910478.72358394</v>
      </c>
      <c r="D102" s="28"/>
      <c r="E102" s="55">
        <f>Additions!J124*$C$5</f>
        <v>0</v>
      </c>
      <c r="F102" s="55">
        <f t="shared" si="8"/>
        <v>1062684.4404270484</v>
      </c>
      <c r="G102" s="55">
        <f t="shared" si="11"/>
        <v>1679975.123706393</v>
      </c>
      <c r="H102" s="56">
        <f t="shared" si="7"/>
        <v>-617290.6832793446</v>
      </c>
      <c r="I102" s="56"/>
      <c r="J102" s="80">
        <f t="shared" si="10"/>
        <v>216051.7391477706</v>
      </c>
      <c r="K102" s="28">
        <f t="shared" si="9"/>
        <v>125509239.77945237</v>
      </c>
    </row>
    <row r="103" spans="1:11" ht="14.25">
      <c r="A103" s="54">
        <v>120</v>
      </c>
      <c r="B103" s="67">
        <v>45778</v>
      </c>
      <c r="C103" s="28">
        <f t="shared" si="6"/>
        <v>125509239.77945237</v>
      </c>
      <c r="D103" s="28"/>
      <c r="E103" s="55">
        <f>Additions!J125*$C$5</f>
        <v>0</v>
      </c>
      <c r="F103" s="55">
        <f t="shared" si="8"/>
        <v>1059297.983738578</v>
      </c>
      <c r="G103" s="55">
        <f t="shared" si="11"/>
        <v>1679975.123706393</v>
      </c>
      <c r="H103" s="56">
        <f t="shared" si="7"/>
        <v>-620677.139967815</v>
      </c>
      <c r="I103" s="56"/>
      <c r="J103" s="80">
        <f t="shared" si="10"/>
        <v>217236.99898873526</v>
      </c>
      <c r="K103" s="28">
        <f t="shared" si="9"/>
        <v>125105799.63847329</v>
      </c>
    </row>
    <row r="104" spans="1:11" ht="14.25">
      <c r="A104" s="54">
        <v>121</v>
      </c>
      <c r="B104" s="67">
        <v>45809</v>
      </c>
      <c r="C104" s="28">
        <f t="shared" si="6"/>
        <v>125105799.63847329</v>
      </c>
      <c r="D104" s="28"/>
      <c r="E104" s="55">
        <f>Additions!J126*$C$5</f>
        <v>0</v>
      </c>
      <c r="F104" s="55">
        <f t="shared" si="8"/>
        <v>1055892.9489487144</v>
      </c>
      <c r="G104" s="55">
        <f t="shared" si="11"/>
        <v>1679975.123706393</v>
      </c>
      <c r="H104" s="56">
        <f t="shared" si="7"/>
        <v>-624082.1747576785</v>
      </c>
      <c r="I104" s="56"/>
      <c r="J104" s="80">
        <f t="shared" si="10"/>
        <v>218428.76116518746</v>
      </c>
      <c r="K104" s="28">
        <f t="shared" si="9"/>
        <v>124700146.2248808</v>
      </c>
    </row>
    <row r="105" spans="1:11" ht="14.25">
      <c r="A105" s="54">
        <v>122</v>
      </c>
      <c r="B105" s="67">
        <v>45839</v>
      </c>
      <c r="C105" s="28">
        <f t="shared" si="6"/>
        <v>124700146.2248808</v>
      </c>
      <c r="D105" s="28"/>
      <c r="E105" s="55">
        <f>Additions!J127*$C$5</f>
        <v>0</v>
      </c>
      <c r="F105" s="55">
        <f t="shared" si="8"/>
        <v>1052469.234137994</v>
      </c>
      <c r="G105" s="55">
        <f t="shared" si="11"/>
        <v>1679975.123706393</v>
      </c>
      <c r="H105" s="56">
        <f t="shared" si="7"/>
        <v>-627505.8895683989</v>
      </c>
      <c r="I105" s="56"/>
      <c r="J105" s="80">
        <f t="shared" si="10"/>
        <v>219627.0613489396</v>
      </c>
      <c r="K105" s="28">
        <f t="shared" si="9"/>
        <v>124292267.39666134</v>
      </c>
    </row>
    <row r="106" spans="1:11" ht="14.25">
      <c r="A106" s="54">
        <v>123</v>
      </c>
      <c r="B106" s="67">
        <v>45870</v>
      </c>
      <c r="C106" s="28">
        <f t="shared" si="6"/>
        <v>124292267.39666134</v>
      </c>
      <c r="D106" s="28"/>
      <c r="E106" s="55">
        <f>Additions!J128*$C$5</f>
        <v>0</v>
      </c>
      <c r="F106" s="55">
        <f t="shared" si="8"/>
        <v>1049026.7368278217</v>
      </c>
      <c r="G106" s="55">
        <f t="shared" si="11"/>
        <v>1679975.123706393</v>
      </c>
      <c r="H106" s="56">
        <f t="shared" si="7"/>
        <v>-630948.3868785712</v>
      </c>
      <c r="I106" s="56"/>
      <c r="J106" s="80">
        <f t="shared" si="10"/>
        <v>220831.93540749993</v>
      </c>
      <c r="K106" s="28">
        <f t="shared" si="9"/>
        <v>123882150.94519027</v>
      </c>
    </row>
    <row r="107" spans="1:11" ht="14.25">
      <c r="A107" s="54">
        <v>124</v>
      </c>
      <c r="B107" s="67">
        <v>45901</v>
      </c>
      <c r="C107" s="28">
        <f t="shared" si="6"/>
        <v>123882150.94519027</v>
      </c>
      <c r="D107" s="28"/>
      <c r="E107" s="55">
        <f>Additions!J129*$C$5</f>
        <v>0</v>
      </c>
      <c r="F107" s="55">
        <f t="shared" si="8"/>
        <v>1045565.3539774058</v>
      </c>
      <c r="G107" s="55">
        <f t="shared" si="11"/>
        <v>1679975.123706393</v>
      </c>
      <c r="H107" s="56">
        <f t="shared" si="7"/>
        <v>-634409.7697289871</v>
      </c>
      <c r="I107" s="56"/>
      <c r="J107" s="80">
        <f t="shared" si="10"/>
        <v>222043.41940514548</v>
      </c>
      <c r="K107" s="28">
        <f t="shared" si="9"/>
        <v>123469784.59486644</v>
      </c>
    </row>
    <row r="108" spans="1:11" ht="14.25">
      <c r="A108" s="54">
        <v>125</v>
      </c>
      <c r="B108" s="67">
        <v>45931</v>
      </c>
      <c r="C108" s="28">
        <f t="shared" si="6"/>
        <v>123469784.59486644</v>
      </c>
      <c r="D108" s="28"/>
      <c r="E108" s="55">
        <f>Additions!J130*$C$5</f>
        <v>0</v>
      </c>
      <c r="F108" s="55">
        <f t="shared" si="8"/>
        <v>1042084.9819806727</v>
      </c>
      <c r="G108" s="55">
        <f t="shared" si="11"/>
        <v>1679975.123706393</v>
      </c>
      <c r="H108" s="56">
        <f t="shared" si="7"/>
        <v>-637890.1417257203</v>
      </c>
      <c r="I108" s="56"/>
      <c r="J108" s="80">
        <f t="shared" si="10"/>
        <v>223261.54960400207</v>
      </c>
      <c r="K108" s="28">
        <f t="shared" si="9"/>
        <v>123055156.0027447</v>
      </c>
    </row>
    <row r="109" spans="1:11" ht="14.25">
      <c r="A109" s="54">
        <v>126</v>
      </c>
      <c r="B109" s="67">
        <v>45962</v>
      </c>
      <c r="C109" s="28">
        <f t="shared" si="6"/>
        <v>123055156.0027447</v>
      </c>
      <c r="D109" s="28"/>
      <c r="E109" s="55">
        <f>Additions!J131*$C$5</f>
        <v>0</v>
      </c>
      <c r="F109" s="55">
        <f t="shared" si="8"/>
        <v>1038585.5166631653</v>
      </c>
      <c r="G109" s="55">
        <f t="shared" si="11"/>
        <v>1679975.123706393</v>
      </c>
      <c r="H109" s="56">
        <f t="shared" si="7"/>
        <v>-641389.6070432276</v>
      </c>
      <c r="I109" s="56"/>
      <c r="J109" s="80">
        <f t="shared" si="10"/>
        <v>224486.36246512967</v>
      </c>
      <c r="K109" s="28">
        <f t="shared" si="9"/>
        <v>122638252.7581666</v>
      </c>
    </row>
    <row r="110" spans="1:11" ht="14.25">
      <c r="A110" s="54">
        <v>127</v>
      </c>
      <c r="B110" s="67">
        <v>45992</v>
      </c>
      <c r="C110" s="28">
        <f t="shared" si="6"/>
        <v>122638252.7581666</v>
      </c>
      <c r="D110" s="28"/>
      <c r="E110" s="55">
        <f>Additions!J132*$C$5</f>
        <v>0</v>
      </c>
      <c r="F110" s="55">
        <f t="shared" si="8"/>
        <v>1035066.853278926</v>
      </c>
      <c r="G110" s="55">
        <f t="shared" si="11"/>
        <v>1679975.123706393</v>
      </c>
      <c r="H110" s="56">
        <f t="shared" si="7"/>
        <v>-644908.270427467</v>
      </c>
      <c r="I110" s="56"/>
      <c r="J110" s="80">
        <f t="shared" si="10"/>
        <v>225717.89464961342</v>
      </c>
      <c r="K110" s="28">
        <f t="shared" si="9"/>
        <v>122219062.38238873</v>
      </c>
    </row>
    <row r="111" spans="1:11" ht="14.25">
      <c r="A111" s="54">
        <v>128</v>
      </c>
      <c r="B111" s="67">
        <v>46023</v>
      </c>
      <c r="C111" s="28">
        <f t="shared" si="6"/>
        <v>122219062.38238873</v>
      </c>
      <c r="D111" s="28"/>
      <c r="E111" s="55">
        <f>Additions!J133*$C$5</f>
        <v>0</v>
      </c>
      <c r="F111" s="55">
        <f t="shared" si="8"/>
        <v>1031528.8865073608</v>
      </c>
      <c r="G111" s="55">
        <f t="shared" si="11"/>
        <v>1679975.123706393</v>
      </c>
      <c r="H111" s="56">
        <f t="shared" si="7"/>
        <v>-648446.2371990321</v>
      </c>
      <c r="I111" s="56"/>
      <c r="J111" s="80">
        <f t="shared" si="10"/>
        <v>226956.18301966123</v>
      </c>
      <c r="K111" s="28">
        <f t="shared" si="9"/>
        <v>121797572.32820937</v>
      </c>
    </row>
    <row r="112" spans="1:11" ht="14.25">
      <c r="A112" s="54">
        <v>129</v>
      </c>
      <c r="B112" s="67">
        <v>46054</v>
      </c>
      <c r="C112" s="28">
        <f t="shared" si="6"/>
        <v>121797572.32820937</v>
      </c>
      <c r="D112" s="28"/>
      <c r="E112" s="55">
        <f>Additions!J134*$C$5</f>
        <v>0</v>
      </c>
      <c r="F112" s="55">
        <f t="shared" si="8"/>
        <v>1027971.510450087</v>
      </c>
      <c r="G112" s="55">
        <f t="shared" si="11"/>
        <v>1679975.123706393</v>
      </c>
      <c r="H112" s="56">
        <f t="shared" si="7"/>
        <v>-652003.6132563059</v>
      </c>
      <c r="I112" s="56"/>
      <c r="J112" s="80">
        <f t="shared" si="10"/>
        <v>228201.26463970705</v>
      </c>
      <c r="K112" s="28">
        <f t="shared" si="9"/>
        <v>121373769.97959277</v>
      </c>
    </row>
    <row r="113" spans="1:11" ht="14.25">
      <c r="A113" s="54">
        <v>130</v>
      </c>
      <c r="B113" s="67">
        <v>46082</v>
      </c>
      <c r="C113" s="28">
        <f t="shared" si="6"/>
        <v>121373769.97959277</v>
      </c>
      <c r="D113" s="28"/>
      <c r="E113" s="55">
        <f>Additions!J135*$C$5</f>
        <v>0</v>
      </c>
      <c r="F113" s="55">
        <f t="shared" si="8"/>
        <v>1024394.6186277629</v>
      </c>
      <c r="G113" s="55">
        <f t="shared" si="11"/>
        <v>1679975.123706393</v>
      </c>
      <c r="H113" s="56">
        <f t="shared" si="7"/>
        <v>-655580.50507863</v>
      </c>
      <c r="I113" s="56"/>
      <c r="J113" s="80">
        <f t="shared" si="10"/>
        <v>229453.1767775205</v>
      </c>
      <c r="K113" s="28">
        <f t="shared" si="9"/>
        <v>120947642.65129165</v>
      </c>
    </row>
    <row r="114" spans="1:11" ht="14.25">
      <c r="A114" s="54">
        <v>131</v>
      </c>
      <c r="B114" s="67">
        <v>46113</v>
      </c>
      <c r="C114" s="28">
        <f aca="true" t="shared" si="12" ref="C114:C177">K113</f>
        <v>120947642.65129165</v>
      </c>
      <c r="D114" s="28"/>
      <c r="E114" s="55">
        <f>Additions!J136*$C$5</f>
        <v>0</v>
      </c>
      <c r="F114" s="55">
        <f t="shared" si="8"/>
        <v>1020798.1039769015</v>
      </c>
      <c r="G114" s="55">
        <f t="shared" si="11"/>
        <v>1679975.123706393</v>
      </c>
      <c r="H114" s="56">
        <f aca="true" t="shared" si="13" ref="H114:H177">E114+F114-G114</f>
        <v>-659177.0197294914</v>
      </c>
      <c r="I114" s="56"/>
      <c r="J114" s="80">
        <f t="shared" si="10"/>
        <v>230711.95690532197</v>
      </c>
      <c r="K114" s="28">
        <f t="shared" si="9"/>
        <v>120519177.5884675</v>
      </c>
    </row>
    <row r="115" spans="1:11" ht="14.25">
      <c r="A115" s="54">
        <v>132</v>
      </c>
      <c r="B115" s="67">
        <v>46143</v>
      </c>
      <c r="C115" s="28">
        <f t="shared" si="12"/>
        <v>120519177.5884675</v>
      </c>
      <c r="D115" s="28"/>
      <c r="E115" s="55">
        <f>Additions!J137*$C$5</f>
        <v>0</v>
      </c>
      <c r="F115" s="55">
        <f aca="true" t="shared" si="14" ref="F115:F178">K114*$C$3</f>
        <v>1017181.8588466656</v>
      </c>
      <c r="G115" s="55">
        <f t="shared" si="11"/>
        <v>1679975.123706393</v>
      </c>
      <c r="H115" s="56">
        <f t="shared" si="13"/>
        <v>-662793.2648597274</v>
      </c>
      <c r="I115" s="56"/>
      <c r="J115" s="80">
        <f t="shared" si="10"/>
        <v>231977.64270090454</v>
      </c>
      <c r="K115" s="28">
        <f t="shared" si="9"/>
        <v>120088361.96630868</v>
      </c>
    </row>
    <row r="116" spans="1:11" ht="14.25">
      <c r="A116" s="54">
        <v>133</v>
      </c>
      <c r="B116" s="67">
        <v>46174</v>
      </c>
      <c r="C116" s="28">
        <f t="shared" si="12"/>
        <v>120088361.96630868</v>
      </c>
      <c r="D116" s="28"/>
      <c r="E116" s="55">
        <f>Additions!J138*$C$5</f>
        <v>0</v>
      </c>
      <c r="F116" s="55">
        <f t="shared" si="14"/>
        <v>1013545.7749956453</v>
      </c>
      <c r="G116" s="55">
        <f t="shared" si="11"/>
        <v>1679975.123706393</v>
      </c>
      <c r="H116" s="56">
        <f t="shared" si="13"/>
        <v>-666429.3487107477</v>
      </c>
      <c r="I116" s="56"/>
      <c r="J116" s="80">
        <f t="shared" si="10"/>
        <v>233250.27204876166</v>
      </c>
      <c r="K116" s="28">
        <f t="shared" si="9"/>
        <v>119655182.8896467</v>
      </c>
    </row>
    <row r="117" spans="1:11" ht="14.25">
      <c r="A117" s="54">
        <v>134</v>
      </c>
      <c r="B117" s="67">
        <v>46204</v>
      </c>
      <c r="C117" s="28">
        <f t="shared" si="12"/>
        <v>119655182.8896467</v>
      </c>
      <c r="D117" s="28"/>
      <c r="E117" s="55">
        <f>Additions!J139*$C$5</f>
        <v>0</v>
      </c>
      <c r="F117" s="55">
        <f t="shared" si="14"/>
        <v>1009889.743588618</v>
      </c>
      <c r="G117" s="55">
        <f t="shared" si="11"/>
        <v>1679975.123706393</v>
      </c>
      <c r="H117" s="56">
        <f t="shared" si="13"/>
        <v>-670085.3801177749</v>
      </c>
      <c r="I117" s="56"/>
      <c r="J117" s="80">
        <f t="shared" si="10"/>
        <v>234529.8830412212</v>
      </c>
      <c r="K117" s="28">
        <f t="shared" si="9"/>
        <v>119219627.39257012</v>
      </c>
    </row>
    <row r="118" spans="1:11" ht="14.25">
      <c r="A118" s="54">
        <v>135</v>
      </c>
      <c r="B118" s="67">
        <v>46235</v>
      </c>
      <c r="C118" s="28">
        <f t="shared" si="12"/>
        <v>119219627.39257012</v>
      </c>
      <c r="D118" s="28"/>
      <c r="E118" s="55">
        <f>Additions!J140*$C$5</f>
        <v>0</v>
      </c>
      <c r="F118" s="55">
        <f t="shared" si="14"/>
        <v>1006213.6551932918</v>
      </c>
      <c r="G118" s="55">
        <f t="shared" si="11"/>
        <v>1679975.123706393</v>
      </c>
      <c r="H118" s="56">
        <f t="shared" si="13"/>
        <v>-673761.4685131011</v>
      </c>
      <c r="I118" s="56"/>
      <c r="J118" s="80">
        <f t="shared" si="10"/>
        <v>235816.51397958538</v>
      </c>
      <c r="K118" s="28">
        <f t="shared" si="9"/>
        <v>118781682.43803662</v>
      </c>
    </row>
    <row r="119" spans="1:11" ht="14.25">
      <c r="A119" s="54">
        <v>136</v>
      </c>
      <c r="B119" s="67">
        <v>46266</v>
      </c>
      <c r="C119" s="28">
        <f t="shared" si="12"/>
        <v>118781682.43803662</v>
      </c>
      <c r="D119" s="28"/>
      <c r="E119" s="55">
        <f>Additions!J141*$C$5</f>
        <v>0</v>
      </c>
      <c r="F119" s="55">
        <f t="shared" si="14"/>
        <v>1002517.3997770291</v>
      </c>
      <c r="G119" s="55">
        <f t="shared" si="11"/>
        <v>1679975.123706393</v>
      </c>
      <c r="H119" s="56">
        <f t="shared" si="13"/>
        <v>-677457.7239293639</v>
      </c>
      <c r="I119" s="56"/>
      <c r="J119" s="80">
        <f t="shared" si="10"/>
        <v>237110.20337527734</v>
      </c>
      <c r="K119" s="28">
        <f t="shared" si="9"/>
        <v>118341334.91748253</v>
      </c>
    </row>
    <row r="120" spans="1:11" ht="14.25">
      <c r="A120" s="54">
        <v>137</v>
      </c>
      <c r="B120" s="67">
        <v>46296</v>
      </c>
      <c r="C120" s="28">
        <f t="shared" si="12"/>
        <v>118341334.91748253</v>
      </c>
      <c r="D120" s="28"/>
      <c r="E120" s="55">
        <f>Additions!J142*$C$5</f>
        <v>0</v>
      </c>
      <c r="F120" s="55">
        <f t="shared" si="14"/>
        <v>998800.8667035524</v>
      </c>
      <c r="G120" s="55">
        <f t="shared" si="11"/>
        <v>1679975.123706393</v>
      </c>
      <c r="H120" s="56">
        <f t="shared" si="13"/>
        <v>-681174.2570028405</v>
      </c>
      <c r="I120" s="56"/>
      <c r="J120" s="80">
        <f t="shared" si="10"/>
        <v>238410.98995099418</v>
      </c>
      <c r="K120" s="28">
        <f t="shared" si="9"/>
        <v>117898571.6504307</v>
      </c>
    </row>
    <row r="121" spans="1:11" ht="14.25">
      <c r="A121" s="54">
        <v>138</v>
      </c>
      <c r="B121" s="67">
        <v>46327</v>
      </c>
      <c r="C121" s="28">
        <f t="shared" si="12"/>
        <v>117898571.6504307</v>
      </c>
      <c r="D121" s="28"/>
      <c r="E121" s="55">
        <f>Additions!J143*$C$5</f>
        <v>0</v>
      </c>
      <c r="F121" s="55">
        <f t="shared" si="14"/>
        <v>995063.944729635</v>
      </c>
      <c r="G121" s="55">
        <f t="shared" si="11"/>
        <v>1679975.123706393</v>
      </c>
      <c r="H121" s="56">
        <f t="shared" si="13"/>
        <v>-684911.1789767579</v>
      </c>
      <c r="I121" s="56"/>
      <c r="J121" s="80">
        <f t="shared" si="10"/>
        <v>239718.91264186526</v>
      </c>
      <c r="K121" s="28">
        <f t="shared" si="9"/>
        <v>117453379.3840958</v>
      </c>
    </row>
    <row r="122" spans="1:11" ht="14.25">
      <c r="A122" s="54">
        <v>139</v>
      </c>
      <c r="B122" s="67">
        <v>46357</v>
      </c>
      <c r="C122" s="28">
        <f t="shared" si="12"/>
        <v>117453379.3840958</v>
      </c>
      <c r="D122" s="28"/>
      <c r="E122" s="55">
        <f>Additions!J144*$C$5</f>
        <v>0</v>
      </c>
      <c r="F122" s="55">
        <f t="shared" si="14"/>
        <v>991306.5220017686</v>
      </c>
      <c r="G122" s="55">
        <f t="shared" si="11"/>
        <v>1679975.123706393</v>
      </c>
      <c r="H122" s="56">
        <f t="shared" si="13"/>
        <v>-688668.6017046244</v>
      </c>
      <c r="I122" s="56"/>
      <c r="J122" s="80">
        <f t="shared" si="10"/>
        <v>241034.01059661852</v>
      </c>
      <c r="K122" s="28">
        <f t="shared" si="9"/>
        <v>117005744.79298781</v>
      </c>
    </row>
    <row r="123" spans="1:11" ht="14.25">
      <c r="A123" s="54">
        <v>140</v>
      </c>
      <c r="B123" s="67">
        <v>46388</v>
      </c>
      <c r="C123" s="28">
        <f t="shared" si="12"/>
        <v>117005744.79298781</v>
      </c>
      <c r="D123" s="28"/>
      <c r="E123" s="55">
        <f>Additions!J145*$C$5</f>
        <v>0</v>
      </c>
      <c r="F123" s="55">
        <f t="shared" si="14"/>
        <v>987528.4860528171</v>
      </c>
      <c r="G123" s="55">
        <f t="shared" si="11"/>
        <v>1679975.123706393</v>
      </c>
      <c r="H123" s="56">
        <f t="shared" si="13"/>
        <v>-692446.6376535759</v>
      </c>
      <c r="I123" s="56"/>
      <c r="J123" s="80">
        <f t="shared" si="10"/>
        <v>242356.32317875154</v>
      </c>
      <c r="K123" s="28">
        <f t="shared" si="9"/>
        <v>116555654.47851299</v>
      </c>
    </row>
    <row r="124" spans="1:11" ht="14.25">
      <c r="A124" s="54">
        <v>141</v>
      </c>
      <c r="B124" s="67">
        <v>46419</v>
      </c>
      <c r="C124" s="28">
        <f t="shared" si="12"/>
        <v>116555654.47851299</v>
      </c>
      <c r="D124" s="28"/>
      <c r="E124" s="55">
        <f>Additions!J146*$C$5</f>
        <v>0</v>
      </c>
      <c r="F124" s="55">
        <f t="shared" si="14"/>
        <v>983729.7237986496</v>
      </c>
      <c r="G124" s="55">
        <f t="shared" si="11"/>
        <v>1679975.123706393</v>
      </c>
      <c r="H124" s="56">
        <f t="shared" si="13"/>
        <v>-696245.3999077433</v>
      </c>
      <c r="I124" s="56"/>
      <c r="J124" s="80">
        <f t="shared" si="10"/>
        <v>243685.88996771016</v>
      </c>
      <c r="K124" s="28">
        <f t="shared" si="9"/>
        <v>116103094.96857294</v>
      </c>
    </row>
    <row r="125" spans="1:11" ht="14.25">
      <c r="A125" s="54">
        <v>142</v>
      </c>
      <c r="B125" s="67">
        <v>46447</v>
      </c>
      <c r="C125" s="28">
        <f t="shared" si="12"/>
        <v>116103094.96857294</v>
      </c>
      <c r="D125" s="28"/>
      <c r="E125" s="55">
        <f>Additions!J147*$C$5</f>
        <v>0</v>
      </c>
      <c r="F125" s="55">
        <f t="shared" si="14"/>
        <v>979910.1215347556</v>
      </c>
      <c r="G125" s="55">
        <f t="shared" si="11"/>
        <v>1679975.123706393</v>
      </c>
      <c r="H125" s="56">
        <f t="shared" si="13"/>
        <v>-700065.0021716374</v>
      </c>
      <c r="I125" s="56"/>
      <c r="J125" s="80">
        <f t="shared" si="10"/>
        <v>245022.75076007308</v>
      </c>
      <c r="K125" s="28">
        <f t="shared" si="9"/>
        <v>115648052.71716139</v>
      </c>
    </row>
    <row r="126" spans="1:11" ht="14.25">
      <c r="A126" s="54">
        <v>143</v>
      </c>
      <c r="B126" s="67">
        <v>46478</v>
      </c>
      <c r="C126" s="28">
        <f t="shared" si="12"/>
        <v>115648052.71716139</v>
      </c>
      <c r="D126" s="28"/>
      <c r="E126" s="55">
        <f>Additions!J148*$C$5</f>
        <v>0</v>
      </c>
      <c r="F126" s="55">
        <f t="shared" si="14"/>
        <v>976069.564932842</v>
      </c>
      <c r="G126" s="55">
        <f t="shared" si="11"/>
        <v>1679975.123706393</v>
      </c>
      <c r="H126" s="56">
        <f t="shared" si="13"/>
        <v>-703905.5587735509</v>
      </c>
      <c r="I126" s="56"/>
      <c r="J126" s="80">
        <f t="shared" si="10"/>
        <v>246366.9455707428</v>
      </c>
      <c r="K126" s="28">
        <f t="shared" si="9"/>
        <v>115190514.10395858</v>
      </c>
    </row>
    <row r="127" spans="1:11" ht="14.25">
      <c r="A127" s="54">
        <v>144</v>
      </c>
      <c r="B127" s="67">
        <v>46508</v>
      </c>
      <c r="C127" s="28">
        <f t="shared" si="12"/>
        <v>115190514.10395858</v>
      </c>
      <c r="D127" s="28"/>
      <c r="E127" s="55">
        <f>Additions!J149*$C$5</f>
        <v>0</v>
      </c>
      <c r="F127" s="55">
        <f t="shared" si="14"/>
        <v>972207.9390374103</v>
      </c>
      <c r="G127" s="55">
        <f t="shared" si="11"/>
        <v>1679975.123706393</v>
      </c>
      <c r="H127" s="56">
        <f t="shared" si="13"/>
        <v>-707767.1846689826</v>
      </c>
      <c r="I127" s="56"/>
      <c r="J127" s="80">
        <f t="shared" si="10"/>
        <v>247718.5146341439</v>
      </c>
      <c r="K127" s="28">
        <f t="shared" si="9"/>
        <v>114730465.43392374</v>
      </c>
    </row>
    <row r="128" spans="1:11" ht="14.25">
      <c r="A128" s="54">
        <v>145</v>
      </c>
      <c r="B128" s="67">
        <v>46539</v>
      </c>
      <c r="C128" s="28">
        <f t="shared" si="12"/>
        <v>114730465.43392374</v>
      </c>
      <c r="D128" s="28"/>
      <c r="E128" s="55">
        <f>Additions!J150*$C$5</f>
        <v>0</v>
      </c>
      <c r="F128" s="55">
        <f t="shared" si="14"/>
        <v>968325.1282623163</v>
      </c>
      <c r="G128" s="55">
        <f t="shared" si="11"/>
        <v>1679975.123706393</v>
      </c>
      <c r="H128" s="56">
        <f t="shared" si="13"/>
        <v>-711649.9954440766</v>
      </c>
      <c r="I128" s="56"/>
      <c r="J128" s="80">
        <f t="shared" si="10"/>
        <v>249077.4984054268</v>
      </c>
      <c r="K128" s="28">
        <f t="shared" si="9"/>
        <v>114267892.93688509</v>
      </c>
    </row>
    <row r="129" spans="1:11" ht="14.25">
      <c r="A129" s="54">
        <v>146</v>
      </c>
      <c r="B129" s="67">
        <v>46569</v>
      </c>
      <c r="C129" s="28">
        <f t="shared" si="12"/>
        <v>114267892.93688509</v>
      </c>
      <c r="D129" s="28"/>
      <c r="E129" s="55">
        <f>Additions!J151*$C$5</f>
        <v>0</v>
      </c>
      <c r="F129" s="55">
        <f t="shared" si="14"/>
        <v>964421.0163873101</v>
      </c>
      <c r="G129" s="55">
        <f t="shared" si="11"/>
        <v>1679975.123706393</v>
      </c>
      <c r="H129" s="56">
        <f t="shared" si="13"/>
        <v>-715554.1073190828</v>
      </c>
      <c r="I129" s="56"/>
      <c r="J129" s="80">
        <f t="shared" si="10"/>
        <v>250443.93756167896</v>
      </c>
      <c r="K129" s="28">
        <f t="shared" si="9"/>
        <v>113802782.76712768</v>
      </c>
    </row>
    <row r="130" spans="1:11" ht="14.25">
      <c r="A130" s="54">
        <v>147</v>
      </c>
      <c r="B130" s="67">
        <v>46600</v>
      </c>
      <c r="C130" s="28">
        <f t="shared" si="12"/>
        <v>113802782.76712768</v>
      </c>
      <c r="D130" s="28"/>
      <c r="E130" s="55">
        <f>Additions!J152*$C$5</f>
        <v>0</v>
      </c>
      <c r="F130" s="55">
        <f t="shared" si="14"/>
        <v>960495.4865545576</v>
      </c>
      <c r="G130" s="55">
        <f t="shared" si="11"/>
        <v>1679975.123706393</v>
      </c>
      <c r="H130" s="56">
        <f t="shared" si="13"/>
        <v>-719479.6371518354</v>
      </c>
      <c r="I130" s="56"/>
      <c r="J130" s="80">
        <f t="shared" si="10"/>
        <v>251817.87300314236</v>
      </c>
      <c r="K130" s="28">
        <f t="shared" si="9"/>
        <v>113335121.002979</v>
      </c>
    </row>
    <row r="131" spans="1:11" ht="14.25">
      <c r="A131" s="54">
        <v>148</v>
      </c>
      <c r="B131" s="67">
        <v>46631</v>
      </c>
      <c r="C131" s="28">
        <f t="shared" si="12"/>
        <v>113335121.002979</v>
      </c>
      <c r="D131" s="28"/>
      <c r="E131" s="55">
        <f>Additions!J153*$C$5</f>
        <v>0</v>
      </c>
      <c r="F131" s="55">
        <f t="shared" si="14"/>
        <v>956548.4212651426</v>
      </c>
      <c r="G131" s="55">
        <f t="shared" si="11"/>
        <v>1679975.123706393</v>
      </c>
      <c r="H131" s="56">
        <f t="shared" si="13"/>
        <v>-723426.7024412503</v>
      </c>
      <c r="I131" s="56"/>
      <c r="J131" s="80">
        <f t="shared" si="10"/>
        <v>253199.3458544376</v>
      </c>
      <c r="K131" s="28">
        <f t="shared" si="9"/>
        <v>112864893.64639217</v>
      </c>
    </row>
    <row r="132" spans="1:11" ht="14.25">
      <c r="A132" s="54">
        <v>149</v>
      </c>
      <c r="B132" s="67">
        <v>46661</v>
      </c>
      <c r="C132" s="28">
        <f t="shared" si="12"/>
        <v>112864893.64639217</v>
      </c>
      <c r="D132" s="28"/>
      <c r="E132" s="55">
        <f>Additions!J154*$C$5</f>
        <v>0</v>
      </c>
      <c r="F132" s="55">
        <f t="shared" si="14"/>
        <v>952579.7023755498</v>
      </c>
      <c r="G132" s="55">
        <f t="shared" si="11"/>
        <v>1679975.123706393</v>
      </c>
      <c r="H132" s="56">
        <f t="shared" si="13"/>
        <v>-727395.4213308431</v>
      </c>
      <c r="I132" s="56"/>
      <c r="J132" s="80">
        <f t="shared" si="10"/>
        <v>254588.39746579507</v>
      </c>
      <c r="K132" s="28">
        <f t="shared" si="9"/>
        <v>112392086.62252712</v>
      </c>
    </row>
    <row r="133" spans="1:11" ht="14.25">
      <c r="A133" s="54">
        <v>150</v>
      </c>
      <c r="B133" s="67">
        <v>46692</v>
      </c>
      <c r="C133" s="28">
        <f t="shared" si="12"/>
        <v>112392086.62252712</v>
      </c>
      <c r="D133" s="28"/>
      <c r="E133" s="55">
        <f>Additions!J155*$C$5</f>
        <v>0</v>
      </c>
      <c r="F133" s="55">
        <f t="shared" si="14"/>
        <v>948589.2110941289</v>
      </c>
      <c r="G133" s="55">
        <f t="shared" si="11"/>
        <v>1679975.123706393</v>
      </c>
      <c r="H133" s="56">
        <f t="shared" si="13"/>
        <v>-731385.912612264</v>
      </c>
      <c r="I133" s="56"/>
      <c r="J133" s="80">
        <f t="shared" si="10"/>
        <v>255985.0694142924</v>
      </c>
      <c r="K133" s="28">
        <f t="shared" si="9"/>
        <v>111916685.77932915</v>
      </c>
    </row>
    <row r="134" spans="1:11" ht="14.25">
      <c r="A134" s="54">
        <v>151</v>
      </c>
      <c r="B134" s="67">
        <v>46722</v>
      </c>
      <c r="C134" s="28">
        <f t="shared" si="12"/>
        <v>111916685.77932915</v>
      </c>
      <c r="D134" s="28"/>
      <c r="E134" s="55">
        <f>Additions!J156*$C$5</f>
        <v>0</v>
      </c>
      <c r="F134" s="55">
        <f t="shared" si="14"/>
        <v>944576.827977538</v>
      </c>
      <c r="G134" s="55">
        <f t="shared" si="11"/>
        <v>1679975.123706393</v>
      </c>
      <c r="H134" s="56">
        <f t="shared" si="13"/>
        <v>-735398.295728855</v>
      </c>
      <c r="I134" s="56"/>
      <c r="J134" s="80">
        <f t="shared" si="10"/>
        <v>257389.4035050992</v>
      </c>
      <c r="K134" s="28">
        <f t="shared" si="9"/>
        <v>111438676.88710539</v>
      </c>
    </row>
    <row r="135" spans="1:11" ht="14.25">
      <c r="A135" s="54">
        <v>152</v>
      </c>
      <c r="B135" s="67">
        <v>46753</v>
      </c>
      <c r="C135" s="28">
        <f t="shared" si="12"/>
        <v>111438676.88710539</v>
      </c>
      <c r="D135" s="28"/>
      <c r="E135" s="55">
        <f>Additions!J157*$C$5</f>
        <v>0</v>
      </c>
      <c r="F135" s="55">
        <f t="shared" si="14"/>
        <v>940542.4329271695</v>
      </c>
      <c r="G135" s="55">
        <f t="shared" si="11"/>
        <v>1679975.123706393</v>
      </c>
      <c r="H135" s="56">
        <f t="shared" si="13"/>
        <v>-739432.6907792235</v>
      </c>
      <c r="I135" s="56"/>
      <c r="J135" s="80">
        <f t="shared" si="10"/>
        <v>258801.4417727282</v>
      </c>
      <c r="K135" s="28">
        <f t="shared" si="9"/>
        <v>110958045.6380989</v>
      </c>
    </row>
    <row r="136" spans="1:11" ht="14.25">
      <c r="A136" s="54">
        <v>153</v>
      </c>
      <c r="B136" s="67">
        <v>46784</v>
      </c>
      <c r="C136" s="28">
        <f t="shared" si="12"/>
        <v>110958045.6380989</v>
      </c>
      <c r="D136" s="28"/>
      <c r="E136" s="55">
        <f>Additions!J158*$C$5</f>
        <v>0</v>
      </c>
      <c r="F136" s="55">
        <f t="shared" si="14"/>
        <v>936485.9051855546</v>
      </c>
      <c r="G136" s="55">
        <f t="shared" si="11"/>
        <v>1679975.123706393</v>
      </c>
      <c r="H136" s="56">
        <f t="shared" si="13"/>
        <v>-743489.2185208383</v>
      </c>
      <c r="I136" s="56"/>
      <c r="J136" s="80">
        <f t="shared" si="10"/>
        <v>260221.2264822934</v>
      </c>
      <c r="K136" s="28">
        <f t="shared" si="9"/>
        <v>110474777.64606033</v>
      </c>
    </row>
    <row r="137" spans="1:11" ht="14.25">
      <c r="A137" s="54">
        <v>154</v>
      </c>
      <c r="B137" s="67">
        <v>46813</v>
      </c>
      <c r="C137" s="28">
        <f t="shared" si="12"/>
        <v>110474777.64606033</v>
      </c>
      <c r="D137" s="28"/>
      <c r="E137" s="55">
        <f>Additions!J159*$C$5</f>
        <v>0</v>
      </c>
      <c r="F137" s="55">
        <f t="shared" si="14"/>
        <v>932407.1233327491</v>
      </c>
      <c r="G137" s="55">
        <f t="shared" si="11"/>
        <v>1679975.123706393</v>
      </c>
      <c r="H137" s="56">
        <f t="shared" si="13"/>
        <v>-747568.0003736438</v>
      </c>
      <c r="I137" s="56"/>
      <c r="J137" s="80">
        <f t="shared" si="10"/>
        <v>261648.80013077531</v>
      </c>
      <c r="K137" s="28">
        <f aca="true" t="shared" si="15" ref="K137:K200">C137+E137+F137-G137+J137</f>
        <v>109988858.44581746</v>
      </c>
    </row>
    <row r="138" spans="1:11" ht="14.25">
      <c r="A138" s="54">
        <v>155</v>
      </c>
      <c r="B138" s="67">
        <v>46844</v>
      </c>
      <c r="C138" s="28">
        <f t="shared" si="12"/>
        <v>109988858.44581746</v>
      </c>
      <c r="D138" s="28"/>
      <c r="E138" s="55">
        <f>Additions!J160*$C$5</f>
        <v>0</v>
      </c>
      <c r="F138" s="55">
        <f t="shared" si="14"/>
        <v>928305.9652826993</v>
      </c>
      <c r="G138" s="55">
        <f t="shared" si="11"/>
        <v>1679975.123706393</v>
      </c>
      <c r="H138" s="56">
        <f t="shared" si="13"/>
        <v>-751669.1584236936</v>
      </c>
      <c r="I138" s="56"/>
      <c r="J138" s="80">
        <f aca="true" t="shared" si="16" ref="J138:J201">-H138*0.35</f>
        <v>263084.2054482928</v>
      </c>
      <c r="K138" s="28">
        <f t="shared" si="15"/>
        <v>109500273.49284205</v>
      </c>
    </row>
    <row r="139" spans="1:11" ht="14.25">
      <c r="A139" s="54">
        <v>156</v>
      </c>
      <c r="B139" s="67">
        <v>46874</v>
      </c>
      <c r="C139" s="28">
        <f t="shared" si="12"/>
        <v>109500273.49284205</v>
      </c>
      <c r="D139" s="28"/>
      <c r="E139" s="55">
        <f>Additions!J161*$C$5</f>
        <v>0</v>
      </c>
      <c r="F139" s="55">
        <f t="shared" si="14"/>
        <v>924182.3082795868</v>
      </c>
      <c r="G139" s="55">
        <f aca="true" t="shared" si="17" ref="G139:G202">G138</f>
        <v>1679975.123706393</v>
      </c>
      <c r="H139" s="56">
        <f t="shared" si="13"/>
        <v>-755792.8154268061</v>
      </c>
      <c r="I139" s="56"/>
      <c r="J139" s="80">
        <f t="shared" si="16"/>
        <v>264527.48539938213</v>
      </c>
      <c r="K139" s="28">
        <f t="shared" si="15"/>
        <v>109009008.16281463</v>
      </c>
    </row>
    <row r="140" spans="1:11" ht="14.25">
      <c r="A140" s="54">
        <v>157</v>
      </c>
      <c r="B140" s="67">
        <v>46905</v>
      </c>
      <c r="C140" s="28">
        <f t="shared" si="12"/>
        <v>109009008.16281463</v>
      </c>
      <c r="D140" s="28"/>
      <c r="E140" s="55">
        <f>Additions!J162*$C$5</f>
        <v>0</v>
      </c>
      <c r="F140" s="55">
        <f t="shared" si="14"/>
        <v>920036.0288941554</v>
      </c>
      <c r="G140" s="55">
        <f t="shared" si="17"/>
        <v>1679975.123706393</v>
      </c>
      <c r="H140" s="56">
        <f t="shared" si="13"/>
        <v>-759939.0948122375</v>
      </c>
      <c r="I140" s="56"/>
      <c r="J140" s="80">
        <f t="shared" si="16"/>
        <v>265978.68318428315</v>
      </c>
      <c r="K140" s="28">
        <f t="shared" si="15"/>
        <v>108515047.75118668</v>
      </c>
    </row>
    <row r="141" spans="1:11" ht="14.25">
      <c r="A141" s="54">
        <v>158</v>
      </c>
      <c r="B141" s="67">
        <v>46935</v>
      </c>
      <c r="C141" s="28">
        <f t="shared" si="12"/>
        <v>108515047.75118668</v>
      </c>
      <c r="D141" s="28"/>
      <c r="E141" s="55">
        <f>Additions!J163*$C$5</f>
        <v>0</v>
      </c>
      <c r="F141" s="55">
        <f t="shared" si="14"/>
        <v>915867.0030200155</v>
      </c>
      <c r="G141" s="55">
        <f t="shared" si="17"/>
        <v>1679975.123706393</v>
      </c>
      <c r="H141" s="56">
        <f t="shared" si="13"/>
        <v>-764108.1206863774</v>
      </c>
      <c r="I141" s="56"/>
      <c r="J141" s="80">
        <f t="shared" si="16"/>
        <v>267437.8422402321</v>
      </c>
      <c r="K141" s="28">
        <f t="shared" si="15"/>
        <v>108018377.47274055</v>
      </c>
    </row>
    <row r="142" spans="1:11" ht="14.25">
      <c r="A142" s="54">
        <v>159</v>
      </c>
      <c r="B142" s="67">
        <v>46966</v>
      </c>
      <c r="C142" s="28">
        <f t="shared" si="12"/>
        <v>108018377.47274055</v>
      </c>
      <c r="D142" s="28"/>
      <c r="E142" s="55">
        <f>Additions!J164*$C$5</f>
        <v>0</v>
      </c>
      <c r="F142" s="55">
        <f t="shared" si="14"/>
        <v>911675.1058699301</v>
      </c>
      <c r="G142" s="55">
        <f t="shared" si="17"/>
        <v>1679975.123706393</v>
      </c>
      <c r="H142" s="56">
        <f t="shared" si="13"/>
        <v>-768300.0178364628</v>
      </c>
      <c r="I142" s="56"/>
      <c r="J142" s="80">
        <f t="shared" si="16"/>
        <v>268905.00624276197</v>
      </c>
      <c r="K142" s="28">
        <f t="shared" si="15"/>
        <v>107518982.46114685</v>
      </c>
    </row>
    <row r="143" spans="1:11" ht="14.25">
      <c r="A143" s="54">
        <v>160</v>
      </c>
      <c r="B143" s="67">
        <v>46997</v>
      </c>
      <c r="C143" s="28">
        <f t="shared" si="12"/>
        <v>107518982.46114685</v>
      </c>
      <c r="D143" s="28"/>
      <c r="E143" s="55">
        <f>Additions!J165*$C$5</f>
        <v>0</v>
      </c>
      <c r="F143" s="55">
        <f t="shared" si="14"/>
        <v>907460.2119720794</v>
      </c>
      <c r="G143" s="55">
        <f t="shared" si="17"/>
        <v>1679975.123706393</v>
      </c>
      <c r="H143" s="56">
        <f t="shared" si="13"/>
        <v>-772514.9117343136</v>
      </c>
      <c r="I143" s="56"/>
      <c r="J143" s="80">
        <f t="shared" si="16"/>
        <v>270380.21910700976</v>
      </c>
      <c r="K143" s="28">
        <f t="shared" si="15"/>
        <v>107016847.76851954</v>
      </c>
    </row>
    <row r="144" spans="1:11" ht="14.25">
      <c r="A144" s="54">
        <v>161</v>
      </c>
      <c r="B144" s="67">
        <v>47027</v>
      </c>
      <c r="C144" s="28">
        <f t="shared" si="12"/>
        <v>107016847.76851954</v>
      </c>
      <c r="D144" s="28"/>
      <c r="E144" s="55">
        <f>Additions!J166*$C$5</f>
        <v>0</v>
      </c>
      <c r="F144" s="55">
        <f t="shared" si="14"/>
        <v>903222.1951663048</v>
      </c>
      <c r="G144" s="55">
        <f t="shared" si="17"/>
        <v>1679975.123706393</v>
      </c>
      <c r="H144" s="56">
        <f t="shared" si="13"/>
        <v>-776752.9285400881</v>
      </c>
      <c r="I144" s="56"/>
      <c r="J144" s="80">
        <f t="shared" si="16"/>
        <v>271863.52498903085</v>
      </c>
      <c r="K144" s="28">
        <f t="shared" si="15"/>
        <v>106511958.36496846</v>
      </c>
    </row>
    <row r="145" spans="1:11" ht="14.25">
      <c r="A145" s="54">
        <v>162</v>
      </c>
      <c r="B145" s="67">
        <v>47058</v>
      </c>
      <c r="C145" s="28">
        <f t="shared" si="12"/>
        <v>106511958.36496846</v>
      </c>
      <c r="D145" s="28"/>
      <c r="E145" s="55">
        <f>Additions!J167*$C$5</f>
        <v>0</v>
      </c>
      <c r="F145" s="55">
        <f t="shared" si="14"/>
        <v>898960.9286003337</v>
      </c>
      <c r="G145" s="55">
        <f t="shared" si="17"/>
        <v>1679975.123706393</v>
      </c>
      <c r="H145" s="56">
        <f t="shared" si="13"/>
        <v>-781014.1951060592</v>
      </c>
      <c r="I145" s="56"/>
      <c r="J145" s="80">
        <f t="shared" si="16"/>
        <v>273354.9682871207</v>
      </c>
      <c r="K145" s="28">
        <f t="shared" si="15"/>
        <v>106004299.13814954</v>
      </c>
    </row>
    <row r="146" spans="1:11" ht="14.25">
      <c r="A146" s="54">
        <v>163</v>
      </c>
      <c r="B146" s="67">
        <v>47088</v>
      </c>
      <c r="C146" s="28">
        <f t="shared" si="12"/>
        <v>106004299.13814954</v>
      </c>
      <c r="D146" s="28"/>
      <c r="E146" s="55">
        <f>Additions!J168*$C$5</f>
        <v>0</v>
      </c>
      <c r="F146" s="55">
        <f t="shared" si="14"/>
        <v>894676.2847259821</v>
      </c>
      <c r="G146" s="55">
        <f t="shared" si="17"/>
        <v>1679975.123706393</v>
      </c>
      <c r="H146" s="56">
        <f t="shared" si="13"/>
        <v>-785298.8389804108</v>
      </c>
      <c r="I146" s="56"/>
      <c r="J146" s="80">
        <f t="shared" si="16"/>
        <v>274854.5936431438</v>
      </c>
      <c r="K146" s="28">
        <f t="shared" si="15"/>
        <v>105493854.89281227</v>
      </c>
    </row>
    <row r="147" spans="1:11" ht="14.25">
      <c r="A147" s="54">
        <v>164</v>
      </c>
      <c r="B147" s="67">
        <v>47119</v>
      </c>
      <c r="C147" s="28">
        <f t="shared" si="12"/>
        <v>105493854.89281227</v>
      </c>
      <c r="D147" s="28"/>
      <c r="E147" s="55">
        <f>Additions!J169*$C$5</f>
        <v>0</v>
      </c>
      <c r="F147" s="55">
        <f t="shared" si="14"/>
        <v>890368.1352953354</v>
      </c>
      <c r="G147" s="55">
        <f t="shared" si="17"/>
        <v>1679975.123706393</v>
      </c>
      <c r="H147" s="56">
        <f t="shared" si="13"/>
        <v>-789606.9884110575</v>
      </c>
      <c r="I147" s="56"/>
      <c r="J147" s="80">
        <f t="shared" si="16"/>
        <v>276362.4459438701</v>
      </c>
      <c r="K147" s="28">
        <f t="shared" si="15"/>
        <v>104980610.35034509</v>
      </c>
    </row>
    <row r="148" spans="1:11" ht="14.25">
      <c r="A148" s="54">
        <v>165</v>
      </c>
      <c r="B148" s="67">
        <v>47150</v>
      </c>
      <c r="C148" s="28">
        <f t="shared" si="12"/>
        <v>104980610.35034509</v>
      </c>
      <c r="D148" s="28"/>
      <c r="E148" s="55">
        <f>Additions!J170*$C$5</f>
        <v>0</v>
      </c>
      <c r="F148" s="55">
        <f t="shared" si="14"/>
        <v>886036.3513569125</v>
      </c>
      <c r="G148" s="55">
        <f t="shared" si="17"/>
        <v>1679975.123706393</v>
      </c>
      <c r="H148" s="56">
        <f t="shared" si="13"/>
        <v>-793938.7723494804</v>
      </c>
      <c r="I148" s="56"/>
      <c r="J148" s="80">
        <f t="shared" si="16"/>
        <v>277878.5703223181</v>
      </c>
      <c r="K148" s="28">
        <f t="shared" si="15"/>
        <v>104464550.14831792</v>
      </c>
    </row>
    <row r="149" spans="1:11" ht="14.25">
      <c r="A149" s="54">
        <v>166</v>
      </c>
      <c r="B149" s="67">
        <v>47178</v>
      </c>
      <c r="C149" s="28">
        <f t="shared" si="12"/>
        <v>104464550.14831792</v>
      </c>
      <c r="D149" s="28"/>
      <c r="E149" s="55">
        <f>Additions!J171*$C$5</f>
        <v>0</v>
      </c>
      <c r="F149" s="55">
        <f t="shared" si="14"/>
        <v>881680.8032518032</v>
      </c>
      <c r="G149" s="55">
        <f t="shared" si="17"/>
        <v>1679975.123706393</v>
      </c>
      <c r="H149" s="56">
        <f t="shared" si="13"/>
        <v>-798294.3204545898</v>
      </c>
      <c r="I149" s="56"/>
      <c r="J149" s="80">
        <f t="shared" si="16"/>
        <v>279403.0121591064</v>
      </c>
      <c r="K149" s="28">
        <f t="shared" si="15"/>
        <v>103945658.84002244</v>
      </c>
    </row>
    <row r="150" spans="1:11" ht="14.25">
      <c r="A150" s="54">
        <v>167</v>
      </c>
      <c r="B150" s="67">
        <v>47209</v>
      </c>
      <c r="C150" s="28">
        <f t="shared" si="12"/>
        <v>103945658.84002244</v>
      </c>
      <c r="D150" s="28"/>
      <c r="E150" s="55">
        <f>Additions!J172*$C$5</f>
        <v>0</v>
      </c>
      <c r="F150" s="55">
        <f t="shared" si="14"/>
        <v>877301.3606097894</v>
      </c>
      <c r="G150" s="55">
        <f t="shared" si="17"/>
        <v>1679975.123706393</v>
      </c>
      <c r="H150" s="56">
        <f t="shared" si="13"/>
        <v>-802673.7630966036</v>
      </c>
      <c r="I150" s="56"/>
      <c r="J150" s="80">
        <f t="shared" si="16"/>
        <v>280935.8170838112</v>
      </c>
      <c r="K150" s="28">
        <f t="shared" si="15"/>
        <v>103423920.89400965</v>
      </c>
    </row>
    <row r="151" spans="1:11" ht="14.25">
      <c r="A151" s="54">
        <v>168</v>
      </c>
      <c r="B151" s="67">
        <v>47239</v>
      </c>
      <c r="C151" s="28">
        <f t="shared" si="12"/>
        <v>103423920.89400965</v>
      </c>
      <c r="D151" s="28"/>
      <c r="E151" s="55">
        <f>Additions!J173*$C$5</f>
        <v>0</v>
      </c>
      <c r="F151" s="55">
        <f t="shared" si="14"/>
        <v>872897.8923454414</v>
      </c>
      <c r="G151" s="55">
        <f t="shared" si="17"/>
        <v>1679975.123706393</v>
      </c>
      <c r="H151" s="56">
        <f t="shared" si="13"/>
        <v>-807077.2313609516</v>
      </c>
      <c r="I151" s="56"/>
      <c r="J151" s="80">
        <f t="shared" si="16"/>
        <v>282477.030976333</v>
      </c>
      <c r="K151" s="28">
        <f t="shared" si="15"/>
        <v>102899320.69362505</v>
      </c>
    </row>
    <row r="152" spans="1:11" ht="14.25">
      <c r="A152" s="54">
        <v>169</v>
      </c>
      <c r="B152" s="67">
        <v>47270</v>
      </c>
      <c r="C152" s="28">
        <f t="shared" si="12"/>
        <v>102899320.69362505</v>
      </c>
      <c r="D152" s="28"/>
      <c r="E152" s="55">
        <f>Additions!J174*$C$5</f>
        <v>0</v>
      </c>
      <c r="F152" s="55">
        <f t="shared" si="14"/>
        <v>868470.2666541954</v>
      </c>
      <c r="G152" s="55">
        <f t="shared" si="17"/>
        <v>1679975.123706393</v>
      </c>
      <c r="H152" s="56">
        <f t="shared" si="13"/>
        <v>-811504.8570521976</v>
      </c>
      <c r="I152" s="56"/>
      <c r="J152" s="80">
        <f t="shared" si="16"/>
        <v>284026.69996826915</v>
      </c>
      <c r="K152" s="28">
        <f t="shared" si="15"/>
        <v>102371842.53654112</v>
      </c>
    </row>
    <row r="153" spans="1:11" ht="14.25">
      <c r="A153" s="54">
        <v>170</v>
      </c>
      <c r="B153" s="67">
        <v>47300</v>
      </c>
      <c r="C153" s="28">
        <f t="shared" si="12"/>
        <v>102371842.53654112</v>
      </c>
      <c r="D153" s="28"/>
      <c r="E153" s="55">
        <f>Additions!J175*$C$5</f>
        <v>0</v>
      </c>
      <c r="F153" s="55">
        <f t="shared" si="14"/>
        <v>864018.351008407</v>
      </c>
      <c r="G153" s="55">
        <f t="shared" si="17"/>
        <v>1679975.123706393</v>
      </c>
      <c r="H153" s="56">
        <f t="shared" si="13"/>
        <v>-815956.772697986</v>
      </c>
      <c r="I153" s="56"/>
      <c r="J153" s="80">
        <f t="shared" si="16"/>
        <v>285584.87044429505</v>
      </c>
      <c r="K153" s="28">
        <f t="shared" si="15"/>
        <v>101841470.63428742</v>
      </c>
    </row>
    <row r="154" spans="1:11" ht="14.25">
      <c r="A154" s="54">
        <v>171</v>
      </c>
      <c r="B154" s="67">
        <v>47331</v>
      </c>
      <c r="C154" s="28">
        <f t="shared" si="12"/>
        <v>101841470.63428742</v>
      </c>
      <c r="D154" s="28"/>
      <c r="E154" s="55">
        <f>Additions!J176*$C$5</f>
        <v>0</v>
      </c>
      <c r="F154" s="55">
        <f t="shared" si="14"/>
        <v>859542.0121533858</v>
      </c>
      <c r="G154" s="55">
        <f t="shared" si="17"/>
        <v>1679975.123706393</v>
      </c>
      <c r="H154" s="56">
        <f t="shared" si="13"/>
        <v>-820433.1115530072</v>
      </c>
      <c r="I154" s="56"/>
      <c r="J154" s="80">
        <f t="shared" si="16"/>
        <v>287151.58904355246</v>
      </c>
      <c r="K154" s="28">
        <f t="shared" si="15"/>
        <v>101308189.11177796</v>
      </c>
    </row>
    <row r="155" spans="1:11" ht="14.25">
      <c r="A155" s="54">
        <v>172</v>
      </c>
      <c r="B155" s="67">
        <v>47362</v>
      </c>
      <c r="C155" s="28">
        <f t="shared" si="12"/>
        <v>101308189.11177796</v>
      </c>
      <c r="D155" s="28"/>
      <c r="E155" s="55">
        <f>Additions!J177*$C$5</f>
        <v>0</v>
      </c>
      <c r="F155" s="55">
        <f t="shared" si="14"/>
        <v>855041.116103406</v>
      </c>
      <c r="G155" s="55">
        <f t="shared" si="17"/>
        <v>1679975.123706393</v>
      </c>
      <c r="H155" s="56">
        <f t="shared" si="13"/>
        <v>-824934.007602987</v>
      </c>
      <c r="I155" s="56"/>
      <c r="J155" s="80">
        <f t="shared" si="16"/>
        <v>288726.90266104543</v>
      </c>
      <c r="K155" s="28">
        <f t="shared" si="15"/>
        <v>100771982.00683601</v>
      </c>
    </row>
    <row r="156" spans="1:11" ht="14.25">
      <c r="A156" s="54">
        <v>173</v>
      </c>
      <c r="B156" s="67">
        <v>47392</v>
      </c>
      <c r="C156" s="28">
        <f t="shared" si="12"/>
        <v>100771982.00683601</v>
      </c>
      <c r="D156" s="28"/>
      <c r="E156" s="55">
        <f>Additions!J178*$C$5</f>
        <v>0</v>
      </c>
      <c r="F156" s="55">
        <f t="shared" si="14"/>
        <v>850515.5281376959</v>
      </c>
      <c r="G156" s="55">
        <f t="shared" si="17"/>
        <v>1679975.123706393</v>
      </c>
      <c r="H156" s="56">
        <f t="shared" si="13"/>
        <v>-829459.5955686971</v>
      </c>
      <c r="I156" s="56"/>
      <c r="J156" s="80">
        <f t="shared" si="16"/>
        <v>290310.85844904394</v>
      </c>
      <c r="K156" s="28">
        <f t="shared" si="15"/>
        <v>100232833.26971635</v>
      </c>
    </row>
    <row r="157" spans="1:11" ht="14.25">
      <c r="A157" s="54">
        <v>174</v>
      </c>
      <c r="B157" s="67">
        <v>47423</v>
      </c>
      <c r="C157" s="28">
        <f t="shared" si="12"/>
        <v>100232833.26971635</v>
      </c>
      <c r="D157" s="28"/>
      <c r="E157" s="55">
        <f>Additions!J179*$C$5</f>
        <v>0</v>
      </c>
      <c r="F157" s="55">
        <f t="shared" si="14"/>
        <v>845965.112796406</v>
      </c>
      <c r="G157" s="55">
        <f t="shared" si="17"/>
        <v>1679975.123706393</v>
      </c>
      <c r="H157" s="56">
        <f t="shared" si="13"/>
        <v>-834010.0109099869</v>
      </c>
      <c r="I157" s="56"/>
      <c r="J157" s="80">
        <f t="shared" si="16"/>
        <v>291903.5038184954</v>
      </c>
      <c r="K157" s="28">
        <f t="shared" si="15"/>
        <v>99690726.76262487</v>
      </c>
    </row>
    <row r="158" spans="1:11" ht="14.25">
      <c r="A158" s="54">
        <v>175</v>
      </c>
      <c r="B158" s="67">
        <v>47453</v>
      </c>
      <c r="C158" s="28">
        <f t="shared" si="12"/>
        <v>99690726.76262487</v>
      </c>
      <c r="D158" s="28"/>
      <c r="E158" s="55">
        <f>Additions!J180*$C$5</f>
        <v>0</v>
      </c>
      <c r="F158" s="55">
        <f t="shared" si="14"/>
        <v>841389.733876554</v>
      </c>
      <c r="G158" s="55">
        <f t="shared" si="17"/>
        <v>1679975.123706393</v>
      </c>
      <c r="H158" s="56">
        <f t="shared" si="13"/>
        <v>-838585.389829839</v>
      </c>
      <c r="I158" s="56"/>
      <c r="J158" s="80">
        <f t="shared" si="16"/>
        <v>293504.88644044363</v>
      </c>
      <c r="K158" s="28">
        <f t="shared" si="15"/>
        <v>99145646.25923549</v>
      </c>
    </row>
    <row r="159" spans="1:11" ht="14.25">
      <c r="A159" s="54">
        <v>176</v>
      </c>
      <c r="B159" s="67">
        <v>47484</v>
      </c>
      <c r="C159" s="28">
        <f t="shared" si="12"/>
        <v>99145646.25923549</v>
      </c>
      <c r="D159" s="28"/>
      <c r="E159" s="55">
        <f>Additions!J181*$C$5</f>
        <v>0</v>
      </c>
      <c r="F159" s="55">
        <f t="shared" si="14"/>
        <v>836789.2544279475</v>
      </c>
      <c r="G159" s="55">
        <f t="shared" si="17"/>
        <v>1679975.123706393</v>
      </c>
      <c r="H159" s="56">
        <f t="shared" si="13"/>
        <v>-843185.8692784455</v>
      </c>
      <c r="I159" s="56"/>
      <c r="J159" s="80">
        <f t="shared" si="16"/>
        <v>295115.0542474559</v>
      </c>
      <c r="K159" s="28">
        <f t="shared" si="15"/>
        <v>98597575.4442045</v>
      </c>
    </row>
    <row r="160" spans="1:11" ht="14.25">
      <c r="A160" s="54">
        <v>177</v>
      </c>
      <c r="B160" s="67">
        <v>47515</v>
      </c>
      <c r="C160" s="28">
        <f t="shared" si="12"/>
        <v>98597575.4442045</v>
      </c>
      <c r="D160" s="28"/>
      <c r="E160" s="55">
        <f>Additions!J182*$C$5</f>
        <v>0</v>
      </c>
      <c r="F160" s="55">
        <f t="shared" si="14"/>
        <v>832163.5367490859</v>
      </c>
      <c r="G160" s="55">
        <f t="shared" si="17"/>
        <v>1679975.123706393</v>
      </c>
      <c r="H160" s="56">
        <f t="shared" si="13"/>
        <v>-847811.5869573071</v>
      </c>
      <c r="I160" s="56"/>
      <c r="J160" s="80">
        <f t="shared" si="16"/>
        <v>296734.05543505744</v>
      </c>
      <c r="K160" s="28">
        <f t="shared" si="15"/>
        <v>98046497.91268224</v>
      </c>
    </row>
    <row r="161" spans="1:11" ht="14.25">
      <c r="A161" s="54">
        <v>178</v>
      </c>
      <c r="B161" s="67">
        <v>47543</v>
      </c>
      <c r="C161" s="28">
        <f t="shared" si="12"/>
        <v>98046497.91268224</v>
      </c>
      <c r="D161" s="28"/>
      <c r="E161" s="55">
        <f>Additions!J183*$C$5</f>
        <v>0</v>
      </c>
      <c r="F161" s="55">
        <f t="shared" si="14"/>
        <v>827512.442383038</v>
      </c>
      <c r="G161" s="55">
        <f t="shared" si="17"/>
        <v>1679975.123706393</v>
      </c>
      <c r="H161" s="56">
        <f t="shared" si="13"/>
        <v>-852462.681323355</v>
      </c>
      <c r="I161" s="56"/>
      <c r="J161" s="80">
        <f t="shared" si="16"/>
        <v>298361.9384631742</v>
      </c>
      <c r="K161" s="28">
        <f t="shared" si="15"/>
        <v>97492397.16982207</v>
      </c>
    </row>
    <row r="162" spans="1:11" ht="14.25">
      <c r="A162" s="54">
        <v>179</v>
      </c>
      <c r="B162" s="67">
        <v>47574</v>
      </c>
      <c r="C162" s="28">
        <f t="shared" si="12"/>
        <v>97492397.16982207</v>
      </c>
      <c r="D162" s="28"/>
      <c r="E162" s="55">
        <f>Additions!J184*$C$5</f>
        <v>0</v>
      </c>
      <c r="F162" s="55">
        <f t="shared" si="14"/>
        <v>822835.8321132982</v>
      </c>
      <c r="G162" s="55">
        <f t="shared" si="17"/>
        <v>1679975.123706393</v>
      </c>
      <c r="H162" s="56">
        <f t="shared" si="13"/>
        <v>-857139.2915930947</v>
      </c>
      <c r="I162" s="56"/>
      <c r="J162" s="80">
        <f t="shared" si="16"/>
        <v>299998.75205758313</v>
      </c>
      <c r="K162" s="28">
        <f t="shared" si="15"/>
        <v>96935256.63028654</v>
      </c>
    </row>
    <row r="163" spans="1:11" ht="14.25">
      <c r="A163" s="54">
        <v>180</v>
      </c>
      <c r="B163" s="67">
        <v>47604</v>
      </c>
      <c r="C163" s="28">
        <f t="shared" si="12"/>
        <v>96935256.63028654</v>
      </c>
      <c r="D163" s="28"/>
      <c r="E163" s="55">
        <f>Additions!J185*$C$5</f>
        <v>0</v>
      </c>
      <c r="F163" s="55">
        <f t="shared" si="14"/>
        <v>818133.5659596184</v>
      </c>
      <c r="G163" s="55">
        <f t="shared" si="17"/>
        <v>1679975.123706393</v>
      </c>
      <c r="H163" s="56">
        <f t="shared" si="13"/>
        <v>-861841.5577467745</v>
      </c>
      <c r="I163" s="56"/>
      <c r="J163" s="80">
        <f t="shared" si="16"/>
        <v>301644.54521137103</v>
      </c>
      <c r="K163" s="28">
        <f t="shared" si="15"/>
        <v>96375059.61775115</v>
      </c>
    </row>
    <row r="164" spans="1:11" ht="14.25">
      <c r="A164" s="54">
        <v>181</v>
      </c>
      <c r="B164" s="67">
        <v>47635</v>
      </c>
      <c r="C164" s="28">
        <f t="shared" si="12"/>
        <v>96375059.61775115</v>
      </c>
      <c r="D164" s="28"/>
      <c r="E164" s="55">
        <f>Additions!J186*$C$5</f>
        <v>0</v>
      </c>
      <c r="F164" s="55">
        <f t="shared" si="14"/>
        <v>813405.5031738196</v>
      </c>
      <c r="G164" s="55">
        <f t="shared" si="17"/>
        <v>1679975.123706393</v>
      </c>
      <c r="H164" s="56">
        <f t="shared" si="13"/>
        <v>-866569.6205325733</v>
      </c>
      <c r="I164" s="56"/>
      <c r="J164" s="80">
        <f t="shared" si="16"/>
        <v>303299.36718640063</v>
      </c>
      <c r="K164" s="28">
        <f t="shared" si="15"/>
        <v>95811789.36440498</v>
      </c>
    </row>
    <row r="165" spans="1:11" ht="14.25">
      <c r="A165" s="54">
        <v>182</v>
      </c>
      <c r="B165" s="67">
        <v>47665</v>
      </c>
      <c r="C165" s="28">
        <f t="shared" si="12"/>
        <v>95811789.36440498</v>
      </c>
      <c r="D165" s="28"/>
      <c r="E165" s="55">
        <f>Additions!J187*$C$5</f>
        <v>0</v>
      </c>
      <c r="F165" s="55">
        <f t="shared" si="14"/>
        <v>808651.5022355779</v>
      </c>
      <c r="G165" s="55">
        <f t="shared" si="17"/>
        <v>1679975.123706393</v>
      </c>
      <c r="H165" s="56">
        <f t="shared" si="13"/>
        <v>-871323.621470815</v>
      </c>
      <c r="I165" s="56"/>
      <c r="J165" s="80">
        <f t="shared" si="16"/>
        <v>304963.2675147852</v>
      </c>
      <c r="K165" s="28">
        <f t="shared" si="15"/>
        <v>95245429.01044895</v>
      </c>
    </row>
    <row r="166" spans="1:11" ht="14.25">
      <c r="A166" s="54">
        <v>183</v>
      </c>
      <c r="B166" s="67">
        <v>47696</v>
      </c>
      <c r="C166" s="28">
        <f t="shared" si="12"/>
        <v>95245429.01044895</v>
      </c>
      <c r="D166" s="28"/>
      <c r="E166" s="55">
        <f>Additions!J188*$C$5</f>
        <v>0</v>
      </c>
      <c r="F166" s="55">
        <f t="shared" si="14"/>
        <v>803871.420848189</v>
      </c>
      <c r="G166" s="55">
        <f t="shared" si="17"/>
        <v>1679975.123706393</v>
      </c>
      <c r="H166" s="56">
        <f t="shared" si="13"/>
        <v>-876103.7028582039</v>
      </c>
      <c r="I166" s="56"/>
      <c r="J166" s="80">
        <f t="shared" si="16"/>
        <v>306636.29600037134</v>
      </c>
      <c r="K166" s="28">
        <f t="shared" si="15"/>
        <v>94675961.60359113</v>
      </c>
    </row>
    <row r="167" spans="1:11" ht="14.25">
      <c r="A167" s="54">
        <v>184</v>
      </c>
      <c r="B167" s="67">
        <v>47727</v>
      </c>
      <c r="C167" s="28">
        <f t="shared" si="12"/>
        <v>94675961.60359113</v>
      </c>
      <c r="D167" s="28"/>
      <c r="E167" s="55">
        <f>Additions!J189*$C$5</f>
        <v>0</v>
      </c>
      <c r="F167" s="55">
        <f t="shared" si="14"/>
        <v>799065.1159343091</v>
      </c>
      <c r="G167" s="55">
        <f t="shared" si="17"/>
        <v>1679975.123706393</v>
      </c>
      <c r="H167" s="56">
        <f t="shared" si="13"/>
        <v>-880910.0077720839</v>
      </c>
      <c r="I167" s="56"/>
      <c r="J167" s="80">
        <f t="shared" si="16"/>
        <v>308318.5027202293</v>
      </c>
      <c r="K167" s="28">
        <f t="shared" si="15"/>
        <v>94103370.0985393</v>
      </c>
    </row>
    <row r="168" spans="1:11" ht="14.25">
      <c r="A168" s="54">
        <v>185</v>
      </c>
      <c r="B168" s="67">
        <v>47757</v>
      </c>
      <c r="C168" s="28">
        <f t="shared" si="12"/>
        <v>94103370.0985393</v>
      </c>
      <c r="D168" s="28"/>
      <c r="E168" s="55">
        <f>Additions!J190*$C$5</f>
        <v>0</v>
      </c>
      <c r="F168" s="55">
        <f t="shared" si="14"/>
        <v>794232.4436316716</v>
      </c>
      <c r="G168" s="55">
        <f t="shared" si="17"/>
        <v>1679975.123706393</v>
      </c>
      <c r="H168" s="56">
        <f t="shared" si="13"/>
        <v>-885742.6800747213</v>
      </c>
      <c r="I168" s="56"/>
      <c r="J168" s="80">
        <f t="shared" si="16"/>
        <v>310009.93802615243</v>
      </c>
      <c r="K168" s="28">
        <f t="shared" si="15"/>
        <v>93527637.35649072</v>
      </c>
    </row>
    <row r="169" spans="1:11" ht="14.25">
      <c r="A169" s="54">
        <v>186</v>
      </c>
      <c r="B169" s="67">
        <v>47788</v>
      </c>
      <c r="C169" s="28">
        <f t="shared" si="12"/>
        <v>93527637.35649072</v>
      </c>
      <c r="D169" s="28"/>
      <c r="E169" s="55">
        <f>Additions!J191*$C$5</f>
        <v>0</v>
      </c>
      <c r="F169" s="55">
        <f t="shared" si="14"/>
        <v>789373.2592887816</v>
      </c>
      <c r="G169" s="55">
        <f t="shared" si="17"/>
        <v>1679975.123706393</v>
      </c>
      <c r="H169" s="56">
        <f t="shared" si="13"/>
        <v>-890601.8644176114</v>
      </c>
      <c r="I169" s="56"/>
      <c r="J169" s="80">
        <f t="shared" si="16"/>
        <v>311710.65254616394</v>
      </c>
      <c r="K169" s="28">
        <f t="shared" si="15"/>
        <v>92948746.14461929</v>
      </c>
    </row>
    <row r="170" spans="1:11" ht="14.25">
      <c r="A170" s="54">
        <v>187</v>
      </c>
      <c r="B170" s="67">
        <v>47818</v>
      </c>
      <c r="C170" s="28">
        <f t="shared" si="12"/>
        <v>92948746.14461929</v>
      </c>
      <c r="D170" s="28"/>
      <c r="E170" s="55">
        <f>Additions!J192*$C$5</f>
        <v>0</v>
      </c>
      <c r="F170" s="55">
        <f t="shared" si="14"/>
        <v>784487.4174605868</v>
      </c>
      <c r="G170" s="55">
        <f t="shared" si="17"/>
        <v>1679975.123706393</v>
      </c>
      <c r="H170" s="56">
        <f t="shared" si="13"/>
        <v>-895487.7062458062</v>
      </c>
      <c r="I170" s="56"/>
      <c r="J170" s="80">
        <f t="shared" si="16"/>
        <v>313420.69718603214</v>
      </c>
      <c r="K170" s="28">
        <f t="shared" si="15"/>
        <v>92366679.13555951</v>
      </c>
    </row>
    <row r="171" spans="1:11" ht="14.25">
      <c r="A171" s="54">
        <v>188</v>
      </c>
      <c r="B171" s="67">
        <v>47849</v>
      </c>
      <c r="C171" s="28">
        <f t="shared" si="12"/>
        <v>92366679.13555951</v>
      </c>
      <c r="D171" s="28"/>
      <c r="E171" s="55">
        <f>Additions!J193*$C$5</f>
        <v>0</v>
      </c>
      <c r="F171" s="55">
        <f t="shared" si="14"/>
        <v>779574.7719041223</v>
      </c>
      <c r="G171" s="55">
        <f t="shared" si="17"/>
        <v>1679975.123706393</v>
      </c>
      <c r="H171" s="56">
        <f t="shared" si="13"/>
        <v>-900400.3518022706</v>
      </c>
      <c r="I171" s="56"/>
      <c r="J171" s="80">
        <f t="shared" si="16"/>
        <v>315140.1231307947</v>
      </c>
      <c r="K171" s="28">
        <f t="shared" si="15"/>
        <v>91781418.90688804</v>
      </c>
    </row>
    <row r="172" spans="1:11" ht="14.25">
      <c r="A172" s="54">
        <v>189</v>
      </c>
      <c r="B172" s="67">
        <v>47880</v>
      </c>
      <c r="C172" s="28">
        <f t="shared" si="12"/>
        <v>91781418.90688804</v>
      </c>
      <c r="D172" s="28"/>
      <c r="E172" s="55">
        <f>Additions!J194*$C$5</f>
        <v>0</v>
      </c>
      <c r="F172" s="55">
        <f t="shared" si="14"/>
        <v>774635.175574135</v>
      </c>
      <c r="G172" s="55">
        <f t="shared" si="17"/>
        <v>1679975.123706393</v>
      </c>
      <c r="H172" s="56">
        <f t="shared" si="13"/>
        <v>-905339.9481322579</v>
      </c>
      <c r="I172" s="56"/>
      <c r="J172" s="80">
        <f t="shared" si="16"/>
        <v>316868.98184629023</v>
      </c>
      <c r="K172" s="28">
        <f t="shared" si="15"/>
        <v>91192947.94060208</v>
      </c>
    </row>
    <row r="173" spans="1:11" ht="14.25">
      <c r="A173" s="54">
        <v>190</v>
      </c>
      <c r="B173" s="67">
        <v>47908</v>
      </c>
      <c r="C173" s="28">
        <f t="shared" si="12"/>
        <v>91192947.94060208</v>
      </c>
      <c r="D173" s="28"/>
      <c r="E173" s="55">
        <f>Additions!J195*$C$5</f>
        <v>0</v>
      </c>
      <c r="F173" s="55">
        <f t="shared" si="14"/>
        <v>769668.4806186815</v>
      </c>
      <c r="G173" s="55">
        <f t="shared" si="17"/>
        <v>1679975.123706393</v>
      </c>
      <c r="H173" s="56">
        <f t="shared" si="13"/>
        <v>-910306.6430877114</v>
      </c>
      <c r="I173" s="56"/>
      <c r="J173" s="80">
        <f t="shared" si="16"/>
        <v>318607.325080699</v>
      </c>
      <c r="K173" s="28">
        <f t="shared" si="15"/>
        <v>90601248.62259507</v>
      </c>
    </row>
    <row r="174" spans="1:11" ht="14.25">
      <c r="A174" s="54">
        <v>191</v>
      </c>
      <c r="B174" s="67">
        <v>47939</v>
      </c>
      <c r="C174" s="28">
        <f t="shared" si="12"/>
        <v>90601248.62259507</v>
      </c>
      <c r="D174" s="28"/>
      <c r="E174" s="55">
        <f>Additions!J196*$C$5</f>
        <v>0</v>
      </c>
      <c r="F174" s="55">
        <f t="shared" si="14"/>
        <v>764674.5383747023</v>
      </c>
      <c r="G174" s="55">
        <f t="shared" si="17"/>
        <v>1679975.123706393</v>
      </c>
      <c r="H174" s="56">
        <f t="shared" si="13"/>
        <v>-915300.5853316906</v>
      </c>
      <c r="I174" s="56"/>
      <c r="J174" s="80">
        <f t="shared" si="16"/>
        <v>320355.2048660917</v>
      </c>
      <c r="K174" s="28">
        <f t="shared" si="15"/>
        <v>90006303.24212949</v>
      </c>
    </row>
    <row r="175" spans="1:11" ht="14.25">
      <c r="A175" s="54">
        <v>192</v>
      </c>
      <c r="B175" s="67">
        <v>47969</v>
      </c>
      <c r="C175" s="28">
        <f t="shared" si="12"/>
        <v>90006303.24212949</v>
      </c>
      <c r="D175" s="28"/>
      <c r="E175" s="55">
        <f>Additions!J197*$C$5</f>
        <v>0</v>
      </c>
      <c r="F175" s="55">
        <f t="shared" si="14"/>
        <v>759653.1993635729</v>
      </c>
      <c r="G175" s="55">
        <f t="shared" si="17"/>
        <v>1679975.123706393</v>
      </c>
      <c r="H175" s="56">
        <f t="shared" si="13"/>
        <v>-920321.9243428201</v>
      </c>
      <c r="I175" s="56"/>
      <c r="J175" s="80">
        <f t="shared" si="16"/>
        <v>322112.67351998703</v>
      </c>
      <c r="K175" s="28">
        <f t="shared" si="15"/>
        <v>89408093.99130665</v>
      </c>
    </row>
    <row r="176" spans="1:11" ht="14.25">
      <c r="A176" s="54">
        <v>193</v>
      </c>
      <c r="B176" s="67">
        <v>48000</v>
      </c>
      <c r="C176" s="28">
        <f t="shared" si="12"/>
        <v>89408093.99130665</v>
      </c>
      <c r="D176" s="28"/>
      <c r="E176" s="55">
        <f>Additions!J198*$C$5</f>
        <v>0</v>
      </c>
      <c r="F176" s="55">
        <f t="shared" si="14"/>
        <v>754604.3132866281</v>
      </c>
      <c r="G176" s="55">
        <f t="shared" si="17"/>
        <v>1679975.123706393</v>
      </c>
      <c r="H176" s="56">
        <f t="shared" si="13"/>
        <v>-925370.8104197648</v>
      </c>
      <c r="I176" s="56"/>
      <c r="J176" s="80">
        <f t="shared" si="16"/>
        <v>323879.78364691767</v>
      </c>
      <c r="K176" s="28">
        <f t="shared" si="15"/>
        <v>88806602.9645338</v>
      </c>
    </row>
    <row r="177" spans="1:11" ht="14.25">
      <c r="A177" s="54">
        <v>194</v>
      </c>
      <c r="B177" s="67">
        <v>48030</v>
      </c>
      <c r="C177" s="28">
        <f t="shared" si="12"/>
        <v>88806602.9645338</v>
      </c>
      <c r="D177" s="28"/>
      <c r="E177" s="55">
        <f>Additions!J199*$C$5</f>
        <v>0</v>
      </c>
      <c r="F177" s="55">
        <f t="shared" si="14"/>
        <v>749527.7290206653</v>
      </c>
      <c r="G177" s="55">
        <f t="shared" si="17"/>
        <v>1679975.123706393</v>
      </c>
      <c r="H177" s="56">
        <f t="shared" si="13"/>
        <v>-930447.3946857277</v>
      </c>
      <c r="I177" s="56"/>
      <c r="J177" s="80">
        <f t="shared" si="16"/>
        <v>325656.58814000466</v>
      </c>
      <c r="K177" s="28">
        <f t="shared" si="15"/>
        <v>88201812.1579881</v>
      </c>
    </row>
    <row r="178" spans="1:11" ht="14.25">
      <c r="A178" s="54">
        <v>195</v>
      </c>
      <c r="B178" s="67">
        <v>48061</v>
      </c>
      <c r="C178" s="28">
        <f aca="true" t="shared" si="18" ref="C178:C241">K177</f>
        <v>88201812.1579881</v>
      </c>
      <c r="D178" s="28"/>
      <c r="E178" s="55">
        <f>Additions!J200*$C$5</f>
        <v>0</v>
      </c>
      <c r="F178" s="55">
        <f t="shared" si="14"/>
        <v>744423.2946134196</v>
      </c>
      <c r="G178" s="55">
        <f t="shared" si="17"/>
        <v>1679975.123706393</v>
      </c>
      <c r="H178" s="56">
        <f aca="true" t="shared" si="19" ref="H178:H241">E178+F178-G178</f>
        <v>-935551.8290929734</v>
      </c>
      <c r="I178" s="56"/>
      <c r="J178" s="80">
        <f t="shared" si="16"/>
        <v>327443.14018254064</v>
      </c>
      <c r="K178" s="28">
        <f t="shared" si="15"/>
        <v>87593703.46907766</v>
      </c>
    </row>
    <row r="179" spans="1:11" ht="14.25">
      <c r="A179" s="54">
        <v>196</v>
      </c>
      <c r="B179" s="67">
        <v>48092</v>
      </c>
      <c r="C179" s="28">
        <f t="shared" si="18"/>
        <v>87593703.46907766</v>
      </c>
      <c r="D179" s="28"/>
      <c r="E179" s="55">
        <f>Additions!J201*$C$5</f>
        <v>0</v>
      </c>
      <c r="F179" s="55">
        <f aca="true" t="shared" si="20" ref="F179:F242">K178*$C$3</f>
        <v>739290.8572790155</v>
      </c>
      <c r="G179" s="55">
        <f t="shared" si="17"/>
        <v>1679975.123706393</v>
      </c>
      <c r="H179" s="56">
        <f t="shared" si="19"/>
        <v>-940684.2664273775</v>
      </c>
      <c r="I179" s="56"/>
      <c r="J179" s="80">
        <f t="shared" si="16"/>
        <v>329239.49324958207</v>
      </c>
      <c r="K179" s="28">
        <f t="shared" si="15"/>
        <v>86982258.69589986</v>
      </c>
    </row>
    <row r="180" spans="1:11" ht="14.25">
      <c r="A180" s="54">
        <v>197</v>
      </c>
      <c r="B180" s="67">
        <v>48122</v>
      </c>
      <c r="C180" s="28">
        <f t="shared" si="18"/>
        <v>86982258.69589986</v>
      </c>
      <c r="D180" s="28"/>
      <c r="E180" s="55">
        <f>Additions!J202*$C$5</f>
        <v>0</v>
      </c>
      <c r="F180" s="55">
        <f t="shared" si="20"/>
        <v>734130.2633933948</v>
      </c>
      <c r="G180" s="55">
        <f t="shared" si="17"/>
        <v>1679975.123706393</v>
      </c>
      <c r="H180" s="56">
        <f t="shared" si="19"/>
        <v>-945844.8603129982</v>
      </c>
      <c r="I180" s="56"/>
      <c r="J180" s="80">
        <f t="shared" si="16"/>
        <v>331045.7011095493</v>
      </c>
      <c r="K180" s="28">
        <f t="shared" si="15"/>
        <v>86367459.53669642</v>
      </c>
    </row>
    <row r="181" spans="1:11" ht="14.25">
      <c r="A181" s="54">
        <v>198</v>
      </c>
      <c r="B181" s="67">
        <v>48153</v>
      </c>
      <c r="C181" s="28">
        <f t="shared" si="18"/>
        <v>86367459.53669642</v>
      </c>
      <c r="D181" s="28"/>
      <c r="E181" s="55">
        <f>Additions!J203*$C$5</f>
        <v>0</v>
      </c>
      <c r="F181" s="55">
        <f t="shared" si="20"/>
        <v>728941.3584897177</v>
      </c>
      <c r="G181" s="55">
        <f t="shared" si="17"/>
        <v>1679975.123706393</v>
      </c>
      <c r="H181" s="56">
        <f t="shared" si="19"/>
        <v>-951033.7652166752</v>
      </c>
      <c r="I181" s="56"/>
      <c r="J181" s="80">
        <f t="shared" si="16"/>
        <v>332861.8178258363</v>
      </c>
      <c r="K181" s="28">
        <f t="shared" si="15"/>
        <v>85749287.5893056</v>
      </c>
    </row>
    <row r="182" spans="1:11" ht="14.25">
      <c r="A182" s="54">
        <v>199</v>
      </c>
      <c r="B182" s="67">
        <v>48183</v>
      </c>
      <c r="C182" s="28">
        <f t="shared" si="18"/>
        <v>85749287.5893056</v>
      </c>
      <c r="D182" s="28"/>
      <c r="E182" s="55">
        <f>Additions!J204*$C$5</f>
        <v>0</v>
      </c>
      <c r="F182" s="55">
        <f t="shared" si="20"/>
        <v>723723.9872537391</v>
      </c>
      <c r="G182" s="55">
        <f t="shared" si="17"/>
        <v>1679975.123706393</v>
      </c>
      <c r="H182" s="56">
        <f t="shared" si="19"/>
        <v>-956251.1364526538</v>
      </c>
      <c r="I182" s="56"/>
      <c r="J182" s="80">
        <f t="shared" si="16"/>
        <v>334687.8977584288</v>
      </c>
      <c r="K182" s="28">
        <f t="shared" si="15"/>
        <v>85127724.35061136</v>
      </c>
    </row>
    <row r="183" spans="1:11" ht="14.25">
      <c r="A183" s="54">
        <v>200</v>
      </c>
      <c r="B183" s="67">
        <v>48214</v>
      </c>
      <c r="C183" s="28">
        <f t="shared" si="18"/>
        <v>85127724.35061136</v>
      </c>
      <c r="D183" s="28"/>
      <c r="E183" s="55">
        <f>Additions!J205*$C$5</f>
        <v>0</v>
      </c>
      <c r="F183" s="55">
        <f t="shared" si="20"/>
        <v>718477.9935191598</v>
      </c>
      <c r="G183" s="55">
        <f t="shared" si="17"/>
        <v>1679975.123706393</v>
      </c>
      <c r="H183" s="56">
        <f t="shared" si="19"/>
        <v>-961497.1301872331</v>
      </c>
      <c r="I183" s="56"/>
      <c r="J183" s="80">
        <f t="shared" si="16"/>
        <v>336523.99556553154</v>
      </c>
      <c r="K183" s="28">
        <f t="shared" si="15"/>
        <v>84502751.21598965</v>
      </c>
    </row>
    <row r="184" spans="1:11" ht="14.25">
      <c r="A184" s="54">
        <v>201</v>
      </c>
      <c r="B184" s="67">
        <v>48245</v>
      </c>
      <c r="C184" s="28">
        <f t="shared" si="18"/>
        <v>84502751.21598965</v>
      </c>
      <c r="D184" s="28"/>
      <c r="E184" s="55">
        <f>Additions!J206*$C$5</f>
        <v>0</v>
      </c>
      <c r="F184" s="55">
        <f t="shared" si="20"/>
        <v>713203.2202629526</v>
      </c>
      <c r="G184" s="55">
        <f t="shared" si="17"/>
        <v>1679975.123706393</v>
      </c>
      <c r="H184" s="56">
        <f t="shared" si="19"/>
        <v>-966771.9034434403</v>
      </c>
      <c r="I184" s="56"/>
      <c r="J184" s="80">
        <f t="shared" si="16"/>
        <v>338370.1662052041</v>
      </c>
      <c r="K184" s="28">
        <f t="shared" si="15"/>
        <v>83874349.47875142</v>
      </c>
    </row>
    <row r="185" spans="1:11" ht="14.25">
      <c r="A185" s="54">
        <v>202</v>
      </c>
      <c r="B185" s="67">
        <v>48274</v>
      </c>
      <c r="C185" s="28">
        <f t="shared" si="18"/>
        <v>83874349.47875142</v>
      </c>
      <c r="D185" s="28"/>
      <c r="E185" s="55">
        <f>Additions!J207*$C$5</f>
        <v>0</v>
      </c>
      <c r="F185" s="55">
        <f t="shared" si="20"/>
        <v>707899.5096006619</v>
      </c>
      <c r="G185" s="55">
        <f t="shared" si="17"/>
        <v>1679975.123706393</v>
      </c>
      <c r="H185" s="56">
        <f t="shared" si="19"/>
        <v>-972075.614105731</v>
      </c>
      <c r="I185" s="56"/>
      <c r="J185" s="80">
        <f t="shared" si="16"/>
        <v>340226.46493700583</v>
      </c>
      <c r="K185" s="28">
        <f t="shared" si="15"/>
        <v>83242500.32958269</v>
      </c>
    </row>
    <row r="186" spans="1:11" ht="14.25">
      <c r="A186" s="54">
        <v>203</v>
      </c>
      <c r="B186" s="67">
        <v>48305</v>
      </c>
      <c r="C186" s="28">
        <f t="shared" si="18"/>
        <v>83242500.32958269</v>
      </c>
      <c r="D186" s="28"/>
      <c r="E186" s="55">
        <f>Additions!J208*$C$5</f>
        <v>0</v>
      </c>
      <c r="F186" s="55">
        <f t="shared" si="20"/>
        <v>702566.7027816778</v>
      </c>
      <c r="G186" s="55">
        <f t="shared" si="17"/>
        <v>1679975.123706393</v>
      </c>
      <c r="H186" s="56">
        <f t="shared" si="19"/>
        <v>-977408.4209247151</v>
      </c>
      <c r="I186" s="56"/>
      <c r="J186" s="80">
        <f t="shared" si="16"/>
        <v>342092.9473236503</v>
      </c>
      <c r="K186" s="28">
        <f t="shared" si="15"/>
        <v>82607184.85598162</v>
      </c>
    </row>
    <row r="187" spans="1:11" ht="14.25">
      <c r="A187" s="54">
        <v>204</v>
      </c>
      <c r="B187" s="67">
        <v>48335</v>
      </c>
      <c r="C187" s="28">
        <f t="shared" si="18"/>
        <v>82607184.85598162</v>
      </c>
      <c r="D187" s="28"/>
      <c r="E187" s="55">
        <f>Additions!J209*$C$5</f>
        <v>0</v>
      </c>
      <c r="F187" s="55">
        <f t="shared" si="20"/>
        <v>697204.6401844848</v>
      </c>
      <c r="G187" s="55">
        <f t="shared" si="17"/>
        <v>1679975.123706393</v>
      </c>
      <c r="H187" s="56">
        <f t="shared" si="19"/>
        <v>-982770.4835219082</v>
      </c>
      <c r="I187" s="56"/>
      <c r="J187" s="80">
        <f t="shared" si="16"/>
        <v>343969.66923266783</v>
      </c>
      <c r="K187" s="28">
        <f t="shared" si="15"/>
        <v>81968384.04169238</v>
      </c>
    </row>
    <row r="188" spans="1:11" ht="14.25">
      <c r="A188" s="54">
        <v>205</v>
      </c>
      <c r="B188" s="67">
        <v>48366</v>
      </c>
      <c r="C188" s="28">
        <f t="shared" si="18"/>
        <v>81968384.04169238</v>
      </c>
      <c r="D188" s="28"/>
      <c r="E188" s="55">
        <f>Additions!J210*$C$5</f>
        <v>0</v>
      </c>
      <c r="F188" s="55">
        <f t="shared" si="20"/>
        <v>691813.1613118836</v>
      </c>
      <c r="G188" s="55">
        <f t="shared" si="17"/>
        <v>1679975.123706393</v>
      </c>
      <c r="H188" s="56">
        <f t="shared" si="19"/>
        <v>-988161.9623945093</v>
      </c>
      <c r="I188" s="56"/>
      <c r="J188" s="80">
        <f t="shared" si="16"/>
        <v>345856.68683807825</v>
      </c>
      <c r="K188" s="28">
        <f t="shared" si="15"/>
        <v>81326078.76613595</v>
      </c>
    </row>
    <row r="189" spans="1:11" ht="14.25">
      <c r="A189" s="54">
        <v>206</v>
      </c>
      <c r="B189" s="67">
        <v>48396</v>
      </c>
      <c r="C189" s="28">
        <f t="shared" si="18"/>
        <v>81326078.76613595</v>
      </c>
      <c r="D189" s="28"/>
      <c r="E189" s="55">
        <f>Additions!J211*$C$5</f>
        <v>0</v>
      </c>
      <c r="F189" s="55">
        <f t="shared" si="20"/>
        <v>686392.1047861873</v>
      </c>
      <c r="G189" s="55">
        <f t="shared" si="17"/>
        <v>1679975.123706393</v>
      </c>
      <c r="H189" s="56">
        <f t="shared" si="19"/>
        <v>-993583.0189202056</v>
      </c>
      <c r="I189" s="56"/>
      <c r="J189" s="80">
        <f t="shared" si="16"/>
        <v>347754.05662207195</v>
      </c>
      <c r="K189" s="28">
        <f t="shared" si="15"/>
        <v>80680249.80383782</v>
      </c>
    </row>
    <row r="190" spans="1:11" ht="14.25">
      <c r="A190" s="54">
        <v>207</v>
      </c>
      <c r="B190" s="67">
        <v>48427</v>
      </c>
      <c r="C190" s="28">
        <f t="shared" si="18"/>
        <v>80680249.80383782</v>
      </c>
      <c r="D190" s="28"/>
      <c r="E190" s="55">
        <f>Additions!J212*$C$5</f>
        <v>0</v>
      </c>
      <c r="F190" s="55">
        <f t="shared" si="20"/>
        <v>680941.3083443912</v>
      </c>
      <c r="G190" s="55">
        <f t="shared" si="17"/>
        <v>1679975.123706393</v>
      </c>
      <c r="H190" s="56">
        <f t="shared" si="19"/>
        <v>-999033.8153620018</v>
      </c>
      <c r="I190" s="56"/>
      <c r="J190" s="80">
        <f t="shared" si="16"/>
        <v>349661.8353767006</v>
      </c>
      <c r="K190" s="28">
        <f t="shared" si="15"/>
        <v>80030877.82385252</v>
      </c>
    </row>
    <row r="191" spans="1:11" ht="14.25">
      <c r="A191" s="54">
        <v>208</v>
      </c>
      <c r="B191" s="67">
        <v>48458</v>
      </c>
      <c r="C191" s="28">
        <f t="shared" si="18"/>
        <v>80030877.82385252</v>
      </c>
      <c r="D191" s="28"/>
      <c r="E191" s="55">
        <f>Additions!J213*$C$5</f>
        <v>0</v>
      </c>
      <c r="F191" s="55">
        <f t="shared" si="20"/>
        <v>675460.6088333153</v>
      </c>
      <c r="G191" s="55">
        <f t="shared" si="17"/>
        <v>1679975.123706393</v>
      </c>
      <c r="H191" s="56">
        <f t="shared" si="19"/>
        <v>-1004514.5148730776</v>
      </c>
      <c r="I191" s="56"/>
      <c r="J191" s="80">
        <f t="shared" si="16"/>
        <v>351580.08020557713</v>
      </c>
      <c r="K191" s="28">
        <f t="shared" si="15"/>
        <v>79377943.38918503</v>
      </c>
    </row>
    <row r="192" spans="1:11" ht="14.25">
      <c r="A192" s="54">
        <v>209</v>
      </c>
      <c r="B192" s="67">
        <v>48488</v>
      </c>
      <c r="C192" s="28">
        <f t="shared" si="18"/>
        <v>79377943.38918503</v>
      </c>
      <c r="D192" s="28"/>
      <c r="E192" s="55">
        <f>Additions!J214*$C$5</f>
        <v>0</v>
      </c>
      <c r="F192" s="55">
        <f t="shared" si="20"/>
        <v>669949.8422047216</v>
      </c>
      <c r="G192" s="55">
        <f t="shared" si="17"/>
        <v>1679975.123706393</v>
      </c>
      <c r="H192" s="56">
        <f t="shared" si="19"/>
        <v>-1010025.2815016713</v>
      </c>
      <c r="I192" s="56"/>
      <c r="J192" s="80">
        <f t="shared" si="16"/>
        <v>353508.8485255849</v>
      </c>
      <c r="K192" s="28">
        <f t="shared" si="15"/>
        <v>78721426.95620894</v>
      </c>
    </row>
    <row r="193" spans="1:11" ht="14.25">
      <c r="A193" s="54">
        <v>210</v>
      </c>
      <c r="B193" s="67">
        <v>48519</v>
      </c>
      <c r="C193" s="28">
        <f t="shared" si="18"/>
        <v>78721426.95620894</v>
      </c>
      <c r="D193" s="28"/>
      <c r="E193" s="55">
        <f>Additions!J215*$C$5</f>
        <v>0</v>
      </c>
      <c r="F193" s="55">
        <f t="shared" si="20"/>
        <v>664408.8435104034</v>
      </c>
      <c r="G193" s="55">
        <f t="shared" si="17"/>
        <v>1679975.123706393</v>
      </c>
      <c r="H193" s="56">
        <f t="shared" si="19"/>
        <v>-1015566.2801959895</v>
      </c>
      <c r="I193" s="56"/>
      <c r="J193" s="80">
        <f t="shared" si="16"/>
        <v>355448.1980685963</v>
      </c>
      <c r="K193" s="28">
        <f t="shared" si="15"/>
        <v>78061308.87408155</v>
      </c>
    </row>
    <row r="194" spans="1:11" ht="14.25">
      <c r="A194" s="54">
        <v>211</v>
      </c>
      <c r="B194" s="67">
        <v>48549</v>
      </c>
      <c r="C194" s="28">
        <f t="shared" si="18"/>
        <v>78061308.87408155</v>
      </c>
      <c r="D194" s="28"/>
      <c r="E194" s="55">
        <f>Additions!J216*$C$5</f>
        <v>0</v>
      </c>
      <c r="F194" s="55">
        <f t="shared" si="20"/>
        <v>658837.4468972483</v>
      </c>
      <c r="G194" s="55">
        <f t="shared" si="17"/>
        <v>1679975.123706393</v>
      </c>
      <c r="H194" s="56">
        <f t="shared" si="19"/>
        <v>-1021137.6768091447</v>
      </c>
      <c r="I194" s="56"/>
      <c r="J194" s="80">
        <f t="shared" si="16"/>
        <v>357398.1868832006</v>
      </c>
      <c r="K194" s="28">
        <f t="shared" si="15"/>
        <v>77397569.38415562</v>
      </c>
    </row>
    <row r="195" spans="1:11" ht="14.25">
      <c r="A195" s="54">
        <v>212</v>
      </c>
      <c r="B195" s="67">
        <v>48580</v>
      </c>
      <c r="C195" s="28">
        <f t="shared" si="18"/>
        <v>77397569.38415562</v>
      </c>
      <c r="D195" s="28"/>
      <c r="E195" s="55">
        <f>Additions!J217*$C$5</f>
        <v>0</v>
      </c>
      <c r="F195" s="55">
        <f t="shared" si="20"/>
        <v>653235.4856022734</v>
      </c>
      <c r="G195" s="55">
        <f t="shared" si="17"/>
        <v>1679975.123706393</v>
      </c>
      <c r="H195" s="56">
        <f t="shared" si="19"/>
        <v>-1026739.6381041196</v>
      </c>
      <c r="I195" s="56"/>
      <c r="J195" s="80">
        <f t="shared" si="16"/>
        <v>359358.8733364418</v>
      </c>
      <c r="K195" s="28">
        <f t="shared" si="15"/>
        <v>76730188.61938792</v>
      </c>
    </row>
    <row r="196" spans="1:11" ht="14.25">
      <c r="A196" s="54">
        <v>213</v>
      </c>
      <c r="B196" s="67">
        <v>48611</v>
      </c>
      <c r="C196" s="28">
        <f t="shared" si="18"/>
        <v>76730188.61938792</v>
      </c>
      <c r="D196" s="28"/>
      <c r="E196" s="55">
        <f>Additions!J218*$C$5</f>
        <v>0</v>
      </c>
      <c r="F196" s="55">
        <f t="shared" si="20"/>
        <v>647602.7919476341</v>
      </c>
      <c r="G196" s="55">
        <f t="shared" si="17"/>
        <v>1679975.123706393</v>
      </c>
      <c r="H196" s="56">
        <f t="shared" si="19"/>
        <v>-1032372.3317587589</v>
      </c>
      <c r="I196" s="56"/>
      <c r="J196" s="80">
        <f t="shared" si="16"/>
        <v>361330.3161155656</v>
      </c>
      <c r="K196" s="28">
        <f t="shared" si="15"/>
        <v>76059146.60374472</v>
      </c>
    </row>
    <row r="197" spans="1:11" ht="14.25">
      <c r="A197" s="54">
        <v>214</v>
      </c>
      <c r="B197" s="67">
        <v>48639</v>
      </c>
      <c r="C197" s="28">
        <f t="shared" si="18"/>
        <v>76059146.60374472</v>
      </c>
      <c r="D197" s="28"/>
      <c r="E197" s="55">
        <f>Additions!J219*$C$5</f>
        <v>0</v>
      </c>
      <c r="F197" s="55">
        <f t="shared" si="20"/>
        <v>641939.1973356054</v>
      </c>
      <c r="G197" s="55">
        <f t="shared" si="17"/>
        <v>1679975.123706393</v>
      </c>
      <c r="H197" s="56">
        <f t="shared" si="19"/>
        <v>-1038035.9263707876</v>
      </c>
      <c r="I197" s="56"/>
      <c r="J197" s="80">
        <f t="shared" si="16"/>
        <v>363312.57422977564</v>
      </c>
      <c r="K197" s="28">
        <f t="shared" si="15"/>
        <v>75384423.2516037</v>
      </c>
    </row>
    <row r="198" spans="1:11" ht="14.25">
      <c r="A198" s="54">
        <v>215</v>
      </c>
      <c r="B198" s="67">
        <v>48670</v>
      </c>
      <c r="C198" s="28">
        <f t="shared" si="18"/>
        <v>75384423.2516037</v>
      </c>
      <c r="D198" s="28"/>
      <c r="E198" s="55">
        <f>Additions!J220*$C$5</f>
        <v>0</v>
      </c>
      <c r="F198" s="55">
        <f t="shared" si="20"/>
        <v>636244.5322435352</v>
      </c>
      <c r="G198" s="55">
        <f t="shared" si="17"/>
        <v>1679975.123706393</v>
      </c>
      <c r="H198" s="56">
        <f t="shared" si="19"/>
        <v>-1043730.5914628578</v>
      </c>
      <c r="I198" s="56"/>
      <c r="J198" s="80">
        <f t="shared" si="16"/>
        <v>365305.7070120002</v>
      </c>
      <c r="K198" s="28">
        <f t="shared" si="15"/>
        <v>74705998.36715284</v>
      </c>
    </row>
    <row r="199" spans="1:11" ht="14.25">
      <c r="A199" s="54">
        <v>216</v>
      </c>
      <c r="B199" s="67">
        <v>48700</v>
      </c>
      <c r="C199" s="28">
        <f t="shared" si="18"/>
        <v>74705998.36715284</v>
      </c>
      <c r="D199" s="28"/>
      <c r="E199" s="55">
        <f>Additions!J221*$C$5</f>
        <v>0</v>
      </c>
      <c r="F199" s="55">
        <f t="shared" si="20"/>
        <v>630518.6262187699</v>
      </c>
      <c r="G199" s="55">
        <f t="shared" si="17"/>
        <v>1679975.123706393</v>
      </c>
      <c r="H199" s="56">
        <f t="shared" si="19"/>
        <v>-1049456.497487623</v>
      </c>
      <c r="I199" s="56"/>
      <c r="J199" s="80">
        <f t="shared" si="16"/>
        <v>367309.774120668</v>
      </c>
      <c r="K199" s="28">
        <f t="shared" si="15"/>
        <v>74023851.64378588</v>
      </c>
    </row>
    <row r="200" spans="1:11" ht="14.25">
      <c r="A200" s="54">
        <v>217</v>
      </c>
      <c r="B200" s="67">
        <v>48731</v>
      </c>
      <c r="C200" s="28">
        <f t="shared" si="18"/>
        <v>74023851.64378588</v>
      </c>
      <c r="D200" s="28"/>
      <c r="E200" s="55">
        <f>Additions!J222*$C$5</f>
        <v>0</v>
      </c>
      <c r="F200" s="55">
        <f t="shared" si="20"/>
        <v>624761.3078735528</v>
      </c>
      <c r="G200" s="55">
        <f t="shared" si="17"/>
        <v>1679975.123706393</v>
      </c>
      <c r="H200" s="56">
        <f t="shared" si="19"/>
        <v>-1055213.8158328403</v>
      </c>
      <c r="I200" s="56"/>
      <c r="J200" s="80">
        <f t="shared" si="16"/>
        <v>369324.8355414941</v>
      </c>
      <c r="K200" s="28">
        <f t="shared" si="15"/>
        <v>73337962.66349453</v>
      </c>
    </row>
    <row r="201" spans="1:11" ht="14.25">
      <c r="A201" s="54">
        <v>218</v>
      </c>
      <c r="B201" s="67">
        <v>48761</v>
      </c>
      <c r="C201" s="28">
        <f t="shared" si="18"/>
        <v>73337962.66349453</v>
      </c>
      <c r="D201" s="28"/>
      <c r="E201" s="55">
        <f>Additions!J223*$C$5</f>
        <v>0</v>
      </c>
      <c r="F201" s="55">
        <f t="shared" si="20"/>
        <v>618972.4048798938</v>
      </c>
      <c r="G201" s="55">
        <f t="shared" si="17"/>
        <v>1679975.123706393</v>
      </c>
      <c r="H201" s="56">
        <f t="shared" si="19"/>
        <v>-1061002.7188264993</v>
      </c>
      <c r="I201" s="56"/>
      <c r="J201" s="80">
        <f t="shared" si="16"/>
        <v>371350.95158927474</v>
      </c>
      <c r="K201" s="28">
        <f aca="true" t="shared" si="21" ref="K201:K264">C201+E201+F201-G201+J201</f>
        <v>72648310.8962573</v>
      </c>
    </row>
    <row r="202" spans="1:11" ht="14.25">
      <c r="A202" s="54">
        <v>219</v>
      </c>
      <c r="B202" s="67">
        <v>48792</v>
      </c>
      <c r="C202" s="28">
        <f t="shared" si="18"/>
        <v>72648310.8962573</v>
      </c>
      <c r="D202" s="28"/>
      <c r="E202" s="55">
        <f>Additions!J224*$C$5</f>
        <v>0</v>
      </c>
      <c r="F202" s="55">
        <f t="shared" si="20"/>
        <v>613151.7439644116</v>
      </c>
      <c r="G202" s="55">
        <f t="shared" si="17"/>
        <v>1679975.123706393</v>
      </c>
      <c r="H202" s="56">
        <f t="shared" si="19"/>
        <v>-1066823.3797419814</v>
      </c>
      <c r="I202" s="56"/>
      <c r="J202" s="80">
        <f aca="true" t="shared" si="22" ref="J202:J265">-H202*0.35</f>
        <v>373388.18290969345</v>
      </c>
      <c r="K202" s="28">
        <f t="shared" si="21"/>
        <v>71954875.69942501</v>
      </c>
    </row>
    <row r="203" spans="1:11" ht="14.25">
      <c r="A203" s="54">
        <v>220</v>
      </c>
      <c r="B203" s="67">
        <v>48823</v>
      </c>
      <c r="C203" s="28">
        <f t="shared" si="18"/>
        <v>71954875.69942501</v>
      </c>
      <c r="D203" s="28"/>
      <c r="E203" s="55">
        <f>Additions!J225*$C$5</f>
        <v>0</v>
      </c>
      <c r="F203" s="55">
        <f t="shared" si="20"/>
        <v>607299.1509031471</v>
      </c>
      <c r="G203" s="55">
        <f aca="true" t="shared" si="23" ref="G203:G266">G202</f>
        <v>1679975.123706393</v>
      </c>
      <c r="H203" s="56">
        <f t="shared" si="19"/>
        <v>-1072675.9728032458</v>
      </c>
      <c r="I203" s="56"/>
      <c r="J203" s="80">
        <f t="shared" si="22"/>
        <v>375436.590481136</v>
      </c>
      <c r="K203" s="28">
        <f t="shared" si="21"/>
        <v>71257636.31710291</v>
      </c>
    </row>
    <row r="204" spans="1:11" ht="14.25">
      <c r="A204" s="54">
        <v>221</v>
      </c>
      <c r="B204" s="67">
        <v>48853</v>
      </c>
      <c r="C204" s="28">
        <f t="shared" si="18"/>
        <v>71257636.31710291</v>
      </c>
      <c r="D204" s="28"/>
      <c r="E204" s="55">
        <f>Additions!J226*$C$5</f>
        <v>0</v>
      </c>
      <c r="F204" s="55">
        <f t="shared" si="20"/>
        <v>601414.4505163485</v>
      </c>
      <c r="G204" s="55">
        <f t="shared" si="23"/>
        <v>1679975.123706393</v>
      </c>
      <c r="H204" s="56">
        <f t="shared" si="19"/>
        <v>-1078560.6731900445</v>
      </c>
      <c r="I204" s="56"/>
      <c r="J204" s="80">
        <f t="shared" si="22"/>
        <v>377496.23561651557</v>
      </c>
      <c r="K204" s="28">
        <f t="shared" si="21"/>
        <v>70556571.87952937</v>
      </c>
    </row>
    <row r="205" spans="1:11" ht="14.25">
      <c r="A205" s="54">
        <v>222</v>
      </c>
      <c r="B205" s="67">
        <v>48884</v>
      </c>
      <c r="C205" s="28">
        <f t="shared" si="18"/>
        <v>70556571.87952937</v>
      </c>
      <c r="D205" s="28"/>
      <c r="E205" s="55">
        <f>Additions!J227*$C$5</f>
        <v>0</v>
      </c>
      <c r="F205" s="55">
        <f t="shared" si="20"/>
        <v>595497.4666632279</v>
      </c>
      <c r="G205" s="55">
        <f t="shared" si="23"/>
        <v>1679975.123706393</v>
      </c>
      <c r="H205" s="56">
        <f t="shared" si="19"/>
        <v>-1084477.657043165</v>
      </c>
      <c r="I205" s="56"/>
      <c r="J205" s="80">
        <f t="shared" si="22"/>
        <v>379567.17996510776</v>
      </c>
      <c r="K205" s="28">
        <f t="shared" si="21"/>
        <v>69851661.4024513</v>
      </c>
    </row>
    <row r="206" spans="1:11" ht="14.25">
      <c r="A206" s="54">
        <v>223</v>
      </c>
      <c r="B206" s="67">
        <v>48914</v>
      </c>
      <c r="C206" s="28">
        <f t="shared" si="18"/>
        <v>69851661.4024513</v>
      </c>
      <c r="D206" s="28"/>
      <c r="E206" s="55">
        <f>Additions!J228*$C$5</f>
        <v>0</v>
      </c>
      <c r="F206" s="55">
        <f t="shared" si="20"/>
        <v>589548.022236689</v>
      </c>
      <c r="G206" s="55">
        <f t="shared" si="23"/>
        <v>1679975.123706393</v>
      </c>
      <c r="H206" s="56">
        <f t="shared" si="19"/>
        <v>-1090427.101469704</v>
      </c>
      <c r="I206" s="56"/>
      <c r="J206" s="80">
        <f t="shared" si="22"/>
        <v>381649.48551439634</v>
      </c>
      <c r="K206" s="28">
        <f t="shared" si="21"/>
        <v>69142883.78649601</v>
      </c>
    </row>
    <row r="207" spans="1:11" ht="14.25">
      <c r="A207" s="54">
        <v>224</v>
      </c>
      <c r="B207" s="67">
        <v>48945</v>
      </c>
      <c r="C207" s="28">
        <f t="shared" si="18"/>
        <v>69142883.78649601</v>
      </c>
      <c r="D207" s="28"/>
      <c r="E207" s="55">
        <f>Additions!J229*$C$5</f>
        <v>0</v>
      </c>
      <c r="F207" s="55">
        <f t="shared" si="20"/>
        <v>583565.9391580264</v>
      </c>
      <c r="G207" s="55">
        <f t="shared" si="23"/>
        <v>1679975.123706393</v>
      </c>
      <c r="H207" s="56">
        <f t="shared" si="19"/>
        <v>-1096409.1845483666</v>
      </c>
      <c r="I207" s="56"/>
      <c r="J207" s="80">
        <f t="shared" si="22"/>
        <v>383743.2145919283</v>
      </c>
      <c r="K207" s="28">
        <f t="shared" si="21"/>
        <v>68430217.81653957</v>
      </c>
    </row>
    <row r="208" spans="1:11" ht="14.25">
      <c r="A208" s="54">
        <v>225</v>
      </c>
      <c r="B208" s="67">
        <v>48976</v>
      </c>
      <c r="C208" s="28">
        <f t="shared" si="18"/>
        <v>68430217.81653957</v>
      </c>
      <c r="D208" s="28"/>
      <c r="E208" s="55">
        <f>Additions!J230*$C$5</f>
        <v>0</v>
      </c>
      <c r="F208" s="55">
        <f t="shared" si="20"/>
        <v>577551.0383715939</v>
      </c>
      <c r="G208" s="55">
        <f t="shared" si="23"/>
        <v>1679975.123706393</v>
      </c>
      <c r="H208" s="56">
        <f t="shared" si="19"/>
        <v>-1102424.085334799</v>
      </c>
      <c r="I208" s="56"/>
      <c r="J208" s="80">
        <f t="shared" si="22"/>
        <v>385848.42986717966</v>
      </c>
      <c r="K208" s="28">
        <f t="shared" si="21"/>
        <v>67713642.16107196</v>
      </c>
    </row>
    <row r="209" spans="1:11" ht="14.25">
      <c r="A209" s="54">
        <v>226</v>
      </c>
      <c r="B209" s="67">
        <v>49004</v>
      </c>
      <c r="C209" s="28">
        <f t="shared" si="18"/>
        <v>67713642.16107196</v>
      </c>
      <c r="D209" s="28"/>
      <c r="E209" s="55">
        <f>Additions!J231*$C$5</f>
        <v>0</v>
      </c>
      <c r="F209" s="55">
        <f t="shared" si="20"/>
        <v>571503.1398394473</v>
      </c>
      <c r="G209" s="55">
        <f t="shared" si="23"/>
        <v>1679975.123706393</v>
      </c>
      <c r="H209" s="56">
        <f t="shared" si="19"/>
        <v>-1108471.9838669456</v>
      </c>
      <c r="I209" s="56"/>
      <c r="J209" s="80">
        <f t="shared" si="22"/>
        <v>387965.19435343094</v>
      </c>
      <c r="K209" s="28">
        <f t="shared" si="21"/>
        <v>66993135.371558435</v>
      </c>
    </row>
    <row r="210" spans="1:11" ht="14.25">
      <c r="A210" s="54">
        <v>227</v>
      </c>
      <c r="B210" s="67">
        <v>49035</v>
      </c>
      <c r="C210" s="28">
        <f t="shared" si="18"/>
        <v>66993135.371558435</v>
      </c>
      <c r="D210" s="28"/>
      <c r="E210" s="55">
        <f>Additions!J232*$C$5</f>
        <v>0</v>
      </c>
      <c r="F210" s="55">
        <f t="shared" si="20"/>
        <v>565422.0625359531</v>
      </c>
      <c r="G210" s="55">
        <f t="shared" si="23"/>
        <v>1679975.123706393</v>
      </c>
      <c r="H210" s="56">
        <f t="shared" si="19"/>
        <v>-1114553.0611704397</v>
      </c>
      <c r="I210" s="56"/>
      <c r="J210" s="80">
        <f t="shared" si="22"/>
        <v>390093.5714096539</v>
      </c>
      <c r="K210" s="28">
        <f t="shared" si="21"/>
        <v>66268675.88179764</v>
      </c>
    </row>
    <row r="211" spans="1:11" ht="14.25">
      <c r="A211" s="54">
        <v>228</v>
      </c>
      <c r="B211" s="67">
        <v>49065</v>
      </c>
      <c r="C211" s="28">
        <f t="shared" si="18"/>
        <v>66268675.88179764</v>
      </c>
      <c r="D211" s="28"/>
      <c r="E211" s="55">
        <f>Additions!J233*$C$5</f>
        <v>0</v>
      </c>
      <c r="F211" s="55">
        <f t="shared" si="20"/>
        <v>559307.6244423721</v>
      </c>
      <c r="G211" s="55">
        <f t="shared" si="23"/>
        <v>1679975.123706393</v>
      </c>
      <c r="H211" s="56">
        <f t="shared" si="19"/>
        <v>-1120667.499264021</v>
      </c>
      <c r="I211" s="56"/>
      <c r="J211" s="80">
        <f t="shared" si="22"/>
        <v>392233.6247424073</v>
      </c>
      <c r="K211" s="28">
        <f t="shared" si="21"/>
        <v>65540242.00727602</v>
      </c>
    </row>
    <row r="212" spans="1:11" ht="14.25">
      <c r="A212" s="54">
        <v>229</v>
      </c>
      <c r="B212" s="67">
        <v>49096</v>
      </c>
      <c r="C212" s="28">
        <f t="shared" si="18"/>
        <v>65540242.00727602</v>
      </c>
      <c r="D212" s="28"/>
      <c r="E212" s="55">
        <f>Additions!J234*$C$5</f>
        <v>0</v>
      </c>
      <c r="F212" s="55">
        <f t="shared" si="20"/>
        <v>553159.6425414096</v>
      </c>
      <c r="G212" s="55">
        <f t="shared" si="23"/>
        <v>1679975.123706393</v>
      </c>
      <c r="H212" s="56">
        <f t="shared" si="19"/>
        <v>-1126815.4811649835</v>
      </c>
      <c r="I212" s="56"/>
      <c r="J212" s="80">
        <f t="shared" si="22"/>
        <v>394385.4184077442</v>
      </c>
      <c r="K212" s="28">
        <f t="shared" si="21"/>
        <v>64807811.94451878</v>
      </c>
    </row>
    <row r="213" spans="1:11" ht="14.25">
      <c r="A213" s="54">
        <v>230</v>
      </c>
      <c r="B213" s="67">
        <v>49126</v>
      </c>
      <c r="C213" s="28">
        <f t="shared" si="18"/>
        <v>64807811.94451878</v>
      </c>
      <c r="D213" s="28"/>
      <c r="E213" s="55">
        <f>Additions!J235*$C$5</f>
        <v>0</v>
      </c>
      <c r="F213" s="55">
        <f t="shared" si="20"/>
        <v>546977.9328117385</v>
      </c>
      <c r="G213" s="55">
        <f t="shared" si="23"/>
        <v>1679975.123706393</v>
      </c>
      <c r="H213" s="56">
        <f t="shared" si="19"/>
        <v>-1132997.1908946545</v>
      </c>
      <c r="I213" s="56"/>
      <c r="J213" s="80">
        <f t="shared" si="22"/>
        <v>396549.01681312907</v>
      </c>
      <c r="K213" s="28">
        <f t="shared" si="21"/>
        <v>64071363.770437256</v>
      </c>
    </row>
    <row r="214" spans="1:11" ht="14.25">
      <c r="A214" s="54">
        <v>231</v>
      </c>
      <c r="B214" s="67">
        <v>49157</v>
      </c>
      <c r="C214" s="28">
        <f t="shared" si="18"/>
        <v>64071363.770437256</v>
      </c>
      <c r="D214" s="28"/>
      <c r="E214" s="55">
        <f>Additions!J236*$C$5</f>
        <v>0</v>
      </c>
      <c r="F214" s="55">
        <f t="shared" si="20"/>
        <v>540762.3102224905</v>
      </c>
      <c r="G214" s="55">
        <f t="shared" si="23"/>
        <v>1679975.123706393</v>
      </c>
      <c r="H214" s="56">
        <f t="shared" si="19"/>
        <v>-1139212.8134839025</v>
      </c>
      <c r="I214" s="56"/>
      <c r="J214" s="80">
        <f t="shared" si="22"/>
        <v>398724.48471936584</v>
      </c>
      <c r="K214" s="28">
        <f t="shared" si="21"/>
        <v>63330875.44167272</v>
      </c>
    </row>
    <row r="215" spans="1:11" ht="14.25">
      <c r="A215" s="54">
        <v>232</v>
      </c>
      <c r="B215" s="67">
        <v>49188</v>
      </c>
      <c r="C215" s="28">
        <f t="shared" si="18"/>
        <v>63330875.44167272</v>
      </c>
      <c r="D215" s="28"/>
      <c r="E215" s="55">
        <f>Additions!J237*$C$5</f>
        <v>0</v>
      </c>
      <c r="F215" s="55">
        <f t="shared" si="20"/>
        <v>534512.5887277178</v>
      </c>
      <c r="G215" s="55">
        <f t="shared" si="23"/>
        <v>1679975.123706393</v>
      </c>
      <c r="H215" s="56">
        <f t="shared" si="19"/>
        <v>-1145462.5349786752</v>
      </c>
      <c r="I215" s="56"/>
      <c r="J215" s="80">
        <f t="shared" si="22"/>
        <v>400911.8872425363</v>
      </c>
      <c r="K215" s="28">
        <f t="shared" si="21"/>
        <v>62586324.79393658</v>
      </c>
    </row>
    <row r="216" spans="1:11" ht="14.25">
      <c r="A216" s="54">
        <v>233</v>
      </c>
      <c r="B216" s="67">
        <v>49218</v>
      </c>
      <c r="C216" s="28">
        <f t="shared" si="18"/>
        <v>62586324.79393658</v>
      </c>
      <c r="D216" s="28"/>
      <c r="E216" s="55">
        <f>Additions!J238*$C$5</f>
        <v>0</v>
      </c>
      <c r="F216" s="55">
        <f t="shared" si="20"/>
        <v>528228.5812608247</v>
      </c>
      <c r="G216" s="55">
        <f t="shared" si="23"/>
        <v>1679975.123706393</v>
      </c>
      <c r="H216" s="56">
        <f t="shared" si="19"/>
        <v>-1151746.5424455684</v>
      </c>
      <c r="I216" s="56"/>
      <c r="J216" s="80">
        <f t="shared" si="22"/>
        <v>403111.2898559489</v>
      </c>
      <c r="K216" s="28">
        <f t="shared" si="21"/>
        <v>61837689.54134696</v>
      </c>
    </row>
    <row r="217" spans="1:11" ht="14.25">
      <c r="A217" s="54">
        <v>234</v>
      </c>
      <c r="B217" s="67">
        <v>49249</v>
      </c>
      <c r="C217" s="28">
        <f t="shared" si="18"/>
        <v>61837689.54134696</v>
      </c>
      <c r="D217" s="28"/>
      <c r="E217" s="55">
        <f>Additions!J239*$C$5</f>
        <v>0</v>
      </c>
      <c r="F217" s="55">
        <f t="shared" si="20"/>
        <v>521910.09972896834</v>
      </c>
      <c r="G217" s="55">
        <f t="shared" si="23"/>
        <v>1679975.123706393</v>
      </c>
      <c r="H217" s="56">
        <f t="shared" si="19"/>
        <v>-1158065.0239774245</v>
      </c>
      <c r="I217" s="56"/>
      <c r="J217" s="80">
        <f t="shared" si="22"/>
        <v>405322.75839209853</v>
      </c>
      <c r="K217" s="28">
        <f t="shared" si="21"/>
        <v>61084947.275761634</v>
      </c>
    </row>
    <row r="218" spans="1:11" ht="14.25">
      <c r="A218" s="54">
        <v>235</v>
      </c>
      <c r="B218" s="67">
        <v>49279</v>
      </c>
      <c r="C218" s="28">
        <f t="shared" si="18"/>
        <v>61084947.275761634</v>
      </c>
      <c r="D218" s="28"/>
      <c r="E218" s="55">
        <f>Additions!J240*$C$5</f>
        <v>0</v>
      </c>
      <c r="F218" s="55">
        <f t="shared" si="20"/>
        <v>515556.9550074282</v>
      </c>
      <c r="G218" s="55">
        <f t="shared" si="23"/>
        <v>1679975.123706393</v>
      </c>
      <c r="H218" s="56">
        <f t="shared" si="19"/>
        <v>-1164418.1686989646</v>
      </c>
      <c r="I218" s="56"/>
      <c r="J218" s="80">
        <f t="shared" si="22"/>
        <v>407546.3590446376</v>
      </c>
      <c r="K218" s="28">
        <f t="shared" si="21"/>
        <v>60328075.46610731</v>
      </c>
    </row>
    <row r="219" spans="1:11" ht="14.25">
      <c r="A219" s="54">
        <v>236</v>
      </c>
      <c r="B219" s="67">
        <v>49310</v>
      </c>
      <c r="C219" s="28">
        <f t="shared" si="18"/>
        <v>60328075.46610731</v>
      </c>
      <c r="D219" s="28"/>
      <c r="E219" s="55">
        <f>Additions!J241*$C$5</f>
        <v>0</v>
      </c>
      <c r="F219" s="55">
        <f t="shared" si="20"/>
        <v>509168.95693394565</v>
      </c>
      <c r="G219" s="55">
        <f t="shared" si="23"/>
        <v>1679975.123706393</v>
      </c>
      <c r="H219" s="56">
        <f t="shared" si="19"/>
        <v>-1170806.1667724473</v>
      </c>
      <c r="I219" s="56"/>
      <c r="J219" s="80">
        <f t="shared" si="22"/>
        <v>409782.15837035654</v>
      </c>
      <c r="K219" s="28">
        <f t="shared" si="21"/>
        <v>59567051.457705215</v>
      </c>
    </row>
    <row r="220" spans="1:11" ht="14.25">
      <c r="A220" s="54">
        <v>237</v>
      </c>
      <c r="B220" s="67">
        <v>49341</v>
      </c>
      <c r="C220" s="28">
        <f t="shared" si="18"/>
        <v>59567051.457705215</v>
      </c>
      <c r="D220" s="28"/>
      <c r="E220" s="55">
        <f>Additions!J242*$C$5</f>
        <v>0</v>
      </c>
      <c r="F220" s="55">
        <f t="shared" si="20"/>
        <v>502745.914303032</v>
      </c>
      <c r="G220" s="55">
        <f t="shared" si="23"/>
        <v>1679975.123706393</v>
      </c>
      <c r="H220" s="56">
        <f t="shared" si="19"/>
        <v>-1177229.209403361</v>
      </c>
      <c r="I220" s="56"/>
      <c r="J220" s="80">
        <f t="shared" si="22"/>
        <v>412030.2232911763</v>
      </c>
      <c r="K220" s="28">
        <f t="shared" si="21"/>
        <v>58801852.47159303</v>
      </c>
    </row>
    <row r="221" spans="1:11" ht="14.25">
      <c r="A221" s="54">
        <v>238</v>
      </c>
      <c r="B221" s="67">
        <v>49369</v>
      </c>
      <c r="C221" s="28">
        <f t="shared" si="18"/>
        <v>58801852.47159303</v>
      </c>
      <c r="D221" s="28"/>
      <c r="E221" s="55">
        <f>Additions!J243*$C$5</f>
        <v>0</v>
      </c>
      <c r="F221" s="55">
        <f t="shared" si="20"/>
        <v>496287.63486024516</v>
      </c>
      <c r="G221" s="55">
        <f t="shared" si="23"/>
        <v>1679975.123706393</v>
      </c>
      <c r="H221" s="56">
        <f t="shared" si="19"/>
        <v>-1183687.488846148</v>
      </c>
      <c r="I221" s="56"/>
      <c r="J221" s="80">
        <f t="shared" si="22"/>
        <v>414290.62109615176</v>
      </c>
      <c r="K221" s="28">
        <f t="shared" si="21"/>
        <v>58032455.60384303</v>
      </c>
    </row>
    <row r="222" spans="1:11" ht="14.25">
      <c r="A222" s="54">
        <v>239</v>
      </c>
      <c r="B222" s="67">
        <v>49400</v>
      </c>
      <c r="C222" s="28">
        <f t="shared" si="18"/>
        <v>58032455.60384303</v>
      </c>
      <c r="D222" s="28"/>
      <c r="E222" s="55">
        <f>Additions!J244*$C$5</f>
        <v>0</v>
      </c>
      <c r="F222" s="55">
        <f t="shared" si="20"/>
        <v>489793.9252964352</v>
      </c>
      <c r="G222" s="55">
        <f t="shared" si="23"/>
        <v>1679975.123706393</v>
      </c>
      <c r="H222" s="56">
        <f t="shared" si="19"/>
        <v>-1190181.1984099578</v>
      </c>
      <c r="I222" s="56"/>
      <c r="J222" s="80">
        <f t="shared" si="22"/>
        <v>416563.4194434852</v>
      </c>
      <c r="K222" s="28">
        <f t="shared" si="21"/>
        <v>57258837.82487656</v>
      </c>
    </row>
    <row r="223" spans="1:11" ht="14.25">
      <c r="A223" s="54">
        <v>240</v>
      </c>
      <c r="B223" s="67">
        <v>49430</v>
      </c>
      <c r="C223" s="28">
        <f t="shared" si="18"/>
        <v>57258837.82487656</v>
      </c>
      <c r="D223" s="28"/>
      <c r="E223" s="55">
        <f>Additions!J245*$C$5</f>
        <v>0</v>
      </c>
      <c r="F223" s="55">
        <f t="shared" si="20"/>
        <v>483264.59124195814</v>
      </c>
      <c r="G223" s="55">
        <f t="shared" si="23"/>
        <v>1679975.123706393</v>
      </c>
      <c r="H223" s="56">
        <f t="shared" si="19"/>
        <v>-1196710.5324644349</v>
      </c>
      <c r="I223" s="56"/>
      <c r="J223" s="80">
        <f t="shared" si="22"/>
        <v>418848.68636255217</v>
      </c>
      <c r="K223" s="28">
        <f t="shared" si="21"/>
        <v>56480975.978774674</v>
      </c>
    </row>
    <row r="224" spans="1:11" ht="14.25">
      <c r="A224" s="54">
        <v>241</v>
      </c>
      <c r="B224" s="67">
        <v>49461</v>
      </c>
      <c r="C224" s="28">
        <f t="shared" si="18"/>
        <v>56480975.978774674</v>
      </c>
      <c r="D224" s="28"/>
      <c r="E224" s="55">
        <f>Additions!J246*$C$5</f>
        <v>0</v>
      </c>
      <c r="F224" s="55">
        <f t="shared" si="20"/>
        <v>476699.43726085825</v>
      </c>
      <c r="G224" s="55">
        <f t="shared" si="23"/>
        <v>1679975.123706393</v>
      </c>
      <c r="H224" s="56">
        <f t="shared" si="19"/>
        <v>-1203275.6864455347</v>
      </c>
      <c r="I224" s="56"/>
      <c r="J224" s="80">
        <f t="shared" si="22"/>
        <v>421146.4902559371</v>
      </c>
      <c r="K224" s="28">
        <f t="shared" si="21"/>
        <v>55698846.78258508</v>
      </c>
    </row>
    <row r="225" spans="1:11" ht="14.25">
      <c r="A225" s="54">
        <v>242</v>
      </c>
      <c r="B225" s="67">
        <v>49491</v>
      </c>
      <c r="C225" s="28">
        <f t="shared" si="18"/>
        <v>55698846.78258508</v>
      </c>
      <c r="D225" s="28"/>
      <c r="E225" s="55">
        <f>Additions!J247*$C$5</f>
        <v>0</v>
      </c>
      <c r="F225" s="55">
        <f t="shared" si="20"/>
        <v>470098.266845018</v>
      </c>
      <c r="G225" s="55">
        <f t="shared" si="23"/>
        <v>1679975.123706393</v>
      </c>
      <c r="H225" s="56">
        <f t="shared" si="19"/>
        <v>-1209876.8568613748</v>
      </c>
      <c r="I225" s="56"/>
      <c r="J225" s="80">
        <f t="shared" si="22"/>
        <v>423456.89990148117</v>
      </c>
      <c r="K225" s="28">
        <f t="shared" si="21"/>
        <v>54912426.82562518</v>
      </c>
    </row>
    <row r="226" spans="1:11" ht="14.25">
      <c r="A226" s="54">
        <v>243</v>
      </c>
      <c r="B226" s="67">
        <v>49522</v>
      </c>
      <c r="C226" s="28">
        <f t="shared" si="18"/>
        <v>54912426.82562518</v>
      </c>
      <c r="D226" s="28"/>
      <c r="E226" s="55">
        <f>Additions!J248*$C$5</f>
        <v>0</v>
      </c>
      <c r="F226" s="55">
        <f t="shared" si="20"/>
        <v>463460.8824082765</v>
      </c>
      <c r="G226" s="55">
        <f t="shared" si="23"/>
        <v>1679975.123706393</v>
      </c>
      <c r="H226" s="56">
        <f t="shared" si="19"/>
        <v>-1216514.2412981165</v>
      </c>
      <c r="I226" s="56"/>
      <c r="J226" s="80">
        <f t="shared" si="22"/>
        <v>425779.98445434077</v>
      </c>
      <c r="K226" s="28">
        <f t="shared" si="21"/>
        <v>54121692.568781406</v>
      </c>
    </row>
    <row r="227" spans="1:11" ht="14.25">
      <c r="A227" s="54">
        <v>244</v>
      </c>
      <c r="B227" s="67">
        <v>49553</v>
      </c>
      <c r="C227" s="28">
        <f t="shared" si="18"/>
        <v>54121692.568781406</v>
      </c>
      <c r="D227" s="28"/>
      <c r="E227" s="55">
        <f>Additions!J249*$C$5</f>
        <v>0</v>
      </c>
      <c r="F227" s="55">
        <f t="shared" si="20"/>
        <v>456787.085280515</v>
      </c>
      <c r="G227" s="55">
        <f t="shared" si="23"/>
        <v>1679975.123706393</v>
      </c>
      <c r="H227" s="56">
        <f t="shared" si="19"/>
        <v>-1223188.038425878</v>
      </c>
      <c r="I227" s="56"/>
      <c r="J227" s="80">
        <f t="shared" si="22"/>
        <v>428115.8134490572</v>
      </c>
      <c r="K227" s="28">
        <f t="shared" si="21"/>
        <v>53326620.34380458</v>
      </c>
    </row>
    <row r="228" spans="1:11" ht="14.25">
      <c r="A228" s="54">
        <v>245</v>
      </c>
      <c r="B228" s="67">
        <v>49583</v>
      </c>
      <c r="C228" s="28">
        <f t="shared" si="18"/>
        <v>53326620.34380458</v>
      </c>
      <c r="D228" s="28"/>
      <c r="E228" s="55">
        <f>Additions!J250*$C$5</f>
        <v>0</v>
      </c>
      <c r="F228" s="55">
        <f t="shared" si="20"/>
        <v>450076.6757017107</v>
      </c>
      <c r="G228" s="55">
        <f t="shared" si="23"/>
        <v>1679975.123706393</v>
      </c>
      <c r="H228" s="56">
        <f t="shared" si="19"/>
        <v>-1229898.4480046823</v>
      </c>
      <c r="I228" s="56"/>
      <c r="J228" s="80">
        <f t="shared" si="22"/>
        <v>430464.45680163876</v>
      </c>
      <c r="K228" s="28">
        <f t="shared" si="21"/>
        <v>52527186.352601536</v>
      </c>
    </row>
    <row r="229" spans="1:11" ht="14.25">
      <c r="A229" s="54">
        <v>246</v>
      </c>
      <c r="B229" s="67">
        <v>49614</v>
      </c>
      <c r="C229" s="28">
        <f t="shared" si="18"/>
        <v>52527186.352601536</v>
      </c>
      <c r="D229" s="28"/>
      <c r="E229" s="55">
        <f>Additions!J251*$C$5</f>
        <v>0</v>
      </c>
      <c r="F229" s="55">
        <f t="shared" si="20"/>
        <v>443329.45281595696</v>
      </c>
      <c r="G229" s="55">
        <f t="shared" si="23"/>
        <v>1679975.123706393</v>
      </c>
      <c r="H229" s="56">
        <f t="shared" si="19"/>
        <v>-1236645.670890436</v>
      </c>
      <c r="I229" s="56"/>
      <c r="J229" s="80">
        <f t="shared" si="22"/>
        <v>432825.98481165257</v>
      </c>
      <c r="K229" s="28">
        <f t="shared" si="21"/>
        <v>51723366.666522756</v>
      </c>
    </row>
    <row r="230" spans="1:11" ht="14.25">
      <c r="A230" s="54">
        <v>247</v>
      </c>
      <c r="B230" s="67">
        <v>49644</v>
      </c>
      <c r="C230" s="28">
        <f t="shared" si="18"/>
        <v>51723366.666522756</v>
      </c>
      <c r="D230" s="28"/>
      <c r="E230" s="55">
        <f>Additions!J252*$C$5</f>
        <v>0</v>
      </c>
      <c r="F230" s="55">
        <f t="shared" si="20"/>
        <v>436545.214665452</v>
      </c>
      <c r="G230" s="55">
        <f t="shared" si="23"/>
        <v>1679975.123706393</v>
      </c>
      <c r="H230" s="56">
        <f t="shared" si="19"/>
        <v>-1243429.909040941</v>
      </c>
      <c r="I230" s="56"/>
      <c r="J230" s="80">
        <f t="shared" si="22"/>
        <v>435200.4681643293</v>
      </c>
      <c r="K230" s="28">
        <f t="shared" si="21"/>
        <v>50915137.225646146</v>
      </c>
    </row>
    <row r="231" spans="1:11" ht="14.25">
      <c r="A231" s="54">
        <v>248</v>
      </c>
      <c r="B231" s="67">
        <v>49675</v>
      </c>
      <c r="C231" s="28">
        <f t="shared" si="18"/>
        <v>50915137.225646146</v>
      </c>
      <c r="D231" s="28"/>
      <c r="E231" s="55">
        <f>Additions!J253*$C$5</f>
        <v>0</v>
      </c>
      <c r="F231" s="55">
        <f t="shared" si="20"/>
        <v>429723.7581844535</v>
      </c>
      <c r="G231" s="55">
        <f t="shared" si="23"/>
        <v>1679975.123706393</v>
      </c>
      <c r="H231" s="56">
        <f t="shared" si="19"/>
        <v>-1250251.3655219395</v>
      </c>
      <c r="I231" s="56"/>
      <c r="J231" s="80">
        <f t="shared" si="22"/>
        <v>437587.97793267877</v>
      </c>
      <c r="K231" s="28">
        <f t="shared" si="21"/>
        <v>50102473.838056885</v>
      </c>
    </row>
    <row r="232" spans="1:11" ht="14.25">
      <c r="A232" s="54">
        <v>249</v>
      </c>
      <c r="B232" s="67">
        <v>49706</v>
      </c>
      <c r="C232" s="28">
        <f t="shared" si="18"/>
        <v>50102473.838056885</v>
      </c>
      <c r="D232" s="28"/>
      <c r="E232" s="55">
        <f>Additions!J254*$C$5</f>
        <v>0</v>
      </c>
      <c r="F232" s="55">
        <f t="shared" si="20"/>
        <v>422864.8791932001</v>
      </c>
      <c r="G232" s="55">
        <f t="shared" si="23"/>
        <v>1679975.123706393</v>
      </c>
      <c r="H232" s="56">
        <f t="shared" si="19"/>
        <v>-1257110.244513193</v>
      </c>
      <c r="I232" s="56"/>
      <c r="J232" s="80">
        <f t="shared" si="22"/>
        <v>439988.5855796175</v>
      </c>
      <c r="K232" s="28">
        <f t="shared" si="21"/>
        <v>49285352.17912331</v>
      </c>
    </row>
    <row r="233" spans="1:11" ht="14.25">
      <c r="A233" s="54">
        <v>250</v>
      </c>
      <c r="B233" s="67">
        <v>49735</v>
      </c>
      <c r="C233" s="28">
        <f t="shared" si="18"/>
        <v>49285352.17912331</v>
      </c>
      <c r="D233" s="28"/>
      <c r="E233" s="55">
        <f>Additions!J255*$C$5</f>
        <v>0</v>
      </c>
      <c r="F233" s="55">
        <f t="shared" si="20"/>
        <v>415968.37239180075</v>
      </c>
      <c r="G233" s="55">
        <f t="shared" si="23"/>
        <v>1679975.123706393</v>
      </c>
      <c r="H233" s="56">
        <f t="shared" si="19"/>
        <v>-1264006.751314592</v>
      </c>
      <c r="I233" s="56"/>
      <c r="J233" s="80">
        <f t="shared" si="22"/>
        <v>442402.3629601072</v>
      </c>
      <c r="K233" s="28">
        <f t="shared" si="21"/>
        <v>48463747.790768825</v>
      </c>
    </row>
    <row r="234" spans="1:11" ht="14.25">
      <c r="A234" s="54">
        <v>251</v>
      </c>
      <c r="B234" s="67">
        <v>49766</v>
      </c>
      <c r="C234" s="28">
        <f t="shared" si="18"/>
        <v>48463747.790768825</v>
      </c>
      <c r="D234" s="28"/>
      <c r="E234" s="55">
        <f>Additions!J256*$C$5</f>
        <v>0</v>
      </c>
      <c r="F234" s="55">
        <f t="shared" si="20"/>
        <v>409034.03135408886</v>
      </c>
      <c r="G234" s="55">
        <f t="shared" si="23"/>
        <v>1679975.123706393</v>
      </c>
      <c r="H234" s="56">
        <f t="shared" si="19"/>
        <v>-1270941.0923523041</v>
      </c>
      <c r="I234" s="56"/>
      <c r="J234" s="80">
        <f t="shared" si="22"/>
        <v>444829.3823233064</v>
      </c>
      <c r="K234" s="28">
        <f t="shared" si="21"/>
        <v>47637636.08073983</v>
      </c>
    </row>
    <row r="235" spans="1:11" ht="14.25">
      <c r="A235" s="54">
        <v>252</v>
      </c>
      <c r="B235" s="67">
        <v>49796</v>
      </c>
      <c r="C235" s="28">
        <f t="shared" si="18"/>
        <v>47637636.08073983</v>
      </c>
      <c r="D235" s="28"/>
      <c r="E235" s="55">
        <f>Additions!J257*$C$5</f>
        <v>0</v>
      </c>
      <c r="F235" s="55">
        <f t="shared" si="20"/>
        <v>402061.6485214442</v>
      </c>
      <c r="G235" s="55">
        <f t="shared" si="23"/>
        <v>1679975.123706393</v>
      </c>
      <c r="H235" s="56">
        <f t="shared" si="19"/>
        <v>-1277913.4751849486</v>
      </c>
      <c r="I235" s="56"/>
      <c r="J235" s="80">
        <f t="shared" si="22"/>
        <v>447269.716314732</v>
      </c>
      <c r="K235" s="28">
        <f t="shared" si="21"/>
        <v>46806992.32186962</v>
      </c>
    </row>
    <row r="236" spans="1:11" ht="14.25">
      <c r="A236" s="54">
        <v>253</v>
      </c>
      <c r="B236" s="67">
        <v>49827</v>
      </c>
      <c r="C236" s="28">
        <f t="shared" si="18"/>
        <v>46806992.32186962</v>
      </c>
      <c r="D236" s="28"/>
      <c r="E236" s="55">
        <f>Additions!J258*$C$5</f>
        <v>0</v>
      </c>
      <c r="F236" s="55">
        <f t="shared" si="20"/>
        <v>395051.01519657957</v>
      </c>
      <c r="G236" s="55">
        <f t="shared" si="23"/>
        <v>1679975.123706393</v>
      </c>
      <c r="H236" s="56">
        <f t="shared" si="19"/>
        <v>-1284924.1085098134</v>
      </c>
      <c r="I236" s="56"/>
      <c r="J236" s="80">
        <f t="shared" si="22"/>
        <v>449723.43797843467</v>
      </c>
      <c r="K236" s="28">
        <f t="shared" si="21"/>
        <v>45971791.651338235</v>
      </c>
    </row>
    <row r="237" spans="1:11" ht="14.25">
      <c r="A237" s="54">
        <v>254</v>
      </c>
      <c r="B237" s="67">
        <v>49857</v>
      </c>
      <c r="C237" s="28">
        <f t="shared" si="18"/>
        <v>45971791.651338235</v>
      </c>
      <c r="D237" s="28"/>
      <c r="E237" s="55">
        <f>Additions!J259*$C$5</f>
        <v>0</v>
      </c>
      <c r="F237" s="55">
        <f t="shared" si="20"/>
        <v>388001.9215372947</v>
      </c>
      <c r="G237" s="55">
        <f t="shared" si="23"/>
        <v>1679975.123706393</v>
      </c>
      <c r="H237" s="56">
        <f t="shared" si="19"/>
        <v>-1291973.2021690982</v>
      </c>
      <c r="I237" s="56"/>
      <c r="J237" s="80">
        <f t="shared" si="22"/>
        <v>452190.62075918436</v>
      </c>
      <c r="K237" s="28">
        <f t="shared" si="21"/>
        <v>45132009.06992832</v>
      </c>
    </row>
    <row r="238" spans="1:11" ht="14.25">
      <c r="A238" s="54">
        <v>255</v>
      </c>
      <c r="B238" s="67">
        <v>49888</v>
      </c>
      <c r="C238" s="28">
        <f t="shared" si="18"/>
        <v>45132009.06992832</v>
      </c>
      <c r="D238" s="28"/>
      <c r="E238" s="55">
        <f>Additions!J260*$C$5</f>
        <v>0</v>
      </c>
      <c r="F238" s="55">
        <f t="shared" si="20"/>
        <v>380914.156550195</v>
      </c>
      <c r="G238" s="55">
        <f t="shared" si="23"/>
        <v>1679975.123706393</v>
      </c>
      <c r="H238" s="56">
        <f t="shared" si="19"/>
        <v>-1299060.9671561979</v>
      </c>
      <c r="I238" s="56"/>
      <c r="J238" s="80">
        <f t="shared" si="22"/>
        <v>454671.33850466926</v>
      </c>
      <c r="K238" s="28">
        <f t="shared" si="21"/>
        <v>44287619.44127679</v>
      </c>
    </row>
    <row r="239" spans="1:11" ht="14.25">
      <c r="A239" s="54">
        <v>256</v>
      </c>
      <c r="B239" s="67">
        <v>49919</v>
      </c>
      <c r="C239" s="28">
        <f t="shared" si="18"/>
        <v>44287619.44127679</v>
      </c>
      <c r="D239" s="28"/>
      <c r="E239" s="55">
        <f>Additions!J261*$C$5</f>
        <v>0</v>
      </c>
      <c r="F239" s="55">
        <f t="shared" si="20"/>
        <v>373787.50808437605</v>
      </c>
      <c r="G239" s="55">
        <f t="shared" si="23"/>
        <v>1679975.123706393</v>
      </c>
      <c r="H239" s="56">
        <f t="shared" si="19"/>
        <v>-1306187.6156220168</v>
      </c>
      <c r="I239" s="56"/>
      <c r="J239" s="80">
        <f t="shared" si="22"/>
        <v>457165.66546770587</v>
      </c>
      <c r="K239" s="28">
        <f t="shared" si="21"/>
        <v>43438597.491122484</v>
      </c>
    </row>
    <row r="240" spans="1:11" ht="14.25">
      <c r="A240" s="54">
        <v>257</v>
      </c>
      <c r="B240" s="67">
        <v>49949</v>
      </c>
      <c r="C240" s="28">
        <f t="shared" si="18"/>
        <v>43438597.491122484</v>
      </c>
      <c r="D240" s="28"/>
      <c r="E240" s="55">
        <f>Additions!J262*$C$5</f>
        <v>0</v>
      </c>
      <c r="F240" s="55">
        <f t="shared" si="20"/>
        <v>366621.76282507373</v>
      </c>
      <c r="G240" s="55">
        <f t="shared" si="23"/>
        <v>1679975.123706393</v>
      </c>
      <c r="H240" s="56">
        <f t="shared" si="19"/>
        <v>-1313353.3608813193</v>
      </c>
      <c r="I240" s="56"/>
      <c r="J240" s="80">
        <f t="shared" si="22"/>
        <v>459673.6763084617</v>
      </c>
      <c r="K240" s="28">
        <f t="shared" si="21"/>
        <v>42584917.80654962</v>
      </c>
    </row>
    <row r="241" spans="1:11" ht="14.25">
      <c r="A241" s="54">
        <v>258</v>
      </c>
      <c r="B241" s="67">
        <v>49980</v>
      </c>
      <c r="C241" s="28">
        <f t="shared" si="18"/>
        <v>42584917.80654962</v>
      </c>
      <c r="D241" s="28"/>
      <c r="E241" s="55">
        <f>Additions!J263*$C$5</f>
        <v>0</v>
      </c>
      <c r="F241" s="55">
        <f t="shared" si="20"/>
        <v>359416.7062872788</v>
      </c>
      <c r="G241" s="55">
        <f t="shared" si="23"/>
        <v>1679975.123706393</v>
      </c>
      <c r="H241" s="56">
        <f t="shared" si="19"/>
        <v>-1320558.4174191142</v>
      </c>
      <c r="I241" s="56"/>
      <c r="J241" s="80">
        <f t="shared" si="22"/>
        <v>462195.4460966899</v>
      </c>
      <c r="K241" s="28">
        <f t="shared" si="21"/>
        <v>41726554.8352272</v>
      </c>
    </row>
    <row r="242" spans="1:11" ht="14.25">
      <c r="A242" s="54">
        <v>259</v>
      </c>
      <c r="B242" s="67">
        <v>50010</v>
      </c>
      <c r="C242" s="28">
        <f aca="true" t="shared" si="24" ref="C242:C284">K241</f>
        <v>41726554.8352272</v>
      </c>
      <c r="D242" s="28"/>
      <c r="E242" s="55">
        <f>Additions!J264*$C$5</f>
        <v>0</v>
      </c>
      <c r="F242" s="55">
        <f t="shared" si="20"/>
        <v>352172.12280931755</v>
      </c>
      <c r="G242" s="55">
        <f t="shared" si="23"/>
        <v>1679975.123706393</v>
      </c>
      <c r="H242" s="56">
        <f aca="true" t="shared" si="25" ref="H242:H284">E242+F242-G242</f>
        <v>-1327803.0008970755</v>
      </c>
      <c r="I242" s="56"/>
      <c r="J242" s="80">
        <f t="shared" si="22"/>
        <v>464731.0503139764</v>
      </c>
      <c r="K242" s="28">
        <f t="shared" si="21"/>
        <v>40863482.884644106</v>
      </c>
    </row>
    <row r="243" spans="1:11" ht="14.25">
      <c r="A243" s="54">
        <v>260</v>
      </c>
      <c r="B243" s="67">
        <v>50041</v>
      </c>
      <c r="C243" s="28">
        <f t="shared" si="24"/>
        <v>40863482.884644106</v>
      </c>
      <c r="D243" s="28"/>
      <c r="E243" s="55">
        <f>Additions!J265*$C$5</f>
        <v>0</v>
      </c>
      <c r="F243" s="55">
        <f aca="true" t="shared" si="26" ref="F243:F284">K242*$C$3</f>
        <v>344887.7955463962</v>
      </c>
      <c r="G243" s="55">
        <f t="shared" si="23"/>
        <v>1679975.123706393</v>
      </c>
      <c r="H243" s="56">
        <f t="shared" si="25"/>
        <v>-1335087.3281599968</v>
      </c>
      <c r="I243" s="56"/>
      <c r="J243" s="80">
        <f t="shared" si="22"/>
        <v>467280.56485599885</v>
      </c>
      <c r="K243" s="28">
        <f t="shared" si="21"/>
        <v>39995676.12134011</v>
      </c>
    </row>
    <row r="244" spans="1:11" ht="14.25">
      <c r="A244" s="54">
        <v>261</v>
      </c>
      <c r="B244" s="67">
        <v>50072</v>
      </c>
      <c r="C244" s="28">
        <f t="shared" si="24"/>
        <v>39995676.12134011</v>
      </c>
      <c r="D244" s="28"/>
      <c r="E244" s="55">
        <f>Additions!J266*$C$5</f>
        <v>0</v>
      </c>
      <c r="F244" s="55">
        <f t="shared" si="26"/>
        <v>337563.5064641105</v>
      </c>
      <c r="G244" s="55">
        <f t="shared" si="23"/>
        <v>1679975.123706393</v>
      </c>
      <c r="H244" s="56">
        <f t="shared" si="25"/>
        <v>-1342411.6172422825</v>
      </c>
      <c r="I244" s="56"/>
      <c r="J244" s="80">
        <f t="shared" si="22"/>
        <v>469844.06603479886</v>
      </c>
      <c r="K244" s="28">
        <f t="shared" si="21"/>
        <v>39123108.57013263</v>
      </c>
    </row>
    <row r="245" spans="1:11" ht="14.25">
      <c r="A245" s="54">
        <v>262</v>
      </c>
      <c r="B245" s="67">
        <v>50100</v>
      </c>
      <c r="C245" s="28">
        <f t="shared" si="24"/>
        <v>39123108.57013263</v>
      </c>
      <c r="D245" s="28"/>
      <c r="E245" s="55">
        <f>Additions!J267*$C$5</f>
        <v>0</v>
      </c>
      <c r="F245" s="55">
        <f t="shared" si="26"/>
        <v>330199.0363319194</v>
      </c>
      <c r="G245" s="55">
        <f t="shared" si="23"/>
        <v>1679975.123706393</v>
      </c>
      <c r="H245" s="56">
        <f t="shared" si="25"/>
        <v>-1349776.0873744735</v>
      </c>
      <c r="I245" s="56"/>
      <c r="J245" s="80">
        <f t="shared" si="22"/>
        <v>472421.63058106566</v>
      </c>
      <c r="K245" s="28">
        <f t="shared" si="21"/>
        <v>38245754.11333922</v>
      </c>
    </row>
    <row r="246" spans="1:11" ht="14.25">
      <c r="A246" s="54">
        <v>263</v>
      </c>
      <c r="B246" s="67">
        <v>50131</v>
      </c>
      <c r="C246" s="28">
        <f t="shared" si="24"/>
        <v>38245754.11333922</v>
      </c>
      <c r="D246" s="28"/>
      <c r="E246" s="55">
        <f>Additions!J268*$C$5</f>
        <v>0</v>
      </c>
      <c r="F246" s="55">
        <f t="shared" si="26"/>
        <v>322794.16471658304</v>
      </c>
      <c r="G246" s="55">
        <f t="shared" si="23"/>
        <v>1679975.123706393</v>
      </c>
      <c r="H246" s="56">
        <f t="shared" si="25"/>
        <v>-1357180.95898981</v>
      </c>
      <c r="I246" s="56"/>
      <c r="J246" s="80">
        <f t="shared" si="22"/>
        <v>475013.33564643346</v>
      </c>
      <c r="K246" s="28">
        <f t="shared" si="21"/>
        <v>37363586.48999585</v>
      </c>
    </row>
    <row r="247" spans="1:11" ht="14.25">
      <c r="A247" s="54">
        <v>264</v>
      </c>
      <c r="B247" s="67">
        <v>50161</v>
      </c>
      <c r="C247" s="28">
        <f t="shared" si="24"/>
        <v>37363586.48999585</v>
      </c>
      <c r="D247" s="28"/>
      <c r="E247" s="55">
        <f>Additions!J269*$C$5</f>
        <v>0</v>
      </c>
      <c r="F247" s="55">
        <f t="shared" si="26"/>
        <v>315348.669975565</v>
      </c>
      <c r="G247" s="55">
        <f t="shared" si="23"/>
        <v>1679975.123706393</v>
      </c>
      <c r="H247" s="56">
        <f t="shared" si="25"/>
        <v>-1364626.453730828</v>
      </c>
      <c r="I247" s="56"/>
      <c r="J247" s="80">
        <f t="shared" si="22"/>
        <v>477619.25880578975</v>
      </c>
      <c r="K247" s="28">
        <f t="shared" si="21"/>
        <v>36476579.29507081</v>
      </c>
    </row>
    <row r="248" spans="1:11" ht="14.25">
      <c r="A248" s="54">
        <v>265</v>
      </c>
      <c r="B248" s="67">
        <v>50192</v>
      </c>
      <c r="C248" s="28">
        <f t="shared" si="24"/>
        <v>36476579.29507081</v>
      </c>
      <c r="D248" s="28"/>
      <c r="E248" s="55">
        <f>Additions!J270*$C$5</f>
        <v>0</v>
      </c>
      <c r="F248" s="55">
        <f t="shared" si="26"/>
        <v>307862.3292503976</v>
      </c>
      <c r="G248" s="55">
        <f t="shared" si="23"/>
        <v>1679975.123706393</v>
      </c>
      <c r="H248" s="56">
        <f t="shared" si="25"/>
        <v>-1372112.7944559953</v>
      </c>
      <c r="I248" s="56"/>
      <c r="J248" s="80">
        <f t="shared" si="22"/>
        <v>480239.4780595983</v>
      </c>
      <c r="K248" s="28">
        <f t="shared" si="21"/>
        <v>35584705.97867441</v>
      </c>
    </row>
    <row r="249" spans="1:11" ht="14.25">
      <c r="A249" s="54">
        <v>266</v>
      </c>
      <c r="B249" s="67">
        <v>50222</v>
      </c>
      <c r="C249" s="28">
        <f t="shared" si="24"/>
        <v>35584705.97867441</v>
      </c>
      <c r="D249" s="28"/>
      <c r="E249" s="55">
        <f>Additions!J271*$C$5</f>
        <v>0</v>
      </c>
      <c r="F249" s="55">
        <f t="shared" si="26"/>
        <v>300334.918460012</v>
      </c>
      <c r="G249" s="55">
        <f t="shared" si="23"/>
        <v>1679975.123706393</v>
      </c>
      <c r="H249" s="56">
        <f t="shared" si="25"/>
        <v>-1379640.205246381</v>
      </c>
      <c r="I249" s="56"/>
      <c r="J249" s="80">
        <f t="shared" si="22"/>
        <v>482874.0718362333</v>
      </c>
      <c r="K249" s="28">
        <f t="shared" si="21"/>
        <v>34687939.84526426</v>
      </c>
    </row>
    <row r="250" spans="1:11" ht="14.25">
      <c r="A250" s="54">
        <v>267</v>
      </c>
      <c r="B250" s="67">
        <v>50253</v>
      </c>
      <c r="C250" s="28">
        <f t="shared" si="24"/>
        <v>34687939.84526426</v>
      </c>
      <c r="D250" s="28"/>
      <c r="E250" s="55">
        <f>Additions!J272*$C$5</f>
        <v>0</v>
      </c>
      <c r="F250" s="55">
        <f t="shared" si="26"/>
        <v>292766.21229403035</v>
      </c>
      <c r="G250" s="55">
        <f t="shared" si="23"/>
        <v>1679975.123706393</v>
      </c>
      <c r="H250" s="56">
        <f t="shared" si="25"/>
        <v>-1387208.9114123625</v>
      </c>
      <c r="I250" s="56"/>
      <c r="J250" s="80">
        <f t="shared" si="22"/>
        <v>485523.11899432685</v>
      </c>
      <c r="K250" s="28">
        <f t="shared" si="21"/>
        <v>33786254.05284622</v>
      </c>
    </row>
    <row r="251" spans="1:11" ht="14.25">
      <c r="A251" s="54">
        <v>268</v>
      </c>
      <c r="B251" s="67">
        <v>50284</v>
      </c>
      <c r="C251" s="28">
        <f t="shared" si="24"/>
        <v>33786254.05284622</v>
      </c>
      <c r="D251" s="28"/>
      <c r="E251" s="55">
        <f>Additions!J273*$C$5</f>
        <v>0</v>
      </c>
      <c r="F251" s="55">
        <f t="shared" si="26"/>
        <v>285155.9842060221</v>
      </c>
      <c r="G251" s="55">
        <f t="shared" si="23"/>
        <v>1679975.123706393</v>
      </c>
      <c r="H251" s="56">
        <f t="shared" si="25"/>
        <v>-1394819.1395003707</v>
      </c>
      <c r="I251" s="56"/>
      <c r="J251" s="80">
        <f t="shared" si="22"/>
        <v>488186.6988251297</v>
      </c>
      <c r="K251" s="28">
        <f t="shared" si="21"/>
        <v>32879621.61217098</v>
      </c>
    </row>
    <row r="252" spans="1:11" ht="14.25">
      <c r="A252" s="54">
        <v>269</v>
      </c>
      <c r="B252" s="67">
        <v>50314</v>
      </c>
      <c r="C252" s="28">
        <f t="shared" si="24"/>
        <v>32879621.61217098</v>
      </c>
      <c r="D252" s="28"/>
      <c r="E252" s="55">
        <f>Additions!J274*$C$5</f>
        <v>0</v>
      </c>
      <c r="F252" s="55">
        <f t="shared" si="26"/>
        <v>277504.00640672306</v>
      </c>
      <c r="G252" s="55">
        <f t="shared" si="23"/>
        <v>1679975.123706393</v>
      </c>
      <c r="H252" s="56">
        <f t="shared" si="25"/>
        <v>-1402471.11729967</v>
      </c>
      <c r="I252" s="56"/>
      <c r="J252" s="80">
        <f t="shared" si="22"/>
        <v>490864.8910548844</v>
      </c>
      <c r="K252" s="28">
        <f t="shared" si="21"/>
        <v>31968015.385926194</v>
      </c>
    </row>
    <row r="253" spans="1:11" ht="14.25">
      <c r="A253" s="54">
        <v>270</v>
      </c>
      <c r="B253" s="67">
        <v>50345</v>
      </c>
      <c r="C253" s="28">
        <f t="shared" si="24"/>
        <v>31968015.385926194</v>
      </c>
      <c r="D253" s="28"/>
      <c r="E253" s="55">
        <f>Additions!J275*$C$5</f>
        <v>0</v>
      </c>
      <c r="F253" s="55">
        <f t="shared" si="26"/>
        <v>269810.04985721706</v>
      </c>
      <c r="G253" s="55">
        <f t="shared" si="23"/>
        <v>1679975.123706393</v>
      </c>
      <c r="H253" s="56">
        <f t="shared" si="25"/>
        <v>-1410165.0738491758</v>
      </c>
      <c r="I253" s="56"/>
      <c r="J253" s="80">
        <f t="shared" si="22"/>
        <v>493557.7758472115</v>
      </c>
      <c r="K253" s="28">
        <f t="shared" si="21"/>
        <v>31051408.08792423</v>
      </c>
    </row>
    <row r="254" spans="1:11" ht="14.25">
      <c r="A254" s="54">
        <v>271</v>
      </c>
      <c r="B254" s="67">
        <v>50375</v>
      </c>
      <c r="C254" s="28">
        <f t="shared" si="24"/>
        <v>31051408.08792423</v>
      </c>
      <c r="D254" s="28"/>
      <c r="E254" s="55">
        <f>Additions!J276*$C$5</f>
        <v>0</v>
      </c>
      <c r="F254" s="55">
        <f t="shared" si="26"/>
        <v>262073.8842620805</v>
      </c>
      <c r="G254" s="55">
        <f t="shared" si="23"/>
        <v>1679975.123706393</v>
      </c>
      <c r="H254" s="56">
        <f t="shared" si="25"/>
        <v>-1417901.2394443124</v>
      </c>
      <c r="I254" s="56"/>
      <c r="J254" s="80">
        <f t="shared" si="22"/>
        <v>496265.4338055093</v>
      </c>
      <c r="K254" s="28">
        <f t="shared" si="21"/>
        <v>30129772.28228543</v>
      </c>
    </row>
    <row r="255" spans="1:11" ht="14.25">
      <c r="A255" s="54">
        <v>272</v>
      </c>
      <c r="B255" s="67">
        <v>50406</v>
      </c>
      <c r="C255" s="28">
        <f t="shared" si="24"/>
        <v>30129772.28228543</v>
      </c>
      <c r="D255" s="28"/>
      <c r="E255" s="55">
        <f>Additions!J277*$C$5</f>
        <v>0</v>
      </c>
      <c r="F255" s="55">
        <f t="shared" si="26"/>
        <v>254295.278062489</v>
      </c>
      <c r="G255" s="55">
        <f t="shared" si="23"/>
        <v>1679975.123706393</v>
      </c>
      <c r="H255" s="56">
        <f t="shared" si="25"/>
        <v>-1425679.845643904</v>
      </c>
      <c r="I255" s="56"/>
      <c r="J255" s="80">
        <f t="shared" si="22"/>
        <v>498987.9459753664</v>
      </c>
      <c r="K255" s="28">
        <f t="shared" si="21"/>
        <v>29203080.382616892</v>
      </c>
    </row>
    <row r="256" spans="1:11" ht="14.25">
      <c r="A256" s="54">
        <v>273</v>
      </c>
      <c r="B256" s="67">
        <v>50437</v>
      </c>
      <c r="C256" s="28">
        <f t="shared" si="24"/>
        <v>29203080.382616892</v>
      </c>
      <c r="D256" s="28"/>
      <c r="E256" s="55">
        <f>Additions!J278*$C$5</f>
        <v>0</v>
      </c>
      <c r="F256" s="55">
        <f t="shared" si="26"/>
        <v>246473.99842928656</v>
      </c>
      <c r="G256" s="55">
        <f t="shared" si="23"/>
        <v>1679975.123706393</v>
      </c>
      <c r="H256" s="56">
        <f t="shared" si="25"/>
        <v>-1433501.1252771064</v>
      </c>
      <c r="I256" s="56"/>
      <c r="J256" s="80">
        <f t="shared" si="22"/>
        <v>501725.3938469872</v>
      </c>
      <c r="K256" s="28">
        <f t="shared" si="21"/>
        <v>28271304.651186775</v>
      </c>
    </row>
    <row r="257" spans="1:11" ht="14.25">
      <c r="A257" s="54">
        <v>274</v>
      </c>
      <c r="B257" s="67">
        <v>50465</v>
      </c>
      <c r="C257" s="28">
        <f t="shared" si="24"/>
        <v>28271304.651186775</v>
      </c>
      <c r="D257" s="28"/>
      <c r="E257" s="55">
        <f>Additions!J279*$C$5</f>
        <v>0</v>
      </c>
      <c r="F257" s="55">
        <f t="shared" si="26"/>
        <v>238609.81125601637</v>
      </c>
      <c r="G257" s="55">
        <f t="shared" si="23"/>
        <v>1679975.123706393</v>
      </c>
      <c r="H257" s="56">
        <f t="shared" si="25"/>
        <v>-1441365.3124503766</v>
      </c>
      <c r="I257" s="56"/>
      <c r="J257" s="80">
        <f t="shared" si="22"/>
        <v>504477.85935763177</v>
      </c>
      <c r="K257" s="28">
        <f t="shared" si="21"/>
        <v>27334417.198094033</v>
      </c>
    </row>
    <row r="258" spans="1:11" ht="14.25">
      <c r="A258" s="54">
        <v>275</v>
      </c>
      <c r="B258" s="67">
        <v>50496</v>
      </c>
      <c r="C258" s="28">
        <f t="shared" si="24"/>
        <v>27334417.198094033</v>
      </c>
      <c r="D258" s="28"/>
      <c r="E258" s="55">
        <f>Additions!J280*$C$5</f>
        <v>0</v>
      </c>
      <c r="F258" s="55">
        <f t="shared" si="26"/>
        <v>230702.4811519136</v>
      </c>
      <c r="G258" s="55">
        <f t="shared" si="23"/>
        <v>1679975.123706393</v>
      </c>
      <c r="H258" s="56">
        <f t="shared" si="25"/>
        <v>-1449272.6425544794</v>
      </c>
      <c r="I258" s="56"/>
      <c r="J258" s="80">
        <f t="shared" si="22"/>
        <v>507245.42489406775</v>
      </c>
      <c r="K258" s="28">
        <f t="shared" si="21"/>
        <v>26392389.98043362</v>
      </c>
    </row>
    <row r="259" spans="1:11" ht="14.25">
      <c r="A259" s="54">
        <v>276</v>
      </c>
      <c r="B259" s="67">
        <v>50526</v>
      </c>
      <c r="C259" s="28">
        <f t="shared" si="24"/>
        <v>26392389.98043362</v>
      </c>
      <c r="D259" s="28"/>
      <c r="E259" s="55">
        <f>Additions!J281*$C$5</f>
        <v>0</v>
      </c>
      <c r="F259" s="55">
        <f t="shared" si="26"/>
        <v>222751.77143485975</v>
      </c>
      <c r="G259" s="55">
        <f t="shared" si="23"/>
        <v>1679975.123706393</v>
      </c>
      <c r="H259" s="56">
        <f t="shared" si="25"/>
        <v>-1457223.352271533</v>
      </c>
      <c r="I259" s="56"/>
      <c r="J259" s="80">
        <f t="shared" si="22"/>
        <v>510028.17329503654</v>
      </c>
      <c r="K259" s="28">
        <f t="shared" si="21"/>
        <v>25445194.801457122</v>
      </c>
    </row>
    <row r="260" spans="1:11" ht="14.25">
      <c r="A260" s="54">
        <v>277</v>
      </c>
      <c r="B260" s="67">
        <v>50557</v>
      </c>
      <c r="C260" s="28">
        <f t="shared" si="24"/>
        <v>25445194.801457122</v>
      </c>
      <c r="D260" s="28"/>
      <c r="E260" s="55">
        <f>Additions!J282*$C$5</f>
        <v>0</v>
      </c>
      <c r="F260" s="55">
        <f t="shared" si="26"/>
        <v>214757.4441242981</v>
      </c>
      <c r="G260" s="55">
        <f t="shared" si="23"/>
        <v>1679975.123706393</v>
      </c>
      <c r="H260" s="56">
        <f t="shared" si="25"/>
        <v>-1465217.6795820948</v>
      </c>
      <c r="I260" s="56"/>
      <c r="J260" s="80">
        <f t="shared" si="22"/>
        <v>512826.18785373314</v>
      </c>
      <c r="K260" s="28">
        <f t="shared" si="21"/>
        <v>24492803.30972876</v>
      </c>
    </row>
    <row r="261" spans="1:11" ht="14.25">
      <c r="A261" s="54">
        <v>278</v>
      </c>
      <c r="B261" s="67">
        <v>50587</v>
      </c>
      <c r="C261" s="28">
        <f t="shared" si="24"/>
        <v>24492803.30972876</v>
      </c>
      <c r="D261" s="28"/>
      <c r="E261" s="55">
        <f>Additions!J283*$C$5</f>
        <v>0</v>
      </c>
      <c r="F261" s="55">
        <f t="shared" si="26"/>
        <v>206719.2599341107</v>
      </c>
      <c r="G261" s="55">
        <f t="shared" si="23"/>
        <v>1679975.123706393</v>
      </c>
      <c r="H261" s="56">
        <f t="shared" si="25"/>
        <v>-1473255.8637722821</v>
      </c>
      <c r="I261" s="56"/>
      <c r="J261" s="80">
        <f t="shared" si="22"/>
        <v>515639.55232029874</v>
      </c>
      <c r="K261" s="28">
        <f t="shared" si="21"/>
        <v>23535186.998276778</v>
      </c>
    </row>
    <row r="262" spans="1:11" ht="14.25">
      <c r="A262" s="54">
        <v>279</v>
      </c>
      <c r="B262" s="67">
        <v>50618</v>
      </c>
      <c r="C262" s="28">
        <f t="shared" si="24"/>
        <v>23535186.998276778</v>
      </c>
      <c r="D262" s="28"/>
      <c r="E262" s="55">
        <f>Additions!J284*$C$5</f>
        <v>0</v>
      </c>
      <c r="F262" s="55">
        <f t="shared" si="26"/>
        <v>198636.97826545598</v>
      </c>
      <c r="G262" s="55">
        <f t="shared" si="23"/>
        <v>1679975.123706393</v>
      </c>
      <c r="H262" s="56">
        <f t="shared" si="25"/>
        <v>-1481338.145440937</v>
      </c>
      <c r="I262" s="56"/>
      <c r="J262" s="80">
        <f t="shared" si="22"/>
        <v>518468.35090432793</v>
      </c>
      <c r="K262" s="28">
        <f t="shared" si="21"/>
        <v>22572317.20374017</v>
      </c>
    </row>
    <row r="263" spans="1:11" ht="14.25">
      <c r="A263" s="54">
        <v>280</v>
      </c>
      <c r="B263" s="67">
        <v>50649</v>
      </c>
      <c r="C263" s="28">
        <f t="shared" si="24"/>
        <v>22572317.20374017</v>
      </c>
      <c r="D263" s="28"/>
      <c r="E263" s="55">
        <f>Additions!J285*$C$5</f>
        <v>0</v>
      </c>
      <c r="F263" s="55">
        <f t="shared" si="26"/>
        <v>190510.35719956702</v>
      </c>
      <c r="G263" s="55">
        <f t="shared" si="23"/>
        <v>1679975.123706393</v>
      </c>
      <c r="H263" s="56">
        <f t="shared" si="25"/>
        <v>-1489464.766506826</v>
      </c>
      <c r="I263" s="56"/>
      <c r="J263" s="80">
        <f t="shared" si="22"/>
        <v>521312.6682773891</v>
      </c>
      <c r="K263" s="28">
        <f t="shared" si="21"/>
        <v>21604165.105510734</v>
      </c>
    </row>
    <row r="264" spans="1:11" ht="14.25">
      <c r="A264" s="54">
        <v>281</v>
      </c>
      <c r="B264" s="67">
        <v>50679</v>
      </c>
      <c r="C264" s="28">
        <f t="shared" si="24"/>
        <v>21604165.105510734</v>
      </c>
      <c r="D264" s="28"/>
      <c r="E264" s="55">
        <f>Additions!J286*$C$5</f>
        <v>0</v>
      </c>
      <c r="F264" s="55">
        <f t="shared" si="26"/>
        <v>182339.1534905106</v>
      </c>
      <c r="G264" s="55">
        <f t="shared" si="23"/>
        <v>1679975.123706393</v>
      </c>
      <c r="H264" s="56">
        <f t="shared" si="25"/>
        <v>-1497635.9702158824</v>
      </c>
      <c r="I264" s="56"/>
      <c r="J264" s="80">
        <f t="shared" si="22"/>
        <v>524172.5895755588</v>
      </c>
      <c r="K264" s="28">
        <f t="shared" si="21"/>
        <v>20630701.72487041</v>
      </c>
    </row>
    <row r="265" spans="1:11" ht="14.25">
      <c r="A265" s="54">
        <v>282</v>
      </c>
      <c r="B265" s="67">
        <v>50710</v>
      </c>
      <c r="C265" s="28">
        <f t="shared" si="24"/>
        <v>20630701.72487041</v>
      </c>
      <c r="D265" s="28"/>
      <c r="E265" s="55">
        <f>Additions!J287*$C$5</f>
        <v>0</v>
      </c>
      <c r="F265" s="55">
        <f t="shared" si="26"/>
        <v>174123.12255790626</v>
      </c>
      <c r="G265" s="55">
        <f t="shared" si="23"/>
        <v>1679975.123706393</v>
      </c>
      <c r="H265" s="56">
        <f t="shared" si="25"/>
        <v>-1505852.0011484867</v>
      </c>
      <c r="I265" s="56"/>
      <c r="J265" s="80">
        <f t="shared" si="22"/>
        <v>527048.2004019703</v>
      </c>
      <c r="K265" s="28">
        <f aca="true" t="shared" si="27" ref="K265:K284">C265+E265+F265-G265+J265</f>
        <v>19651897.92412389</v>
      </c>
    </row>
    <row r="266" spans="1:11" ht="14.25">
      <c r="A266" s="54">
        <v>283</v>
      </c>
      <c r="B266" s="67">
        <v>50740</v>
      </c>
      <c r="C266" s="28">
        <f t="shared" si="24"/>
        <v>19651897.92412389</v>
      </c>
      <c r="D266" s="28"/>
      <c r="E266" s="55">
        <f>Additions!J288*$C$5</f>
        <v>0</v>
      </c>
      <c r="F266" s="55">
        <f t="shared" si="26"/>
        <v>165862.01847960564</v>
      </c>
      <c r="G266" s="55">
        <f t="shared" si="23"/>
        <v>1679975.123706393</v>
      </c>
      <c r="H266" s="56">
        <f t="shared" si="25"/>
        <v>-1514113.1052267873</v>
      </c>
      <c r="I266" s="56"/>
      <c r="J266" s="80">
        <f aca="true" t="shared" si="28" ref="J266:J284">-H266*0.35</f>
        <v>529939.5868293755</v>
      </c>
      <c r="K266" s="28">
        <f t="shared" si="27"/>
        <v>18667724.405726478</v>
      </c>
    </row>
    <row r="267" spans="1:11" ht="14.25">
      <c r="A267" s="54">
        <v>284</v>
      </c>
      <c r="B267" s="67">
        <v>50771</v>
      </c>
      <c r="C267" s="28">
        <f t="shared" si="24"/>
        <v>18667724.405726478</v>
      </c>
      <c r="D267" s="28"/>
      <c r="E267" s="55">
        <f>Additions!J289*$C$5</f>
        <v>0</v>
      </c>
      <c r="F267" s="55">
        <f t="shared" si="26"/>
        <v>157555.59398433147</v>
      </c>
      <c r="G267" s="55">
        <f aca="true" t="shared" si="29" ref="G267:G284">G266</f>
        <v>1679975.123706393</v>
      </c>
      <c r="H267" s="56">
        <f t="shared" si="25"/>
        <v>-1522419.5297220615</v>
      </c>
      <c r="I267" s="56"/>
      <c r="J267" s="80">
        <f t="shared" si="28"/>
        <v>532846.8354027215</v>
      </c>
      <c r="K267" s="28">
        <f t="shared" si="27"/>
        <v>17678151.71140714</v>
      </c>
    </row>
    <row r="268" spans="1:11" ht="14.25">
      <c r="A268" s="54">
        <v>285</v>
      </c>
      <c r="B268" s="67">
        <v>50802</v>
      </c>
      <c r="C268" s="28">
        <f t="shared" si="24"/>
        <v>17678151.71140714</v>
      </c>
      <c r="D268" s="28"/>
      <c r="E268" s="55">
        <f>Additions!J290*$C$5</f>
        <v>0</v>
      </c>
      <c r="F268" s="55">
        <f t="shared" si="26"/>
        <v>149203.60044427626</v>
      </c>
      <c r="G268" s="55">
        <f t="shared" si="29"/>
        <v>1679975.123706393</v>
      </c>
      <c r="H268" s="56">
        <f t="shared" si="25"/>
        <v>-1530771.5232621166</v>
      </c>
      <c r="I268" s="56"/>
      <c r="J268" s="80">
        <f t="shared" si="28"/>
        <v>535770.0331417408</v>
      </c>
      <c r="K268" s="28">
        <f t="shared" si="27"/>
        <v>16683150.221286764</v>
      </c>
    </row>
    <row r="269" spans="1:11" ht="14.25">
      <c r="A269" s="54">
        <v>286</v>
      </c>
      <c r="B269" s="67">
        <v>50830</v>
      </c>
      <c r="C269" s="28">
        <f t="shared" si="24"/>
        <v>16683150.221286764</v>
      </c>
      <c r="D269" s="28"/>
      <c r="E269" s="55">
        <f>Additions!J291*$C$5</f>
        <v>0</v>
      </c>
      <c r="F269" s="55">
        <f t="shared" si="26"/>
        <v>140805.78786766028</v>
      </c>
      <c r="G269" s="55">
        <f t="shared" si="29"/>
        <v>1679975.123706393</v>
      </c>
      <c r="H269" s="56">
        <f t="shared" si="25"/>
        <v>-1539169.3358387328</v>
      </c>
      <c r="I269" s="56"/>
      <c r="J269" s="80">
        <f t="shared" si="28"/>
        <v>538709.2675435564</v>
      </c>
      <c r="K269" s="28">
        <f t="shared" si="27"/>
        <v>15682690.152991587</v>
      </c>
    </row>
    <row r="270" spans="1:11" ht="14.25">
      <c r="A270" s="54">
        <v>287</v>
      </c>
      <c r="B270" s="67">
        <v>50861</v>
      </c>
      <c r="C270" s="28">
        <f t="shared" si="24"/>
        <v>15682690.152991587</v>
      </c>
      <c r="D270" s="28"/>
      <c r="E270" s="55">
        <f>Additions!J292*$C$5</f>
        <v>0</v>
      </c>
      <c r="F270" s="55">
        <f t="shared" si="26"/>
        <v>132361.904891249</v>
      </c>
      <c r="G270" s="55">
        <f t="shared" si="29"/>
        <v>1679975.123706393</v>
      </c>
      <c r="H270" s="56">
        <f t="shared" si="25"/>
        <v>-1547613.218815144</v>
      </c>
      <c r="I270" s="56"/>
      <c r="J270" s="80">
        <f t="shared" si="28"/>
        <v>541664.6265853003</v>
      </c>
      <c r="K270" s="28">
        <f t="shared" si="27"/>
        <v>14676741.560761744</v>
      </c>
    </row>
    <row r="271" spans="1:11" ht="14.25">
      <c r="A271" s="54">
        <v>288</v>
      </c>
      <c r="B271" s="67">
        <v>50891</v>
      </c>
      <c r="C271" s="28">
        <f t="shared" si="24"/>
        <v>14676741.560761744</v>
      </c>
      <c r="D271" s="28"/>
      <c r="E271" s="55">
        <f>Additions!J293*$C$5</f>
        <v>0</v>
      </c>
      <c r="F271" s="55">
        <f t="shared" si="26"/>
        <v>123871.69877282911</v>
      </c>
      <c r="G271" s="55">
        <f t="shared" si="29"/>
        <v>1679975.123706393</v>
      </c>
      <c r="H271" s="56">
        <f t="shared" si="25"/>
        <v>-1556103.424933564</v>
      </c>
      <c r="I271" s="56"/>
      <c r="J271" s="80">
        <f t="shared" si="28"/>
        <v>544636.1987267473</v>
      </c>
      <c r="K271" s="28">
        <f t="shared" si="27"/>
        <v>13665274.334554927</v>
      </c>
    </row>
    <row r="272" spans="1:11" ht="14.25">
      <c r="A272" s="54">
        <v>289</v>
      </c>
      <c r="B272" s="67">
        <v>50922</v>
      </c>
      <c r="C272" s="28">
        <f t="shared" si="24"/>
        <v>13665274.334554927</v>
      </c>
      <c r="D272" s="28"/>
      <c r="E272" s="55">
        <f>Additions!J294*$C$5</f>
        <v>0</v>
      </c>
      <c r="F272" s="55">
        <f t="shared" si="26"/>
        <v>115334.91538364359</v>
      </c>
      <c r="G272" s="55">
        <f t="shared" si="29"/>
        <v>1679975.123706393</v>
      </c>
      <c r="H272" s="56">
        <f t="shared" si="25"/>
        <v>-1564640.2083227495</v>
      </c>
      <c r="I272" s="56"/>
      <c r="J272" s="80">
        <f t="shared" si="28"/>
        <v>547624.0729129623</v>
      </c>
      <c r="K272" s="28">
        <f t="shared" si="27"/>
        <v>12648258.199145142</v>
      </c>
    </row>
    <row r="273" spans="1:11" ht="14.25">
      <c r="A273" s="54">
        <v>290</v>
      </c>
      <c r="B273" s="67">
        <v>50952</v>
      </c>
      <c r="C273" s="28">
        <f t="shared" si="24"/>
        <v>12648258.199145142</v>
      </c>
      <c r="D273" s="28"/>
      <c r="E273" s="55">
        <f>Additions!J295*$C$5</f>
        <v>0</v>
      </c>
      <c r="F273" s="55">
        <f t="shared" si="26"/>
        <v>106751.299200785</v>
      </c>
      <c r="G273" s="55">
        <f t="shared" si="29"/>
        <v>1679975.123706393</v>
      </c>
      <c r="H273" s="56">
        <f t="shared" si="25"/>
        <v>-1573223.824505608</v>
      </c>
      <c r="I273" s="56"/>
      <c r="J273" s="80">
        <f t="shared" si="28"/>
        <v>550628.3385769628</v>
      </c>
      <c r="K273" s="28">
        <f t="shared" si="27"/>
        <v>11625662.713216497</v>
      </c>
    </row>
    <row r="274" spans="1:11" ht="14.25">
      <c r="A274" s="54">
        <v>291</v>
      </c>
      <c r="B274" s="67">
        <v>50983</v>
      </c>
      <c r="C274" s="28">
        <f t="shared" si="24"/>
        <v>11625662.713216497</v>
      </c>
      <c r="D274" s="28"/>
      <c r="E274" s="55">
        <f>Additions!J296*$C$5</f>
        <v>0</v>
      </c>
      <c r="F274" s="55">
        <f t="shared" si="26"/>
        <v>98120.59329954722</v>
      </c>
      <c r="G274" s="55">
        <f t="shared" si="29"/>
        <v>1679975.123706393</v>
      </c>
      <c r="H274" s="56">
        <f t="shared" si="25"/>
        <v>-1581854.5304068457</v>
      </c>
      <c r="I274" s="56"/>
      <c r="J274" s="80">
        <f t="shared" si="28"/>
        <v>553649.085642396</v>
      </c>
      <c r="K274" s="28">
        <f t="shared" si="27"/>
        <v>10597457.268452046</v>
      </c>
    </row>
    <row r="275" spans="1:11" ht="14.25">
      <c r="A275" s="54">
        <v>292</v>
      </c>
      <c r="B275" s="67">
        <v>51014</v>
      </c>
      <c r="C275" s="28">
        <f t="shared" si="24"/>
        <v>10597457.268452046</v>
      </c>
      <c r="D275" s="28"/>
      <c r="E275" s="55">
        <f>Additions!J297*$C$5</f>
        <v>0</v>
      </c>
      <c r="F275" s="55">
        <f t="shared" si="26"/>
        <v>89442.53934573526</v>
      </c>
      <c r="G275" s="55">
        <f t="shared" si="29"/>
        <v>1679975.123706393</v>
      </c>
      <c r="H275" s="56">
        <f t="shared" si="25"/>
        <v>-1590532.5843606577</v>
      </c>
      <c r="I275" s="56"/>
      <c r="J275" s="80">
        <f t="shared" si="28"/>
        <v>556686.4045262302</v>
      </c>
      <c r="K275" s="28">
        <f t="shared" si="27"/>
        <v>9563611.08861762</v>
      </c>
    </row>
    <row r="276" spans="1:11" ht="14.25">
      <c r="A276" s="54">
        <v>293</v>
      </c>
      <c r="B276" s="67">
        <v>51044</v>
      </c>
      <c r="C276" s="28">
        <f t="shared" si="24"/>
        <v>9563611.08861762</v>
      </c>
      <c r="D276" s="28"/>
      <c r="E276" s="55">
        <f>Additions!J298*$C$5</f>
        <v>0</v>
      </c>
      <c r="F276" s="55">
        <f t="shared" si="26"/>
        <v>80716.8775879327</v>
      </c>
      <c r="G276" s="55">
        <f t="shared" si="29"/>
        <v>1679975.123706393</v>
      </c>
      <c r="H276" s="56">
        <f t="shared" si="25"/>
        <v>-1599258.2461184603</v>
      </c>
      <c r="I276" s="56"/>
      <c r="J276" s="80">
        <f t="shared" si="28"/>
        <v>559740.3861414611</v>
      </c>
      <c r="K276" s="28">
        <f t="shared" si="27"/>
        <v>8524093.22864062</v>
      </c>
    </row>
    <row r="277" spans="1:11" ht="14.25">
      <c r="A277" s="54">
        <v>294</v>
      </c>
      <c r="B277" s="67">
        <v>51075</v>
      </c>
      <c r="C277" s="28">
        <f t="shared" si="24"/>
        <v>8524093.22864062</v>
      </c>
      <c r="D277" s="28"/>
      <c r="E277" s="55">
        <f>Additions!J299*$C$5</f>
        <v>0</v>
      </c>
      <c r="F277" s="55">
        <f t="shared" si="26"/>
        <v>71943.34684972683</v>
      </c>
      <c r="G277" s="55">
        <f t="shared" si="29"/>
        <v>1679975.123706393</v>
      </c>
      <c r="H277" s="56">
        <f t="shared" si="25"/>
        <v>-1608031.7768566662</v>
      </c>
      <c r="I277" s="56"/>
      <c r="J277" s="80">
        <f t="shared" si="28"/>
        <v>562811.1218998331</v>
      </c>
      <c r="K277" s="28">
        <f t="shared" si="27"/>
        <v>7478872.573683786</v>
      </c>
    </row>
    <row r="278" spans="1:11" ht="14.25">
      <c r="A278" s="54">
        <v>295</v>
      </c>
      <c r="B278" s="67">
        <v>51105</v>
      </c>
      <c r="C278" s="28">
        <f t="shared" si="24"/>
        <v>7478872.573683786</v>
      </c>
      <c r="D278" s="28"/>
      <c r="E278" s="55">
        <f>Additions!J300*$C$5</f>
        <v>0</v>
      </c>
      <c r="F278" s="55">
        <f t="shared" si="26"/>
        <v>63121.684521891155</v>
      </c>
      <c r="G278" s="55">
        <f t="shared" si="29"/>
        <v>1679975.123706393</v>
      </c>
      <c r="H278" s="56">
        <f t="shared" si="25"/>
        <v>-1616853.4391845018</v>
      </c>
      <c r="I278" s="56"/>
      <c r="J278" s="80">
        <f t="shared" si="28"/>
        <v>565898.7037145756</v>
      </c>
      <c r="K278" s="28">
        <f t="shared" si="27"/>
        <v>6427917.83821386</v>
      </c>
    </row>
    <row r="279" spans="1:11" ht="14.25">
      <c r="A279" s="54">
        <v>296</v>
      </c>
      <c r="B279" s="67">
        <v>51136</v>
      </c>
      <c r="C279" s="28">
        <f t="shared" si="24"/>
        <v>6427917.83821386</v>
      </c>
      <c r="D279" s="28"/>
      <c r="E279" s="55">
        <f>Additions!J301*$C$5</f>
        <v>0</v>
      </c>
      <c r="F279" s="55">
        <f t="shared" si="26"/>
        <v>54251.62655452498</v>
      </c>
      <c r="G279" s="55">
        <f t="shared" si="29"/>
        <v>1679975.123706393</v>
      </c>
      <c r="H279" s="56">
        <f t="shared" si="25"/>
        <v>-1625723.497151868</v>
      </c>
      <c r="I279" s="56"/>
      <c r="J279" s="80">
        <f t="shared" si="28"/>
        <v>569003.2240031537</v>
      </c>
      <c r="K279" s="28">
        <f t="shared" si="27"/>
        <v>5371197.5650651455</v>
      </c>
    </row>
    <row r="280" spans="1:11" ht="14.25">
      <c r="A280" s="54">
        <v>297</v>
      </c>
      <c r="B280" s="67">
        <v>51167</v>
      </c>
      <c r="C280" s="28">
        <f t="shared" si="24"/>
        <v>5371197.5650651455</v>
      </c>
      <c r="D280" s="28"/>
      <c r="E280" s="55">
        <f>Additions!J302*$C$5</f>
        <v>0</v>
      </c>
      <c r="F280" s="55">
        <f t="shared" si="26"/>
        <v>45332.907449149825</v>
      </c>
      <c r="G280" s="55">
        <f t="shared" si="29"/>
        <v>1679975.123706393</v>
      </c>
      <c r="H280" s="56">
        <f t="shared" si="25"/>
        <v>-1634642.2162572432</v>
      </c>
      <c r="I280" s="56"/>
      <c r="J280" s="80">
        <f t="shared" si="28"/>
        <v>572124.7756900351</v>
      </c>
      <c r="K280" s="28">
        <f t="shared" si="27"/>
        <v>4308680.124497937</v>
      </c>
    </row>
    <row r="281" spans="1:11" ht="14.25">
      <c r="A281" s="54">
        <v>298</v>
      </c>
      <c r="B281" s="67">
        <v>51196</v>
      </c>
      <c r="C281" s="28">
        <f t="shared" si="24"/>
        <v>4308680.124497937</v>
      </c>
      <c r="D281" s="28"/>
      <c r="E281" s="55">
        <f>Additions!J303*$C$5</f>
        <v>0</v>
      </c>
      <c r="F281" s="55">
        <f t="shared" si="26"/>
        <v>36365.260250762585</v>
      </c>
      <c r="G281" s="55">
        <f t="shared" si="29"/>
        <v>1679975.123706393</v>
      </c>
      <c r="H281" s="56">
        <f t="shared" si="25"/>
        <v>-1643609.8634556304</v>
      </c>
      <c r="I281" s="56"/>
      <c r="J281" s="80">
        <f t="shared" si="28"/>
        <v>575263.4522094706</v>
      </c>
      <c r="K281" s="28">
        <f t="shared" si="27"/>
        <v>3240333.713251778</v>
      </c>
    </row>
    <row r="282" spans="1:11" ht="14.25">
      <c r="A282" s="54">
        <v>299</v>
      </c>
      <c r="B282" s="67">
        <v>51227</v>
      </c>
      <c r="C282" s="28">
        <f t="shared" si="24"/>
        <v>3240333.713251778</v>
      </c>
      <c r="D282" s="28"/>
      <c r="E282" s="55">
        <f>Additions!J304*$C$5</f>
        <v>0</v>
      </c>
      <c r="F282" s="55">
        <f t="shared" si="26"/>
        <v>27348.416539845006</v>
      </c>
      <c r="G282" s="55">
        <f t="shared" si="29"/>
        <v>1679975.123706393</v>
      </c>
      <c r="H282" s="56">
        <f t="shared" si="25"/>
        <v>-1652626.707166548</v>
      </c>
      <c r="I282" s="56"/>
      <c r="J282" s="80">
        <f t="shared" si="28"/>
        <v>578419.3475082917</v>
      </c>
      <c r="K282" s="28">
        <f t="shared" si="27"/>
        <v>2166126.3535935218</v>
      </c>
    </row>
    <row r="283" spans="1:11" ht="14.25">
      <c r="A283" s="54">
        <v>300</v>
      </c>
      <c r="B283" s="67">
        <v>51257</v>
      </c>
      <c r="C283" s="28">
        <f t="shared" si="24"/>
        <v>2166126.3535935218</v>
      </c>
      <c r="D283" s="28"/>
      <c r="E283" s="55">
        <f>Additions!J305*$C$5</f>
        <v>0</v>
      </c>
      <c r="F283" s="55">
        <f t="shared" si="26"/>
        <v>18282.106424329322</v>
      </c>
      <c r="G283" s="55">
        <f t="shared" si="29"/>
        <v>1679975.123706393</v>
      </c>
      <c r="H283" s="56">
        <f t="shared" si="25"/>
        <v>-1661693.0172820636</v>
      </c>
      <c r="I283" s="56"/>
      <c r="J283" s="80">
        <f t="shared" si="28"/>
        <v>581592.5560487222</v>
      </c>
      <c r="K283" s="28">
        <f t="shared" si="27"/>
        <v>1086025.8923601804</v>
      </c>
    </row>
    <row r="284" spans="1:11" ht="14.25">
      <c r="A284" s="54">
        <v>301</v>
      </c>
      <c r="B284" s="67">
        <v>51288</v>
      </c>
      <c r="C284" s="28">
        <f t="shared" si="24"/>
        <v>1086025.8923601804</v>
      </c>
      <c r="D284" s="28"/>
      <c r="E284" s="55">
        <f>Additions!J306*$C$5</f>
        <v>0</v>
      </c>
      <c r="F284" s="55">
        <f t="shared" si="26"/>
        <v>9166.058531519922</v>
      </c>
      <c r="G284" s="55">
        <f t="shared" si="29"/>
        <v>1679975.123706393</v>
      </c>
      <c r="H284" s="56">
        <f t="shared" si="25"/>
        <v>-1670809.065174873</v>
      </c>
      <c r="I284" s="56"/>
      <c r="J284" s="80">
        <f t="shared" si="28"/>
        <v>584783.1728112055</v>
      </c>
      <c r="K284" s="28">
        <f t="shared" si="27"/>
        <v>-3.4871045500040054E-06</v>
      </c>
    </row>
    <row r="285" spans="2:11" ht="14.25">
      <c r="B285" s="67" t="s">
        <v>66</v>
      </c>
      <c r="C285" s="28"/>
      <c r="D285" s="28"/>
      <c r="E285" s="55">
        <f>SUM(E8:E284)</f>
        <v>0</v>
      </c>
      <c r="F285" s="55">
        <f>SUM(F8:F284)</f>
        <v>225092919.1923513</v>
      </c>
      <c r="G285" s="30">
        <f>SUM(G8:G284)</f>
        <v>463673134.1429662</v>
      </c>
      <c r="H285" s="53">
        <f>SUM(H8:H284)</f>
        <v>-238580214.9506133</v>
      </c>
      <c r="I285" s="53"/>
      <c r="J285" s="77">
        <f>SUM(J8:J284)</f>
        <v>83503075.23271461</v>
      </c>
      <c r="K285" s="54" t="s">
        <v>73</v>
      </c>
    </row>
    <row r="286" ht="14.25">
      <c r="A286" s="54" t="s">
        <v>77</v>
      </c>
    </row>
  </sheetData>
  <sheetProtection/>
  <mergeCells count="2">
    <mergeCell ref="E5:H5"/>
    <mergeCell ref="M6:P6"/>
  </mergeCells>
  <printOptions/>
  <pageMargins left="0.2" right="0.2" top="0.5" bottom="0.5" header="0.3" footer="0.3"/>
  <pageSetup firstPageNumber="6" useFirstPageNumber="1" fitToHeight="4"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dimension ref="A1:N36"/>
  <sheetViews>
    <sheetView zoomScalePageLayoutView="0" workbookViewId="0" topLeftCell="A22">
      <selection activeCell="B5" sqref="B5"/>
    </sheetView>
  </sheetViews>
  <sheetFormatPr defaultColWidth="9.140625" defaultRowHeight="15"/>
  <cols>
    <col min="1" max="1" width="6.421875" style="98" bestFit="1" customWidth="1"/>
    <col min="2" max="2" width="31.57421875" style="98" bestFit="1" customWidth="1"/>
    <col min="3" max="3" width="17.28125" style="98" bestFit="1" customWidth="1"/>
    <col min="4" max="4" width="2.7109375" style="98" customWidth="1"/>
    <col min="5" max="5" width="14.28125" style="98" bestFit="1" customWidth="1"/>
    <col min="6" max="6" width="14.140625" style="98" customWidth="1"/>
    <col min="7" max="7" width="16.28125" style="98" bestFit="1" customWidth="1"/>
    <col min="8" max="8" width="16.140625" style="104" customWidth="1"/>
    <col min="9" max="9" width="15.28125" style="104" customWidth="1"/>
    <col min="10" max="10" width="3.00390625" style="104" customWidth="1"/>
    <col min="11" max="11" width="15.28125" style="104" bestFit="1" customWidth="1"/>
    <col min="12" max="12" width="16.28125" style="104" customWidth="1"/>
    <col min="13" max="13" width="15.57421875" style="98" bestFit="1" customWidth="1"/>
    <col min="14" max="14" width="15.7109375" style="98" bestFit="1" customWidth="1"/>
    <col min="15" max="16384" width="9.140625" style="98" customWidth="1"/>
  </cols>
  <sheetData>
    <row r="1" ht="14.25">
      <c r="B1" s="98" t="s">
        <v>72</v>
      </c>
    </row>
    <row r="2" spans="2:8" ht="14.25">
      <c r="B2" s="98" t="s">
        <v>62</v>
      </c>
      <c r="C2" s="109">
        <f>WACC!O19</f>
        <v>0.10128</v>
      </c>
      <c r="D2" s="109"/>
      <c r="G2" s="110"/>
      <c r="H2" s="111"/>
    </row>
    <row r="3" spans="2:4" ht="14.25">
      <c r="B3" s="98" t="s">
        <v>67</v>
      </c>
      <c r="C3" s="109">
        <f>C2/12</f>
        <v>0.00844</v>
      </c>
      <c r="D3" s="109"/>
    </row>
    <row r="4" spans="2:11" ht="14.25">
      <c r="B4" s="98" t="s">
        <v>68</v>
      </c>
      <c r="C4" s="99">
        <v>1316560.7750258404</v>
      </c>
      <c r="D4" s="99"/>
      <c r="E4" s="98" t="s">
        <v>2</v>
      </c>
      <c r="K4" s="96"/>
    </row>
    <row r="5" spans="2:13" ht="14.25">
      <c r="B5" s="98" t="s">
        <v>84</v>
      </c>
      <c r="C5" s="112">
        <v>0.986</v>
      </c>
      <c r="D5" s="113"/>
      <c r="E5" s="129"/>
      <c r="F5" s="129"/>
      <c r="G5" s="129"/>
      <c r="H5" s="129"/>
      <c r="I5" s="129"/>
      <c r="J5" s="114"/>
      <c r="K5" s="115"/>
      <c r="L5" s="115"/>
      <c r="M5" s="97"/>
    </row>
    <row r="6" spans="1:14" ht="105" customHeight="1">
      <c r="A6" s="97" t="s">
        <v>1</v>
      </c>
      <c r="B6" s="97" t="s">
        <v>67</v>
      </c>
      <c r="C6" s="116" t="s">
        <v>76</v>
      </c>
      <c r="D6" s="116"/>
      <c r="E6" s="116" t="s">
        <v>63</v>
      </c>
      <c r="F6" s="116" t="s">
        <v>64</v>
      </c>
      <c r="G6" s="116" t="s">
        <v>87</v>
      </c>
      <c r="H6" s="116" t="s">
        <v>96</v>
      </c>
      <c r="I6" s="116" t="s">
        <v>97</v>
      </c>
      <c r="J6" s="116"/>
      <c r="K6" s="116" t="s">
        <v>88</v>
      </c>
      <c r="L6" s="116" t="s">
        <v>74</v>
      </c>
      <c r="M6" s="116" t="s">
        <v>75</v>
      </c>
      <c r="N6" s="116" t="s">
        <v>83</v>
      </c>
    </row>
    <row r="7" spans="2:14" ht="14.25">
      <c r="B7" s="100">
        <v>42185</v>
      </c>
      <c r="C7" s="103"/>
      <c r="D7" s="103"/>
      <c r="I7" s="96">
        <v>193208573.36056</v>
      </c>
      <c r="J7" s="96"/>
      <c r="K7" s="96" t="s">
        <v>2</v>
      </c>
      <c r="L7" s="96">
        <v>-65108222.228076994</v>
      </c>
      <c r="M7" s="107">
        <v>128100351.132483</v>
      </c>
      <c r="N7" s="107" t="s">
        <v>2</v>
      </c>
    </row>
    <row r="8" spans="1:14" ht="14.25">
      <c r="A8" s="98">
        <v>1</v>
      </c>
      <c r="B8" s="47">
        <v>42186</v>
      </c>
      <c r="C8" s="107">
        <v>128100351.132483</v>
      </c>
      <c r="D8" s="107"/>
      <c r="E8" s="99">
        <f>Additions!J6*$C$5</f>
        <v>2301190.30826</v>
      </c>
      <c r="F8" s="99">
        <f>M7*$C$3</f>
        <v>1081166.9635581565</v>
      </c>
      <c r="G8" s="99">
        <v>862519.87</v>
      </c>
      <c r="H8" s="101">
        <f>E8+F8-G8</f>
        <v>2519837.4018181562</v>
      </c>
      <c r="I8" s="102">
        <f>+I7+H8</f>
        <v>195728410.76237816</v>
      </c>
      <c r="J8" s="102"/>
      <c r="K8" s="102">
        <f>-Additions!L6*0.35</f>
        <v>-429968.35</v>
      </c>
      <c r="L8" s="102">
        <v>-65538190.578076996</v>
      </c>
      <c r="M8" s="107">
        <f aca="true" t="shared" si="0" ref="M8:M13">C8+E8+F8-G8+K8</f>
        <v>130190220.18430115</v>
      </c>
      <c r="N8" s="108">
        <f>F8-G8</f>
        <v>218647.0935581565</v>
      </c>
    </row>
    <row r="9" spans="1:14" ht="14.25">
      <c r="A9" s="98">
        <v>2</v>
      </c>
      <c r="B9" s="47">
        <v>42217</v>
      </c>
      <c r="C9" s="107">
        <f aca="true" t="shared" si="1" ref="C9:C32">M8</f>
        <v>130190220.18430115</v>
      </c>
      <c r="D9" s="107"/>
      <c r="E9" s="99">
        <f>Additions!J7*$C$5</f>
        <v>816670.2069799999</v>
      </c>
      <c r="F9" s="99">
        <f>M8*$C$3</f>
        <v>1098805.4583555018</v>
      </c>
      <c r="G9" s="99">
        <v>1720480.79</v>
      </c>
      <c r="H9" s="102">
        <f aca="true" t="shared" si="2" ref="H9:H32">E9+F9-G9</f>
        <v>194994.8753355015</v>
      </c>
      <c r="I9" s="102">
        <f>+I8+H9</f>
        <v>195923405.63771367</v>
      </c>
      <c r="J9" s="102"/>
      <c r="K9" s="102">
        <f>-Additions!L7*0.35</f>
        <v>-292269.25</v>
      </c>
      <c r="L9" s="102">
        <v>-65830459.828076996</v>
      </c>
      <c r="M9" s="107">
        <f t="shared" si="0"/>
        <v>130092945.80963665</v>
      </c>
      <c r="N9" s="108">
        <f aca="true" t="shared" si="3" ref="N9:N32">F9-G9</f>
        <v>-621675.3316444983</v>
      </c>
    </row>
    <row r="10" spans="1:14" ht="14.25">
      <c r="A10" s="98">
        <v>3</v>
      </c>
      <c r="B10" s="47">
        <v>42248</v>
      </c>
      <c r="C10" s="107">
        <f t="shared" si="1"/>
        <v>130092945.80963665</v>
      </c>
      <c r="D10" s="107"/>
      <c r="E10" s="99">
        <f>Additions!J8*$C$5</f>
        <v>988202.2112799999</v>
      </c>
      <c r="F10" s="99">
        <f>M9*$C$3</f>
        <v>1097984.4626333334</v>
      </c>
      <c r="G10" s="99">
        <v>1005141.8</v>
      </c>
      <c r="H10" s="102">
        <f t="shared" si="2"/>
        <v>1081044.8739133333</v>
      </c>
      <c r="I10" s="102">
        <f>+I9+H10</f>
        <v>197004450.51162702</v>
      </c>
      <c r="J10" s="102"/>
      <c r="K10" s="102">
        <f>-Additions!L8*0.35</f>
        <v>-327647.94999999995</v>
      </c>
      <c r="L10" s="102">
        <v>-66158107.778077</v>
      </c>
      <c r="M10" s="107">
        <f t="shared" si="0"/>
        <v>130846342.73354998</v>
      </c>
      <c r="N10" s="108">
        <f>F10-G10</f>
        <v>92842.66263333336</v>
      </c>
    </row>
    <row r="11" spans="1:14" ht="14.25">
      <c r="A11" s="98">
        <v>4</v>
      </c>
      <c r="B11" s="47">
        <v>42278</v>
      </c>
      <c r="C11" s="107">
        <f t="shared" si="1"/>
        <v>130846342.73354998</v>
      </c>
      <c r="D11" s="107"/>
      <c r="E11" s="99">
        <f>Additions!J9*$C$5</f>
        <v>931778.5387600001</v>
      </c>
      <c r="F11" s="99">
        <f>M10*$C$3</f>
        <v>1104343.1326711618</v>
      </c>
      <c r="G11" s="99">
        <v>1310039.17</v>
      </c>
      <c r="H11" s="102">
        <f t="shared" si="2"/>
        <v>726082.501431162</v>
      </c>
      <c r="I11" s="102">
        <f>+I10+H11</f>
        <v>197730533.0130582</v>
      </c>
      <c r="J11" s="102"/>
      <c r="K11" s="102">
        <f>-Additions!L9*0.35</f>
        <v>-337002.75</v>
      </c>
      <c r="L11" s="102">
        <v>-66495110.528077</v>
      </c>
      <c r="M11" s="107">
        <f t="shared" si="0"/>
        <v>131235422.48498115</v>
      </c>
      <c r="N11" s="108">
        <f t="shared" si="3"/>
        <v>-205696.03732883814</v>
      </c>
    </row>
    <row r="12" spans="1:14" ht="14.25">
      <c r="A12" s="98">
        <v>5</v>
      </c>
      <c r="B12" s="47">
        <v>42309</v>
      </c>
      <c r="C12" s="107">
        <f t="shared" si="1"/>
        <v>131235422.48498115</v>
      </c>
      <c r="D12" s="107"/>
      <c r="E12" s="99">
        <f>Additions!J10*$C$5</f>
        <v>1928313.1303799998</v>
      </c>
      <c r="F12" s="99">
        <f>M11*$C$3</f>
        <v>1107626.965773241</v>
      </c>
      <c r="G12" s="99">
        <v>986500.57</v>
      </c>
      <c r="H12" s="101">
        <f>E12+F12-G12</f>
        <v>2049439.5261532408</v>
      </c>
      <c r="I12" s="102">
        <f>+I11+H12</f>
        <v>199779972.53921142</v>
      </c>
      <c r="J12" s="102"/>
      <c r="K12" s="102">
        <f>-Additions!L10*0.35</f>
        <v>-645895.25</v>
      </c>
      <c r="L12" s="102">
        <v>-67141005.778077</v>
      </c>
      <c r="M12" s="107">
        <f t="shared" si="0"/>
        <v>132638966.76113442</v>
      </c>
      <c r="N12" s="108">
        <f>F12-G12</f>
        <v>121126.39577324095</v>
      </c>
    </row>
    <row r="13" spans="1:14" ht="14.25">
      <c r="A13" s="98">
        <v>6</v>
      </c>
      <c r="B13" s="48" t="s">
        <v>108</v>
      </c>
      <c r="C13" s="107">
        <f t="shared" si="1"/>
        <v>132638966.76113442</v>
      </c>
      <c r="D13" s="107"/>
      <c r="E13" s="99">
        <f>Additions!J11*$C$5</f>
        <v>0</v>
      </c>
      <c r="F13" s="99">
        <v>0</v>
      </c>
      <c r="G13" s="99">
        <v>0</v>
      </c>
      <c r="H13" s="101">
        <f>E13+F13-G13</f>
        <v>0</v>
      </c>
      <c r="I13" s="102">
        <f aca="true" t="shared" si="4" ref="I13:I32">+I12+H13</f>
        <v>199779972.53921142</v>
      </c>
      <c r="J13" s="102"/>
      <c r="K13" s="102">
        <f>-Additions!L11*0.35</f>
        <v>-1365806.4</v>
      </c>
      <c r="L13" s="102">
        <v>-68506812.17807701</v>
      </c>
      <c r="M13" s="107">
        <f t="shared" si="0"/>
        <v>131273160.36113441</v>
      </c>
      <c r="N13" s="108">
        <f>F13-G13</f>
        <v>0</v>
      </c>
    </row>
    <row r="14" spans="1:14" ht="14.25">
      <c r="A14" s="98">
        <v>7</v>
      </c>
      <c r="B14" s="47">
        <v>42339</v>
      </c>
      <c r="C14" s="107">
        <f t="shared" si="1"/>
        <v>131273160.36113441</v>
      </c>
      <c r="D14" s="107"/>
      <c r="E14" s="99">
        <f>Additions!J12*$C$5</f>
        <v>2250117.6774600004</v>
      </c>
      <c r="F14" s="99">
        <f>M13*$C$3</f>
        <v>1107945.4734479743</v>
      </c>
      <c r="G14" s="99">
        <v>1275419.93</v>
      </c>
      <c r="H14" s="102">
        <f t="shared" si="2"/>
        <v>2082643.2209079748</v>
      </c>
      <c r="I14" s="102">
        <f t="shared" si="4"/>
        <v>201862615.7601194</v>
      </c>
      <c r="J14" s="102"/>
      <c r="K14" s="102">
        <f>-Additions!L12*0.35</f>
        <v>-794115</v>
      </c>
      <c r="L14" s="102">
        <v>-69300927.17807701</v>
      </c>
      <c r="M14" s="107">
        <f aca="true" t="shared" si="5" ref="M14:M24">C14+E14+F14-G14+K14</f>
        <v>132561688.58204237</v>
      </c>
      <c r="N14" s="108">
        <f t="shared" si="3"/>
        <v>-167474.45655202563</v>
      </c>
    </row>
    <row r="15" spans="1:14" ht="14.25">
      <c r="A15" s="98">
        <v>8</v>
      </c>
      <c r="B15" s="47">
        <v>42370</v>
      </c>
      <c r="C15" s="107">
        <f t="shared" si="1"/>
        <v>132561688.58204237</v>
      </c>
      <c r="D15" s="107"/>
      <c r="E15" s="99">
        <f>Additions!J13*$C$5</f>
        <v>2011546.01472</v>
      </c>
      <c r="F15" s="99">
        <f aca="true" t="shared" si="6" ref="F15:F21">M14*$C$3</f>
        <v>1118820.6516324375</v>
      </c>
      <c r="G15" s="99">
        <v>1595851.46</v>
      </c>
      <c r="H15" s="102">
        <f t="shared" si="2"/>
        <v>1534515.2063524378</v>
      </c>
      <c r="I15" s="102">
        <f t="shared" si="4"/>
        <v>203397130.96647185</v>
      </c>
      <c r="J15" s="102"/>
      <c r="K15" s="102">
        <f>-Additions!L13*0.35</f>
        <v>-740278.7</v>
      </c>
      <c r="L15" s="102">
        <v>-70041205.87807702</v>
      </c>
      <c r="M15" s="107">
        <f t="shared" si="5"/>
        <v>133355925.08839479</v>
      </c>
      <c r="N15" s="108">
        <f t="shared" si="3"/>
        <v>-477030.8083675625</v>
      </c>
    </row>
    <row r="16" spans="1:14" ht="14.25">
      <c r="A16" s="98">
        <v>9</v>
      </c>
      <c r="B16" s="47">
        <v>42401</v>
      </c>
      <c r="C16" s="107">
        <f t="shared" si="1"/>
        <v>133355925.08839479</v>
      </c>
      <c r="D16" s="107"/>
      <c r="E16" s="99">
        <f>Additions!J14*$C$5</f>
        <v>2039467.02042</v>
      </c>
      <c r="F16" s="99">
        <f t="shared" si="6"/>
        <v>1125524.007746052</v>
      </c>
      <c r="G16" s="99">
        <v>1526707.51</v>
      </c>
      <c r="H16" s="102">
        <f t="shared" si="2"/>
        <v>1638283.518166052</v>
      </c>
      <c r="I16" s="102">
        <f t="shared" si="4"/>
        <v>205035414.48463792</v>
      </c>
      <c r="J16" s="102"/>
      <c r="K16" s="102">
        <f>-Additions!L14*0.35</f>
        <v>-714095.2</v>
      </c>
      <c r="L16" s="102">
        <v>-70755301.07807702</v>
      </c>
      <c r="M16" s="107">
        <f t="shared" si="5"/>
        <v>134280113.40656084</v>
      </c>
      <c r="N16" s="108">
        <f t="shared" si="3"/>
        <v>-401183.502253948</v>
      </c>
    </row>
    <row r="17" spans="1:14" ht="14.25">
      <c r="A17" s="98">
        <v>10</v>
      </c>
      <c r="B17" s="47">
        <v>42430</v>
      </c>
      <c r="C17" s="107">
        <f t="shared" si="1"/>
        <v>134280113.40656084</v>
      </c>
      <c r="D17" s="107"/>
      <c r="E17" s="99">
        <f>Additions!J15*$C$5</f>
        <v>3108192.77538</v>
      </c>
      <c r="F17" s="99">
        <f t="shared" si="6"/>
        <v>1133324.1571513733</v>
      </c>
      <c r="G17" s="99">
        <v>1230134.22</v>
      </c>
      <c r="H17" s="102">
        <f t="shared" si="2"/>
        <v>3011382.712531374</v>
      </c>
      <c r="I17" s="102">
        <f t="shared" si="4"/>
        <v>208046797.1971693</v>
      </c>
      <c r="J17" s="102"/>
      <c r="K17" s="102">
        <f>-Additions!L15*0.35</f>
        <v>-1100389.5</v>
      </c>
      <c r="L17" s="102">
        <v>-71855690.57807702</v>
      </c>
      <c r="M17" s="107">
        <f t="shared" si="5"/>
        <v>136191106.6190922</v>
      </c>
      <c r="N17" s="108">
        <f t="shared" si="3"/>
        <v>-96810.06284862664</v>
      </c>
    </row>
    <row r="18" spans="1:14" ht="14.25">
      <c r="A18" s="98">
        <v>11</v>
      </c>
      <c r="B18" s="47">
        <v>42461</v>
      </c>
      <c r="C18" s="107">
        <f t="shared" si="1"/>
        <v>136191106.6190922</v>
      </c>
      <c r="D18" s="107"/>
      <c r="E18" s="99">
        <f>Additions!J16*$C$5</f>
        <v>2238242.75688</v>
      </c>
      <c r="F18" s="99">
        <f t="shared" si="6"/>
        <v>1149452.9398651381</v>
      </c>
      <c r="G18" s="99">
        <v>1448879.16</v>
      </c>
      <c r="H18" s="102">
        <f t="shared" si="2"/>
        <v>1938816.5367451378</v>
      </c>
      <c r="I18" s="102">
        <f t="shared" si="4"/>
        <v>209985613.73391443</v>
      </c>
      <c r="J18" s="102"/>
      <c r="K18" s="102">
        <f>-Additions!L16*0.35</f>
        <v>-826144.2</v>
      </c>
      <c r="L18" s="102">
        <v>-72681834.77807702</v>
      </c>
      <c r="M18" s="107">
        <f t="shared" si="5"/>
        <v>137303778.95583734</v>
      </c>
      <c r="N18" s="108">
        <f>F18-G18</f>
        <v>-299426.22013486177</v>
      </c>
    </row>
    <row r="19" spans="1:14" ht="14.25">
      <c r="A19" s="98">
        <v>12</v>
      </c>
      <c r="B19" s="47">
        <v>42491</v>
      </c>
      <c r="C19" s="107">
        <f t="shared" si="1"/>
        <v>137303778.95583734</v>
      </c>
      <c r="D19" s="107"/>
      <c r="E19" s="99">
        <f>Additions!J17*$C$5</f>
        <v>2351170.8060200005</v>
      </c>
      <c r="F19" s="99">
        <f t="shared" si="6"/>
        <v>1158843.894387267</v>
      </c>
      <c r="G19" s="99">
        <v>1111171.07</v>
      </c>
      <c r="H19" s="102">
        <f t="shared" si="2"/>
        <v>2398843.6304072673</v>
      </c>
      <c r="I19" s="102">
        <f t="shared" si="4"/>
        <v>212384457.3643217</v>
      </c>
      <c r="J19" s="102"/>
      <c r="K19" s="102">
        <f>-Additions!L17*0.35</f>
        <v>-842178.75</v>
      </c>
      <c r="L19" s="102">
        <v>-73524013.52807702</v>
      </c>
      <c r="M19" s="107">
        <f t="shared" si="5"/>
        <v>138860443.8362446</v>
      </c>
      <c r="N19" s="108">
        <f>F19-G19</f>
        <v>47672.824387267</v>
      </c>
    </row>
    <row r="20" spans="1:14" ht="14.25">
      <c r="A20" s="98">
        <v>13</v>
      </c>
      <c r="B20" s="47">
        <v>42522</v>
      </c>
      <c r="C20" s="107">
        <f t="shared" si="1"/>
        <v>138860443.8362446</v>
      </c>
      <c r="D20" s="107"/>
      <c r="E20" s="99">
        <f>Additions!J18*$C$5</f>
        <v>921065.0965999999</v>
      </c>
      <c r="F20" s="99">
        <f t="shared" si="6"/>
        <v>1171982.1459779046</v>
      </c>
      <c r="G20" s="99">
        <v>1172648.41</v>
      </c>
      <c r="H20" s="102">
        <f t="shared" si="2"/>
        <v>920398.8325779045</v>
      </c>
      <c r="I20" s="102">
        <f t="shared" si="4"/>
        <v>213304856.19689962</v>
      </c>
      <c r="J20" s="102"/>
      <c r="K20" s="102">
        <f>-Additions!L18*0.35</f>
        <v>-349029.1</v>
      </c>
      <c r="L20" s="102">
        <v>-73873042.62807702</v>
      </c>
      <c r="M20" s="107">
        <f t="shared" si="5"/>
        <v>139431813.56882253</v>
      </c>
      <c r="N20" s="108">
        <f t="shared" si="3"/>
        <v>-666.2640220953617</v>
      </c>
    </row>
    <row r="21" spans="1:14" ht="14.25">
      <c r="A21" s="98">
        <v>14</v>
      </c>
      <c r="B21" s="47">
        <v>42552</v>
      </c>
      <c r="C21" s="107">
        <f t="shared" si="1"/>
        <v>139431813.56882253</v>
      </c>
      <c r="D21" s="107"/>
      <c r="E21" s="99">
        <f>Additions!J19*$C$5</f>
        <v>1481327.7487999997</v>
      </c>
      <c r="F21" s="99">
        <f t="shared" si="6"/>
        <v>1176804.5065208622</v>
      </c>
      <c r="G21" s="99">
        <v>1376084.67</v>
      </c>
      <c r="H21" s="102">
        <f t="shared" si="2"/>
        <v>1282047.585320862</v>
      </c>
      <c r="I21" s="102">
        <f t="shared" si="4"/>
        <v>214586903.78222048</v>
      </c>
      <c r="J21" s="102"/>
      <c r="K21" s="102">
        <f>-Additions!L19*0.35</f>
        <v>-533927.7999999999</v>
      </c>
      <c r="L21" s="102">
        <v>-74406970.42807701</v>
      </c>
      <c r="M21" s="107">
        <f t="shared" si="5"/>
        <v>140179933.3541434</v>
      </c>
      <c r="N21" s="108">
        <f t="shared" si="3"/>
        <v>-199280.1634791377</v>
      </c>
    </row>
    <row r="22" spans="1:14" ht="14.25">
      <c r="A22" s="98">
        <v>15</v>
      </c>
      <c r="B22" s="47">
        <v>42583</v>
      </c>
      <c r="C22" s="107">
        <f t="shared" si="1"/>
        <v>140179933.3541434</v>
      </c>
      <c r="D22" s="107"/>
      <c r="E22" s="99">
        <f>Additions!J20*$C$5</f>
        <v>4493640.88832</v>
      </c>
      <c r="F22" s="99">
        <f aca="true" t="shared" si="7" ref="F22:F32">M21*$C$3</f>
        <v>1183118.6375089702</v>
      </c>
      <c r="G22" s="99">
        <v>1269969.89</v>
      </c>
      <c r="H22" s="102">
        <f t="shared" si="2"/>
        <v>4406789.635828971</v>
      </c>
      <c r="I22" s="102">
        <f>+I21+H22</f>
        <v>218993693.41804945</v>
      </c>
      <c r="J22" s="102"/>
      <c r="K22" s="102">
        <f>-Additions!L20*0.35</f>
        <v>-1585094.3499999999</v>
      </c>
      <c r="L22" s="102">
        <v>-75992064.778077</v>
      </c>
      <c r="M22" s="107">
        <f t="shared" si="5"/>
        <v>143001628.6399724</v>
      </c>
      <c r="N22" s="108">
        <f t="shared" si="3"/>
        <v>-86851.25249102968</v>
      </c>
    </row>
    <row r="23" spans="1:14" ht="14.25">
      <c r="A23" s="98">
        <v>16</v>
      </c>
      <c r="B23" s="47">
        <v>42614</v>
      </c>
      <c r="C23" s="107">
        <f t="shared" si="1"/>
        <v>143001628.6399724</v>
      </c>
      <c r="D23" s="107"/>
      <c r="E23" s="99">
        <f>Additions!J21*$C$5</f>
        <v>3388529.81066</v>
      </c>
      <c r="F23" s="99">
        <f t="shared" si="7"/>
        <v>1206933.745721367</v>
      </c>
      <c r="G23" s="99">
        <v>1214458.07</v>
      </c>
      <c r="H23" s="101">
        <f>E23+F23-G23</f>
        <v>3381005.486381367</v>
      </c>
      <c r="I23" s="102">
        <f>+I22+H23</f>
        <v>222374698.9044308</v>
      </c>
      <c r="J23" s="102"/>
      <c r="K23" s="102">
        <f>-Additions!L21*0.35</f>
        <v>-1188974.8499999999</v>
      </c>
      <c r="L23" s="102">
        <v>-77181039.628077</v>
      </c>
      <c r="M23" s="107">
        <f>C23+E23+F23-G23+K23</f>
        <v>145193659.27635378</v>
      </c>
      <c r="N23" s="108">
        <f t="shared" si="3"/>
        <v>-7524.32427863311</v>
      </c>
    </row>
    <row r="24" spans="1:14" ht="14.25">
      <c r="A24" s="98">
        <v>17</v>
      </c>
      <c r="B24" s="47">
        <v>42644</v>
      </c>
      <c r="C24" s="107">
        <f t="shared" si="1"/>
        <v>145193659.27635378</v>
      </c>
      <c r="D24" s="107"/>
      <c r="E24" s="99">
        <f>Additions!J22*$C$5</f>
        <v>6751667.72534</v>
      </c>
      <c r="F24" s="99">
        <f t="shared" si="7"/>
        <v>1225434.484292426</v>
      </c>
      <c r="G24" s="99">
        <v>1292256.2666471081</v>
      </c>
      <c r="H24" s="102">
        <f t="shared" si="2"/>
        <v>6684845.942985319</v>
      </c>
      <c r="I24" s="102">
        <f t="shared" si="4"/>
        <v>229059544.84741613</v>
      </c>
      <c r="J24" s="102"/>
      <c r="K24" s="102">
        <f>-Additions!L22*0.35</f>
        <v>-2382525.5999999996</v>
      </c>
      <c r="L24" s="102">
        <v>-79563565.228077</v>
      </c>
      <c r="M24" s="107">
        <f t="shared" si="5"/>
        <v>149495979.6193391</v>
      </c>
      <c r="N24" s="108">
        <f t="shared" si="3"/>
        <v>-66821.78235468222</v>
      </c>
    </row>
    <row r="25" spans="1:14" ht="14.25">
      <c r="A25" s="98">
        <v>18</v>
      </c>
      <c r="B25" s="47">
        <v>42675</v>
      </c>
      <c r="C25" s="107">
        <f t="shared" si="1"/>
        <v>149495979.6193391</v>
      </c>
      <c r="D25" s="107"/>
      <c r="E25" s="99">
        <f>Additions!J23*$C$5</f>
        <v>1883279.6805600002</v>
      </c>
      <c r="F25" s="99">
        <f t="shared" si="7"/>
        <v>1261746.067987222</v>
      </c>
      <c r="G25" s="99">
        <v>1504933.45</v>
      </c>
      <c r="H25" s="102">
        <f t="shared" si="2"/>
        <v>1640092.2985472225</v>
      </c>
      <c r="I25" s="102">
        <f t="shared" si="4"/>
        <v>230699637.14596334</v>
      </c>
      <c r="J25" s="102"/>
      <c r="K25" s="102">
        <f>-Additions!L23*0.35</f>
        <v>-667702.7</v>
      </c>
      <c r="L25" s="102">
        <v>-80231267.928077</v>
      </c>
      <c r="M25" s="107">
        <f aca="true" t="shared" si="8" ref="M25:M32">C25+E25+F25-G25+K25</f>
        <v>150468369.21788636</v>
      </c>
      <c r="N25" s="108">
        <f t="shared" si="3"/>
        <v>-243187.38201277796</v>
      </c>
    </row>
    <row r="26" spans="1:14" ht="14.25">
      <c r="A26" s="98">
        <v>19</v>
      </c>
      <c r="B26" s="47">
        <v>42705</v>
      </c>
      <c r="C26" s="107">
        <f t="shared" si="1"/>
        <v>150468369.21788636</v>
      </c>
      <c r="D26" s="107"/>
      <c r="E26" s="99">
        <f>Additions!J24*$C$5</f>
        <v>2119436.9349599998</v>
      </c>
      <c r="F26" s="99">
        <f t="shared" si="7"/>
        <v>1269953.0361989609</v>
      </c>
      <c r="G26" s="99">
        <v>1781691.88</v>
      </c>
      <c r="H26" s="102">
        <f t="shared" si="2"/>
        <v>1607698.091158961</v>
      </c>
      <c r="I26" s="102">
        <f t="shared" si="4"/>
        <v>232307335.2371223</v>
      </c>
      <c r="J26" s="102"/>
      <c r="K26" s="102">
        <f>-Additions!L24*0.35</f>
        <v>-746049.85</v>
      </c>
      <c r="L26" s="102">
        <v>-80977317.77807699</v>
      </c>
      <c r="M26" s="107">
        <f t="shared" si="8"/>
        <v>151330017.45904535</v>
      </c>
      <c r="N26" s="108">
        <f t="shared" si="3"/>
        <v>-511738.84380103904</v>
      </c>
    </row>
    <row r="27" spans="1:14" ht="14.25">
      <c r="A27" s="98">
        <v>20</v>
      </c>
      <c r="B27" s="47">
        <v>42736</v>
      </c>
      <c r="C27" s="107">
        <f t="shared" si="1"/>
        <v>151330017.45904535</v>
      </c>
      <c r="D27" s="107"/>
      <c r="E27" s="99">
        <f>Additions!J25*$C$5</f>
        <v>683847.2611599999</v>
      </c>
      <c r="F27" s="99">
        <f t="shared" si="7"/>
        <v>1277225.3473543427</v>
      </c>
      <c r="G27" s="99">
        <v>1685014.4</v>
      </c>
      <c r="H27" s="102">
        <f t="shared" si="2"/>
        <v>276058.20851434255</v>
      </c>
      <c r="I27" s="102">
        <f t="shared" si="4"/>
        <v>232583393.44563663</v>
      </c>
      <c r="J27" s="102"/>
      <c r="K27" s="102">
        <f>-Additions!L25*0.35</f>
        <v>-287343.69999999995</v>
      </c>
      <c r="L27" s="102">
        <v>-81264661.478077</v>
      </c>
      <c r="M27" s="107">
        <f t="shared" si="8"/>
        <v>151318731.9675597</v>
      </c>
      <c r="N27" s="108">
        <f t="shared" si="3"/>
        <v>-407789.0526456572</v>
      </c>
    </row>
    <row r="28" spans="1:14" ht="14.25">
      <c r="A28" s="98">
        <v>21</v>
      </c>
      <c r="B28" s="47">
        <v>42767</v>
      </c>
      <c r="C28" s="107">
        <f t="shared" si="1"/>
        <v>151318731.9675597</v>
      </c>
      <c r="D28" s="107"/>
      <c r="E28" s="99">
        <f>Additions!J26*$C$5</f>
        <v>731186.53114</v>
      </c>
      <c r="F28" s="99">
        <f t="shared" si="7"/>
        <v>1277130.0978062039</v>
      </c>
      <c r="G28" s="99">
        <v>1437691.49</v>
      </c>
      <c r="H28" s="102">
        <f t="shared" si="2"/>
        <v>570625.1389462037</v>
      </c>
      <c r="I28" s="102">
        <f t="shared" si="4"/>
        <v>233154018.58458284</v>
      </c>
      <c r="J28" s="102"/>
      <c r="K28" s="102">
        <f>-Additions!L26*0.35</f>
        <v>-259010.84999999998</v>
      </c>
      <c r="L28" s="102">
        <v>-81523672.32807699</v>
      </c>
      <c r="M28" s="107">
        <f t="shared" si="8"/>
        <v>151630346.2565059</v>
      </c>
      <c r="N28" s="108">
        <f t="shared" si="3"/>
        <v>-160561.3921937961</v>
      </c>
    </row>
    <row r="29" spans="1:14" ht="14.25">
      <c r="A29" s="98">
        <v>22</v>
      </c>
      <c r="B29" s="47">
        <v>42795</v>
      </c>
      <c r="C29" s="107">
        <f t="shared" si="1"/>
        <v>151630346.2565059</v>
      </c>
      <c r="D29" s="107"/>
      <c r="E29" s="99">
        <f>Additions!J27*$C$5</f>
        <v>1256185.3173200001</v>
      </c>
      <c r="F29" s="99">
        <f t="shared" si="7"/>
        <v>1279760.1224049097</v>
      </c>
      <c r="G29" s="99">
        <v>1758176.78</v>
      </c>
      <c r="H29" s="102">
        <f t="shared" si="2"/>
        <v>777768.65972491</v>
      </c>
      <c r="I29" s="102">
        <f t="shared" si="4"/>
        <v>233931787.24430776</v>
      </c>
      <c r="J29" s="102"/>
      <c r="K29" s="102">
        <f>-Additions!L27*0.35</f>
        <v>-440934.89999999997</v>
      </c>
      <c r="L29" s="102">
        <v>-81964607.228077</v>
      </c>
      <c r="M29" s="107">
        <f t="shared" si="8"/>
        <v>151967180.0162308</v>
      </c>
      <c r="N29" s="108">
        <f t="shared" si="3"/>
        <v>-478416.65759509034</v>
      </c>
    </row>
    <row r="30" spans="1:14" ht="14.25">
      <c r="A30" s="98">
        <v>23</v>
      </c>
      <c r="B30" s="47">
        <v>42826</v>
      </c>
      <c r="C30" s="107">
        <f t="shared" si="1"/>
        <v>151967180.0162308</v>
      </c>
      <c r="D30" s="107"/>
      <c r="E30" s="99">
        <f>Additions!J28*$C$5</f>
        <v>1197228.9164599997</v>
      </c>
      <c r="F30" s="99">
        <f t="shared" si="7"/>
        <v>1282602.9993369877</v>
      </c>
      <c r="G30" s="99">
        <v>1283647.93</v>
      </c>
      <c r="H30" s="102">
        <f t="shared" si="2"/>
        <v>1196183.9857969878</v>
      </c>
      <c r="I30" s="102">
        <f t="shared" si="4"/>
        <v>235127971.23010474</v>
      </c>
      <c r="J30" s="102"/>
      <c r="K30" s="102">
        <f>-Additions!L28*0.35</f>
        <v>-420022.05</v>
      </c>
      <c r="L30" s="102">
        <v>-82384629.27807699</v>
      </c>
      <c r="M30" s="107">
        <f t="shared" si="8"/>
        <v>152743341.95202777</v>
      </c>
      <c r="N30" s="108">
        <f t="shared" si="3"/>
        <v>-1044.930663012201</v>
      </c>
    </row>
    <row r="31" spans="1:14" ht="14.25">
      <c r="A31" s="98">
        <v>24</v>
      </c>
      <c r="B31" s="47">
        <v>42856</v>
      </c>
      <c r="C31" s="107">
        <f t="shared" si="1"/>
        <v>152743341.95202777</v>
      </c>
      <c r="D31" s="107"/>
      <c r="E31" s="99">
        <f>Additions!J29*$C$5</f>
        <v>1908546.05874</v>
      </c>
      <c r="F31" s="99">
        <f t="shared" si="7"/>
        <v>1289153.8060751143</v>
      </c>
      <c r="G31" s="99">
        <v>1711105.88</v>
      </c>
      <c r="H31" s="102">
        <f t="shared" si="2"/>
        <v>1486593.9848151142</v>
      </c>
      <c r="I31" s="102">
        <f t="shared" si="4"/>
        <v>236614565.21491987</v>
      </c>
      <c r="J31" s="102"/>
      <c r="K31" s="102">
        <f>-Additions!L29*0.35</f>
        <v>-670546.45</v>
      </c>
      <c r="L31" s="102">
        <v>-83055175.728077</v>
      </c>
      <c r="M31" s="107">
        <f t="shared" si="8"/>
        <v>153559389.4868429</v>
      </c>
      <c r="N31" s="108">
        <f t="shared" si="3"/>
        <v>-421952.0739248856</v>
      </c>
    </row>
    <row r="32" spans="1:14" ht="14.25">
      <c r="A32" s="98">
        <v>25</v>
      </c>
      <c r="B32" s="63">
        <v>42887</v>
      </c>
      <c r="C32" s="105">
        <f t="shared" si="1"/>
        <v>153559389.4868429</v>
      </c>
      <c r="D32" s="105"/>
      <c r="E32" s="81">
        <f>Additions!J30*$C$5</f>
        <v>1745957.4984199998</v>
      </c>
      <c r="F32" s="81">
        <f t="shared" si="7"/>
        <v>1296041.247268954</v>
      </c>
      <c r="G32" s="81">
        <v>1076349.01</v>
      </c>
      <c r="H32" s="64">
        <f t="shared" si="2"/>
        <v>1965649.735688954</v>
      </c>
      <c r="I32" s="64">
        <f t="shared" si="4"/>
        <v>238580214.95060882</v>
      </c>
      <c r="J32" s="64"/>
      <c r="K32" s="64">
        <f>-Additions!L30*0.35</f>
        <v>-615784.75</v>
      </c>
      <c r="L32" s="64">
        <v>-83670960.478077</v>
      </c>
      <c r="M32" s="105">
        <f t="shared" si="8"/>
        <v>154909254.47253186</v>
      </c>
      <c r="N32" s="106">
        <f t="shared" si="3"/>
        <v>219692.23726895405</v>
      </c>
    </row>
    <row r="33" spans="2:14" ht="14.25">
      <c r="B33" s="98" t="s">
        <v>66</v>
      </c>
      <c r="C33" s="107"/>
      <c r="D33" s="107"/>
      <c r="E33" s="99">
        <f>SUM(E8:E32)</f>
        <v>49526790.91501999</v>
      </c>
      <c r="F33" s="99">
        <f>SUM(F8:F32)</f>
        <v>28481724.35167586</v>
      </c>
      <c r="G33" s="108">
        <f>SUM(G8:G32)</f>
        <v>32636873.676647104</v>
      </c>
      <c r="H33" s="96">
        <f>SUM(H8:H32)</f>
        <v>45371641.59004876</v>
      </c>
      <c r="I33" s="96"/>
      <c r="J33" s="96"/>
      <c r="K33" s="96">
        <f>SUM(K8:K32)</f>
        <v>-18562738.249999996</v>
      </c>
      <c r="L33" s="96"/>
      <c r="M33" s="98" t="s">
        <v>73</v>
      </c>
      <c r="N33" s="117">
        <f>SUM(N8:N32)</f>
        <v>-4155149.324971246</v>
      </c>
    </row>
    <row r="34" spans="3:14" ht="14.25">
      <c r="C34" s="107"/>
      <c r="D34" s="107"/>
      <c r="E34" s="99"/>
      <c r="F34" s="99"/>
      <c r="G34" s="108"/>
      <c r="H34" s="96"/>
      <c r="I34" s="96"/>
      <c r="J34" s="96"/>
      <c r="K34" s="96"/>
      <c r="L34" s="96"/>
      <c r="N34" s="117"/>
    </row>
    <row r="35" spans="3:14" ht="14.25">
      <c r="C35" s="107"/>
      <c r="D35" s="107"/>
      <c r="E35" s="99"/>
      <c r="F35" s="99"/>
      <c r="G35" s="108"/>
      <c r="H35" s="96"/>
      <c r="I35" s="96"/>
      <c r="J35" s="96"/>
      <c r="K35" s="96"/>
      <c r="L35" s="96"/>
      <c r="N35" s="117"/>
    </row>
    <row r="36" spans="1:14" ht="14.25">
      <c r="A36" s="98" t="s">
        <v>77</v>
      </c>
      <c r="N36" s="108"/>
    </row>
  </sheetData>
  <sheetProtection/>
  <mergeCells count="1">
    <mergeCell ref="E5:I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33"/>
  <sheetViews>
    <sheetView zoomScalePageLayoutView="0" workbookViewId="0" topLeftCell="A1">
      <selection activeCell="P33" sqref="P33"/>
    </sheetView>
  </sheetViews>
  <sheetFormatPr defaultColWidth="9.140625" defaultRowHeight="15"/>
  <cols>
    <col min="2" max="2" width="2.7109375" style="0" bestFit="1" customWidth="1"/>
    <col min="5" max="5" width="14.7109375" style="0" bestFit="1" customWidth="1"/>
    <col min="6" max="6" width="2.7109375" style="0" customWidth="1"/>
    <col min="8" max="8" width="3.7109375" style="0" customWidth="1"/>
    <col min="10" max="10" width="2.7109375" style="0" customWidth="1"/>
    <col min="12" max="12" width="3.28125" style="0" customWidth="1"/>
    <col min="14" max="14" width="1.57421875" style="0" customWidth="1"/>
    <col min="15" max="15" width="13.7109375" style="0" bestFit="1" customWidth="1"/>
  </cols>
  <sheetData>
    <row r="1" spans="6:11" ht="14.25">
      <c r="F1" t="s">
        <v>6</v>
      </c>
      <c r="K1" t="s">
        <v>7</v>
      </c>
    </row>
    <row r="2" spans="6:11" ht="14.25">
      <c r="F2" t="s">
        <v>8</v>
      </c>
      <c r="K2" t="s">
        <v>9</v>
      </c>
    </row>
    <row r="3" spans="6:11" ht="14.25">
      <c r="F3" t="s">
        <v>10</v>
      </c>
      <c r="K3" t="s">
        <v>11</v>
      </c>
    </row>
    <row r="5" spans="5:11" ht="14.25">
      <c r="E5" s="120" t="s">
        <v>12</v>
      </c>
      <c r="I5" s="120" t="s">
        <v>13</v>
      </c>
      <c r="K5" s="120" t="s">
        <v>14</v>
      </c>
    </row>
    <row r="6" spans="5:11" ht="14.25">
      <c r="E6" s="120" t="s">
        <v>15</v>
      </c>
      <c r="G6" s="120" t="s">
        <v>16</v>
      </c>
      <c r="I6" s="120" t="s">
        <v>17</v>
      </c>
      <c r="K6" s="120" t="s">
        <v>18</v>
      </c>
    </row>
    <row r="7" spans="1:15" ht="14.25">
      <c r="A7" t="s">
        <v>19</v>
      </c>
      <c r="E7" s="120" t="s">
        <v>20</v>
      </c>
      <c r="G7" s="120" t="s">
        <v>21</v>
      </c>
      <c r="I7" s="120" t="s">
        <v>16</v>
      </c>
      <c r="K7" s="120" t="s">
        <v>17</v>
      </c>
      <c r="M7" s="120" t="s">
        <v>5</v>
      </c>
      <c r="O7" s="120" t="s">
        <v>62</v>
      </c>
    </row>
    <row r="8" spans="1:15" ht="14.25">
      <c r="A8" t="s">
        <v>22</v>
      </c>
      <c r="C8" t="s">
        <v>23</v>
      </c>
      <c r="E8" s="120" t="s">
        <v>24</v>
      </c>
      <c r="G8" s="120" t="s">
        <v>4</v>
      </c>
      <c r="I8" s="120" t="s">
        <v>25</v>
      </c>
      <c r="K8" s="120" t="s">
        <v>26</v>
      </c>
      <c r="M8" s="120" t="s">
        <v>70</v>
      </c>
      <c r="O8" s="120" t="s">
        <v>135</v>
      </c>
    </row>
    <row r="9" spans="1:19" ht="14.25">
      <c r="A9" s="5">
        <v>-1</v>
      </c>
      <c r="B9" s="5"/>
      <c r="C9" s="5">
        <v>-2</v>
      </c>
      <c r="D9" s="5"/>
      <c r="E9" s="5">
        <v>-3</v>
      </c>
      <c r="F9" s="5"/>
      <c r="G9" s="5">
        <v>-4</v>
      </c>
      <c r="H9" s="5"/>
      <c r="I9" s="5">
        <v>-5</v>
      </c>
      <c r="J9" s="5"/>
      <c r="K9" s="4" t="s">
        <v>27</v>
      </c>
      <c r="L9" s="5"/>
      <c r="M9" s="5"/>
      <c r="N9" s="5"/>
      <c r="O9" s="5"/>
      <c r="P9" s="5"/>
      <c r="Q9" s="5"/>
      <c r="R9" s="5"/>
      <c r="S9" s="5"/>
    </row>
    <row r="10" spans="1:19" ht="14.25">
      <c r="A10" s="5"/>
      <c r="B10" s="5"/>
      <c r="C10" s="5"/>
      <c r="D10" s="5"/>
      <c r="E10" s="5"/>
      <c r="F10" s="5"/>
      <c r="G10" s="5"/>
      <c r="H10" s="5"/>
      <c r="I10" s="5"/>
      <c r="J10" s="5"/>
      <c r="K10" s="5"/>
      <c r="L10" s="5"/>
      <c r="M10" s="5"/>
      <c r="N10" s="5"/>
      <c r="O10" s="5"/>
      <c r="P10" s="5"/>
      <c r="Q10" s="5"/>
      <c r="R10" s="5"/>
      <c r="S10" s="5"/>
    </row>
    <row r="11" spans="1:19" ht="14.25">
      <c r="A11">
        <v>1</v>
      </c>
      <c r="C11" t="s">
        <v>28</v>
      </c>
      <c r="E11" s="18">
        <v>585086099</v>
      </c>
      <c r="F11" s="6"/>
      <c r="G11" s="2">
        <f>ROUND(E11/$E$19,5)</f>
        <v>0.51513</v>
      </c>
      <c r="H11" s="6"/>
      <c r="I11" s="2">
        <v>0.0541</v>
      </c>
      <c r="J11" s="4" t="s">
        <v>29</v>
      </c>
      <c r="K11" s="9">
        <f>ROUND(G11*I11,4)</f>
        <v>0.0279</v>
      </c>
      <c r="L11" s="6"/>
      <c r="M11" s="10">
        <f>'Gross-up'!$G$26</f>
        <v>1.004977</v>
      </c>
      <c r="N11" s="6"/>
      <c r="O11" s="9">
        <f>ROUND((K11*M11),6)</f>
        <v>0.028039</v>
      </c>
      <c r="P11" s="6"/>
      <c r="Q11" s="6"/>
      <c r="R11" s="6"/>
      <c r="S11" s="6"/>
    </row>
    <row r="12" spans="5:19" ht="14.25">
      <c r="E12" s="18"/>
      <c r="F12" s="6"/>
      <c r="G12" s="2"/>
      <c r="H12" s="6"/>
      <c r="I12" s="6"/>
      <c r="J12" s="4"/>
      <c r="K12" s="2"/>
      <c r="L12" s="6"/>
      <c r="M12" s="6"/>
      <c r="N12" s="6"/>
      <c r="O12" s="2"/>
      <c r="P12" s="6"/>
      <c r="Q12" s="6"/>
      <c r="R12" s="6"/>
      <c r="S12" s="6"/>
    </row>
    <row r="13" spans="1:19" ht="14.25">
      <c r="A13">
        <v>2</v>
      </c>
      <c r="C13" t="s">
        <v>30</v>
      </c>
      <c r="E13" s="19">
        <v>0</v>
      </c>
      <c r="F13" s="7"/>
      <c r="G13" s="2">
        <f>ROUND(E13/$E$19,5)</f>
        <v>0</v>
      </c>
      <c r="H13" s="7"/>
      <c r="I13" s="2">
        <v>0.0025</v>
      </c>
      <c r="J13" s="4" t="s">
        <v>31</v>
      </c>
      <c r="K13" s="9">
        <f>ROUND(G13*I13,4)</f>
        <v>0</v>
      </c>
      <c r="L13" s="7"/>
      <c r="M13" s="10">
        <f>'Gross-up'!$G$26</f>
        <v>1.004977</v>
      </c>
      <c r="N13" s="7"/>
      <c r="O13" s="9">
        <f>ROUND((K13*M13),6)</f>
        <v>0</v>
      </c>
      <c r="P13" s="7"/>
      <c r="Q13" s="7"/>
      <c r="R13" s="7"/>
      <c r="S13" s="7"/>
    </row>
    <row r="14" spans="5:19" ht="14.25">
      <c r="E14" s="19"/>
      <c r="F14" s="7"/>
      <c r="G14" s="2"/>
      <c r="H14" s="7"/>
      <c r="I14" s="7"/>
      <c r="J14" s="4"/>
      <c r="K14" s="2"/>
      <c r="L14" s="7"/>
      <c r="M14" s="7"/>
      <c r="N14" s="7"/>
      <c r="O14" s="2"/>
      <c r="P14" s="7"/>
      <c r="Q14" s="7"/>
      <c r="R14" s="7"/>
      <c r="S14" s="7"/>
    </row>
    <row r="15" spans="1:19" ht="14.25">
      <c r="A15">
        <v>3</v>
      </c>
      <c r="C15" t="s">
        <v>32</v>
      </c>
      <c r="E15" s="19">
        <v>51835808</v>
      </c>
      <c r="F15" s="7"/>
      <c r="G15" s="2">
        <f>ROUND(E15/$E$19,5)</f>
        <v>0.04564</v>
      </c>
      <c r="H15" s="7"/>
      <c r="I15" s="2">
        <v>0.0107</v>
      </c>
      <c r="J15" s="4" t="s">
        <v>33</v>
      </c>
      <c r="K15" s="9">
        <f>ROUND(G15*I15,4)</f>
        <v>0.0005</v>
      </c>
      <c r="L15" s="7"/>
      <c r="M15" s="10">
        <f>'Gross-up'!$G$26</f>
        <v>1.004977</v>
      </c>
      <c r="N15" s="7"/>
      <c r="O15" s="9">
        <f>ROUND((K15*M15),6)</f>
        <v>0.000502</v>
      </c>
      <c r="P15" s="7"/>
      <c r="Q15" s="7"/>
      <c r="R15" s="7"/>
      <c r="S15" s="7"/>
    </row>
    <row r="16" spans="5:19" ht="14.25">
      <c r="E16" s="19"/>
      <c r="F16" s="7"/>
      <c r="G16" s="2"/>
      <c r="H16" s="7"/>
      <c r="I16" s="7"/>
      <c r="J16" s="4"/>
      <c r="K16" s="2"/>
      <c r="L16" s="7"/>
      <c r="M16" s="7"/>
      <c r="N16" s="7"/>
      <c r="O16" s="2"/>
      <c r="P16" s="7"/>
      <c r="Q16" s="7"/>
      <c r="R16" s="7"/>
      <c r="S16" s="7"/>
    </row>
    <row r="17" spans="1:19" ht="14.25">
      <c r="A17">
        <v>4</v>
      </c>
      <c r="C17" t="s">
        <v>34</v>
      </c>
      <c r="E17" s="19">
        <v>498888221</v>
      </c>
      <c r="F17" s="7"/>
      <c r="G17" s="2">
        <f>ROUND(E17/$E$19,5)</f>
        <v>0.43924</v>
      </c>
      <c r="H17" s="7"/>
      <c r="I17" s="2">
        <v>0.1025</v>
      </c>
      <c r="J17" s="4" t="s">
        <v>35</v>
      </c>
      <c r="K17" s="9">
        <f>ROUND(G17*I17,4)</f>
        <v>0.045</v>
      </c>
      <c r="L17" s="7"/>
      <c r="M17" s="10">
        <f>'Gross-up'!G24</f>
        <v>1.616424</v>
      </c>
      <c r="N17" s="7"/>
      <c r="O17" s="9">
        <f>ROUND((K17*M17),6)</f>
        <v>0.072739</v>
      </c>
      <c r="P17" s="7"/>
      <c r="Q17" s="7"/>
      <c r="R17" s="7"/>
      <c r="S17" s="7"/>
    </row>
    <row r="18" spans="5:19" ht="14.25">
      <c r="E18" s="4" t="s">
        <v>36</v>
      </c>
      <c r="F18" s="6"/>
      <c r="G18" s="4" t="s">
        <v>36</v>
      </c>
      <c r="H18" s="6"/>
      <c r="I18" s="4"/>
      <c r="J18" s="4"/>
      <c r="K18" s="4" t="s">
        <v>36</v>
      </c>
      <c r="L18" s="6"/>
      <c r="M18" s="4"/>
      <c r="N18" s="6"/>
      <c r="O18" s="4" t="s">
        <v>36</v>
      </c>
      <c r="P18" s="6"/>
      <c r="Q18" s="4"/>
      <c r="R18" s="6"/>
      <c r="S18" s="4"/>
    </row>
    <row r="19" spans="1:19" ht="14.25">
      <c r="A19">
        <v>5</v>
      </c>
      <c r="C19" t="s">
        <v>4</v>
      </c>
      <c r="E19" s="6">
        <f>SUM(E11:E17)</f>
        <v>1135810128</v>
      </c>
      <c r="F19" s="7"/>
      <c r="G19" s="2">
        <f>SUM(G11:G17)</f>
        <v>1.00001</v>
      </c>
      <c r="H19" s="7"/>
      <c r="I19" s="7"/>
      <c r="J19" s="4"/>
      <c r="K19" s="15">
        <f>SUM(K11:K17)</f>
        <v>0.07339999999999999</v>
      </c>
      <c r="L19" s="7"/>
      <c r="M19" s="7"/>
      <c r="N19" s="7"/>
      <c r="O19" s="9">
        <f>SUM(O11:O17)</f>
        <v>0.10128</v>
      </c>
      <c r="P19" s="7" t="s">
        <v>2</v>
      </c>
      <c r="Q19" s="7"/>
      <c r="R19" s="7"/>
      <c r="S19" s="7"/>
    </row>
    <row r="20" spans="5:19" ht="14.25">
      <c r="E20" s="4" t="s">
        <v>37</v>
      </c>
      <c r="F20" s="7"/>
      <c r="G20" s="4" t="s">
        <v>37</v>
      </c>
      <c r="H20" s="7"/>
      <c r="I20" s="7"/>
      <c r="J20" s="4"/>
      <c r="K20" s="4" t="s">
        <v>37</v>
      </c>
      <c r="L20" s="7"/>
      <c r="M20" s="7"/>
      <c r="N20" s="7"/>
      <c r="O20" s="4" t="s">
        <v>37</v>
      </c>
      <c r="P20" s="7"/>
      <c r="Q20" s="7"/>
      <c r="R20" s="7"/>
      <c r="S20" s="7"/>
    </row>
    <row r="21" spans="5:19" ht="14.25">
      <c r="E21" s="7"/>
      <c r="F21" s="7"/>
      <c r="G21" s="2"/>
      <c r="H21" s="7"/>
      <c r="I21" s="7"/>
      <c r="J21" s="7"/>
      <c r="K21" s="7"/>
      <c r="L21" s="7"/>
      <c r="M21" s="7"/>
      <c r="N21" s="7"/>
      <c r="O21" s="7"/>
      <c r="P21" s="7"/>
      <c r="Q21" s="7"/>
      <c r="R21" s="7"/>
      <c r="S21" s="7"/>
    </row>
    <row r="22" spans="5:19" ht="14.25">
      <c r="E22" s="4"/>
      <c r="F22" s="6"/>
      <c r="G22" s="2"/>
      <c r="H22" s="6"/>
      <c r="I22" s="4"/>
      <c r="J22" s="6"/>
      <c r="K22" s="4"/>
      <c r="L22" s="6"/>
      <c r="M22" s="4"/>
      <c r="N22" s="6"/>
      <c r="O22" s="4"/>
      <c r="P22" s="6"/>
      <c r="Q22" s="4"/>
      <c r="R22" s="6"/>
      <c r="S22" s="4"/>
    </row>
    <row r="23" spans="2:19" ht="14.25">
      <c r="B23" s="4" t="s">
        <v>38</v>
      </c>
      <c r="C23" t="s">
        <v>39</v>
      </c>
      <c r="E23" s="6"/>
      <c r="F23" s="6"/>
      <c r="G23" s="6"/>
      <c r="H23" s="6"/>
      <c r="I23" s="6"/>
      <c r="J23" s="6"/>
      <c r="K23" s="6"/>
      <c r="L23" s="6"/>
      <c r="M23" s="6"/>
      <c r="N23" s="6"/>
      <c r="O23" s="6"/>
      <c r="P23" s="6"/>
      <c r="Q23" s="6"/>
      <c r="R23" s="6"/>
      <c r="S23" s="6"/>
    </row>
    <row r="24" spans="2:19" ht="14.25">
      <c r="B24" s="4" t="s">
        <v>29</v>
      </c>
      <c r="C24" t="s">
        <v>40</v>
      </c>
      <c r="E24" s="4"/>
      <c r="G24" s="4"/>
      <c r="I24" s="4"/>
      <c r="K24" s="4"/>
      <c r="M24" s="4"/>
      <c r="O24" s="4"/>
      <c r="Q24" s="4"/>
      <c r="S24" s="4"/>
    </row>
    <row r="25" spans="2:19" ht="14.25">
      <c r="B25" s="4" t="s">
        <v>31</v>
      </c>
      <c r="C25" t="s">
        <v>41</v>
      </c>
      <c r="E25" s="4"/>
      <c r="G25" s="4"/>
      <c r="I25" s="4"/>
      <c r="K25" s="4"/>
      <c r="M25" s="4"/>
      <c r="O25" s="4"/>
      <c r="Q25" s="4"/>
      <c r="S25" s="4"/>
    </row>
    <row r="26" spans="2:5" ht="14.25">
      <c r="B26" s="4" t="s">
        <v>42</v>
      </c>
      <c r="C26" t="s">
        <v>43</v>
      </c>
      <c r="E26" s="8"/>
    </row>
    <row r="27" spans="2:3" ht="14.25">
      <c r="B27" s="4" t="s">
        <v>33</v>
      </c>
      <c r="C27" t="s">
        <v>44</v>
      </c>
    </row>
    <row r="28" spans="2:3" ht="14.25">
      <c r="B28" s="4" t="s">
        <v>35</v>
      </c>
      <c r="C28" t="s">
        <v>132</v>
      </c>
    </row>
    <row r="29" spans="1:11" ht="24.75" customHeight="1">
      <c r="A29" s="7" t="s">
        <v>2</v>
      </c>
      <c r="B29" s="4" t="s">
        <v>134</v>
      </c>
      <c r="C29" s="130" t="s">
        <v>133</v>
      </c>
      <c r="D29" s="130"/>
      <c r="E29" s="130"/>
      <c r="F29" s="130"/>
      <c r="G29" s="130"/>
      <c r="H29" s="130"/>
      <c r="I29" s="130"/>
      <c r="J29" s="130"/>
      <c r="K29" s="130"/>
    </row>
    <row r="30" spans="2:11" ht="14.25">
      <c r="B30" s="4"/>
      <c r="C30" s="130"/>
      <c r="D30" s="130"/>
      <c r="E30" s="130"/>
      <c r="F30" s="130"/>
      <c r="G30" s="130"/>
      <c r="H30" s="130"/>
      <c r="I30" s="130"/>
      <c r="J30" s="130"/>
      <c r="K30" s="130"/>
    </row>
    <row r="31" spans="2:11" ht="14.25">
      <c r="B31" s="4"/>
      <c r="C31" s="130"/>
      <c r="D31" s="130"/>
      <c r="E31" s="130"/>
      <c r="F31" s="130"/>
      <c r="G31" s="130"/>
      <c r="H31" s="130"/>
      <c r="I31" s="130"/>
      <c r="J31" s="130"/>
      <c r="K31" s="130"/>
    </row>
    <row r="32" ht="14.25">
      <c r="B32" s="4"/>
    </row>
    <row r="33" ht="14.25">
      <c r="B33" s="4"/>
    </row>
  </sheetData>
  <sheetProtection/>
  <mergeCells count="1">
    <mergeCell ref="C29:K31"/>
  </mergeCells>
  <printOptions/>
  <pageMargins left="0.45" right="0.45" top="0.5" bottom="0.5" header="0.3" footer="0.3"/>
  <pageSetup firstPageNumber="12" useFirstPageNumber="1" horizontalDpi="600" verticalDpi="600" orientation="portrait" scale="85" r:id="rId1"/>
  <headerFooter>
    <oddHeader>&amp;RUpdated KIUC_1_17_Attachment71_Retirement_Cost_Calculation
Page  &amp;P of 18</oddHeader>
  </headerFooter>
</worksheet>
</file>

<file path=xl/worksheets/sheet7.xml><?xml version="1.0" encoding="utf-8"?>
<worksheet xmlns="http://schemas.openxmlformats.org/spreadsheetml/2006/main" xmlns:r="http://schemas.openxmlformats.org/officeDocument/2006/relationships">
  <dimension ref="A1:L66"/>
  <sheetViews>
    <sheetView zoomScalePageLayoutView="0" workbookViewId="0" topLeftCell="A1">
      <selection activeCell="G18" sqref="G18"/>
    </sheetView>
  </sheetViews>
  <sheetFormatPr defaultColWidth="9.140625" defaultRowHeight="15"/>
  <cols>
    <col min="6" max="6" width="14.28125" style="0" customWidth="1"/>
    <col min="7" max="7" width="12.00390625" style="0" bestFit="1" customWidth="1"/>
    <col min="9" max="9" width="10.28125" style="0" bestFit="1" customWidth="1"/>
    <col min="10" max="11" width="12.57421875" style="0" bestFit="1" customWidth="1"/>
    <col min="12" max="12" width="15.7109375" style="0" bestFit="1" customWidth="1"/>
  </cols>
  <sheetData>
    <row r="1" spans="3:7" ht="14.25">
      <c r="C1" s="4" t="s">
        <v>0</v>
      </c>
      <c r="D1" s="4"/>
      <c r="E1" s="4"/>
      <c r="F1" s="4"/>
      <c r="G1" t="s">
        <v>7</v>
      </c>
    </row>
    <row r="2" spans="3:7" ht="14.25">
      <c r="C2" s="4" t="s">
        <v>45</v>
      </c>
      <c r="D2" s="4"/>
      <c r="E2" s="4"/>
      <c r="F2" s="4"/>
      <c r="G2" t="s">
        <v>9</v>
      </c>
    </row>
    <row r="3" spans="3:7" ht="14.25">
      <c r="C3" s="4" t="s">
        <v>46</v>
      </c>
      <c r="D3" s="4"/>
      <c r="E3" s="4"/>
      <c r="F3" s="4"/>
      <c r="G3" t="s">
        <v>47</v>
      </c>
    </row>
    <row r="4" spans="3:6" ht="14.25">
      <c r="C4" s="4" t="s">
        <v>48</v>
      </c>
      <c r="D4" s="4"/>
      <c r="E4" s="4"/>
      <c r="F4" s="4"/>
    </row>
    <row r="5" ht="14.25">
      <c r="D5" s="4"/>
    </row>
    <row r="6" spans="1:7" ht="14.25">
      <c r="A6" s="4" t="s">
        <v>49</v>
      </c>
      <c r="C6" t="s">
        <v>23</v>
      </c>
      <c r="D6" s="4"/>
      <c r="E6" s="4"/>
      <c r="F6" s="4"/>
      <c r="G6" s="4" t="s">
        <v>69</v>
      </c>
    </row>
    <row r="7" spans="1:7" ht="14.25">
      <c r="A7" s="7">
        <v>-1</v>
      </c>
      <c r="C7" s="7">
        <v>-2</v>
      </c>
      <c r="D7" s="4"/>
      <c r="E7" s="7"/>
      <c r="F7" s="7"/>
      <c r="G7" s="7">
        <v>-3</v>
      </c>
    </row>
    <row r="8" spans="1:4" ht="14.25">
      <c r="A8" s="7"/>
      <c r="D8" s="4"/>
    </row>
    <row r="9" spans="1:7" ht="14.25">
      <c r="A9" s="7">
        <v>1</v>
      </c>
      <c r="C9" t="s">
        <v>50</v>
      </c>
      <c r="D9" s="4"/>
      <c r="E9" s="6"/>
      <c r="F9" s="6"/>
      <c r="G9" s="2">
        <v>1</v>
      </c>
    </row>
    <row r="10" spans="1:11" ht="14.25">
      <c r="A10" s="7"/>
      <c r="D10" s="4"/>
      <c r="E10" s="6"/>
      <c r="F10" s="6"/>
      <c r="G10" s="2"/>
      <c r="K10" s="21"/>
    </row>
    <row r="11" spans="1:10" ht="14.25">
      <c r="A11" s="7">
        <v>2</v>
      </c>
      <c r="C11" t="s">
        <v>51</v>
      </c>
      <c r="D11" s="4"/>
      <c r="E11" s="6"/>
      <c r="F11" s="6"/>
      <c r="G11" s="12">
        <v>0.003</v>
      </c>
      <c r="J11" s="3"/>
    </row>
    <row r="12" spans="1:12" ht="14.25">
      <c r="A12" s="7">
        <v>3</v>
      </c>
      <c r="C12" t="s">
        <v>52</v>
      </c>
      <c r="D12" s="4"/>
      <c r="E12" s="6"/>
      <c r="F12" s="6"/>
      <c r="G12" s="12">
        <v>0.001952</v>
      </c>
      <c r="J12" s="12"/>
      <c r="L12" s="22"/>
    </row>
    <row r="13" spans="1:12" ht="14.25">
      <c r="A13" s="7"/>
      <c r="D13" s="4"/>
      <c r="E13" s="6"/>
      <c r="F13" s="6"/>
      <c r="G13" s="2" t="s">
        <v>53</v>
      </c>
      <c r="J13" s="21"/>
      <c r="L13" s="22"/>
    </row>
    <row r="14" spans="1:10" ht="14.25">
      <c r="A14" s="7">
        <v>4</v>
      </c>
      <c r="C14" t="s">
        <v>54</v>
      </c>
      <c r="D14" s="4"/>
      <c r="E14" s="6"/>
      <c r="F14" s="6"/>
      <c r="G14" s="12">
        <f>G9-G11-G12</f>
        <v>0.995048</v>
      </c>
      <c r="I14" s="13"/>
      <c r="J14" s="3"/>
    </row>
    <row r="15" spans="1:7" ht="14.25">
      <c r="A15" s="7"/>
      <c r="D15" s="4"/>
      <c r="E15" s="4"/>
      <c r="F15" s="4"/>
      <c r="G15" s="2"/>
    </row>
    <row r="16" spans="1:9" ht="14.25">
      <c r="A16" s="7">
        <v>5</v>
      </c>
      <c r="C16" t="s">
        <v>55</v>
      </c>
      <c r="D16" s="4"/>
      <c r="E16" s="9">
        <v>0.057347999999999996</v>
      </c>
      <c r="F16" s="9"/>
      <c r="G16" s="13">
        <f>ROUND(G14*E16,6)</f>
        <v>0.057064</v>
      </c>
      <c r="I16" s="2"/>
    </row>
    <row r="17" spans="1:7" ht="14.25">
      <c r="A17" s="7"/>
      <c r="D17" s="4"/>
      <c r="E17" s="4"/>
      <c r="F17" s="4"/>
      <c r="G17" s="2" t="s">
        <v>53</v>
      </c>
    </row>
    <row r="18" spans="1:9" ht="14.25">
      <c r="A18" s="7">
        <v>6</v>
      </c>
      <c r="C18" t="s">
        <v>56</v>
      </c>
      <c r="D18" s="4"/>
      <c r="E18" s="6"/>
      <c r="F18" s="6"/>
      <c r="G18" s="9">
        <f>G14-G16</f>
        <v>0.937984</v>
      </c>
      <c r="H18" s="2">
        <f>-5.12%/2</f>
        <v>-0.0256</v>
      </c>
      <c r="I18" s="9">
        <f>G18+H18</f>
        <v>0.9123840000000001</v>
      </c>
    </row>
    <row r="19" spans="1:7" ht="14.25">
      <c r="A19" s="7"/>
      <c r="D19" s="4"/>
      <c r="E19" s="4"/>
      <c r="F19" s="4"/>
      <c r="G19" s="2"/>
    </row>
    <row r="20" spans="1:7" ht="14.25">
      <c r="A20" s="7">
        <v>7</v>
      </c>
      <c r="C20" t="s">
        <v>57</v>
      </c>
      <c r="D20" s="4"/>
      <c r="E20" s="2">
        <v>0.35</v>
      </c>
      <c r="F20" s="2"/>
      <c r="G20" s="12">
        <f>ROUND(I18*E20,8)</f>
        <v>0.3193344</v>
      </c>
    </row>
    <row r="21" spans="1:7" ht="14.25">
      <c r="A21" s="7"/>
      <c r="D21" s="4"/>
      <c r="E21" s="6"/>
      <c r="F21" s="6"/>
      <c r="G21" s="2"/>
    </row>
    <row r="22" spans="1:9" ht="14.25">
      <c r="A22" s="7">
        <v>8</v>
      </c>
      <c r="C22" t="s">
        <v>58</v>
      </c>
      <c r="D22" s="4"/>
      <c r="E22" s="6"/>
      <c r="F22" s="6"/>
      <c r="G22" s="13">
        <f>G18-G20</f>
        <v>0.6186496</v>
      </c>
      <c r="I22" s="12"/>
    </row>
    <row r="23" spans="1:7" ht="14.25">
      <c r="A23" s="7"/>
      <c r="D23" s="4"/>
      <c r="E23" s="6"/>
      <c r="F23" s="6"/>
      <c r="G23" s="2" t="s">
        <v>53</v>
      </c>
    </row>
    <row r="24" spans="1:7" ht="14.25">
      <c r="A24" s="7">
        <v>9</v>
      </c>
      <c r="C24" t="s">
        <v>59</v>
      </c>
      <c r="D24" s="4"/>
      <c r="E24" s="6"/>
      <c r="F24" s="6"/>
      <c r="G24" s="14">
        <f>ROUND(100/G22/100,6)</f>
        <v>1.616424</v>
      </c>
    </row>
    <row r="25" spans="1:7" ht="14.25">
      <c r="A25" s="7"/>
      <c r="D25" s="4"/>
      <c r="E25" s="6"/>
      <c r="F25" s="6"/>
      <c r="G25" s="2" t="s">
        <v>60</v>
      </c>
    </row>
    <row r="26" spans="1:7" ht="14.25">
      <c r="A26" s="7">
        <v>10</v>
      </c>
      <c r="C26" t="s">
        <v>61</v>
      </c>
      <c r="D26" s="4"/>
      <c r="E26" s="6"/>
      <c r="F26" s="6"/>
      <c r="G26" s="10">
        <f>ROUND(100/G14/100,6)</f>
        <v>1.004977</v>
      </c>
    </row>
    <row r="27" spans="1:7" ht="14.25">
      <c r="A27" s="7"/>
      <c r="D27" s="4"/>
      <c r="E27" s="6"/>
      <c r="F27" s="6"/>
      <c r="G27" s="2" t="s">
        <v>60</v>
      </c>
    </row>
    <row r="28" spans="1:6" ht="14.25">
      <c r="A28" s="7" t="s">
        <v>90</v>
      </c>
      <c r="D28" s="4"/>
      <c r="E28" s="6"/>
      <c r="F28" s="6"/>
    </row>
    <row r="29" spans="1:6" ht="14.25">
      <c r="A29" s="7"/>
      <c r="D29" s="4"/>
      <c r="E29" s="6"/>
      <c r="F29" s="6"/>
    </row>
    <row r="30" spans="1:6" ht="14.25">
      <c r="A30" s="7"/>
      <c r="D30" s="4"/>
      <c r="E30" s="6"/>
      <c r="F30" s="6"/>
    </row>
    <row r="31" spans="1:4" ht="14.25">
      <c r="A31" s="7"/>
      <c r="D31" s="4"/>
    </row>
    <row r="32" spans="1:5" ht="14.25">
      <c r="A32" s="7"/>
      <c r="D32" s="4"/>
      <c r="E32" s="2"/>
    </row>
    <row r="33" spans="1:5" ht="14.25">
      <c r="A33" s="7"/>
      <c r="D33" s="4"/>
      <c r="E33" s="9"/>
    </row>
    <row r="34" spans="1:5" ht="14.25">
      <c r="A34" s="7"/>
      <c r="D34" s="4"/>
      <c r="E34" s="4"/>
    </row>
    <row r="35" spans="1:7" ht="14.25">
      <c r="A35" s="7"/>
      <c r="D35" s="4"/>
      <c r="E35" s="2"/>
      <c r="G35" s="9"/>
    </row>
    <row r="36" spans="1:5" ht="14.25">
      <c r="A36" s="7"/>
      <c r="D36" s="4"/>
      <c r="E36" s="2"/>
    </row>
    <row r="37" spans="1:5" ht="14.25">
      <c r="A37" s="7"/>
      <c r="D37" s="4"/>
      <c r="E37" s="2"/>
    </row>
    <row r="38" spans="1:5" ht="14.25">
      <c r="A38" s="7"/>
      <c r="D38" s="4"/>
      <c r="E38" s="9"/>
    </row>
    <row r="39" spans="1:5" ht="14.25">
      <c r="A39" s="7"/>
      <c r="D39" s="4"/>
      <c r="E39" s="4"/>
    </row>
    <row r="40" spans="1:7" ht="14.25">
      <c r="A40" s="7"/>
      <c r="D40" s="4"/>
      <c r="G40" s="9"/>
    </row>
    <row r="41" spans="1:4" ht="14.25">
      <c r="A41" s="7"/>
      <c r="D41" s="4"/>
    </row>
    <row r="42" spans="1:7" ht="14.25">
      <c r="A42" s="7"/>
      <c r="D42" s="4"/>
      <c r="E42" s="2"/>
      <c r="F42" s="2"/>
      <c r="G42" s="2"/>
    </row>
    <row r="43" spans="1:7" ht="14.25">
      <c r="A43" s="7"/>
      <c r="D43" s="4"/>
      <c r="E43" s="9"/>
      <c r="F43" s="2"/>
      <c r="G43" s="2"/>
    </row>
    <row r="44" spans="1:7" ht="14.25">
      <c r="A44" s="7"/>
      <c r="D44" s="4"/>
      <c r="E44" s="4"/>
      <c r="F44" s="4"/>
      <c r="G44" s="2"/>
    </row>
    <row r="45" spans="1:7" ht="14.25">
      <c r="A45" s="7"/>
      <c r="D45" s="4"/>
      <c r="E45" s="2"/>
      <c r="F45" s="2"/>
      <c r="G45" s="9"/>
    </row>
    <row r="46" spans="1:7" ht="14.25">
      <c r="A46" s="7"/>
      <c r="D46" s="4"/>
      <c r="E46" s="2"/>
      <c r="F46" s="2"/>
      <c r="G46" s="9"/>
    </row>
    <row r="47" spans="1:7" ht="14.25">
      <c r="A47" s="7"/>
      <c r="D47" s="4"/>
      <c r="E47" s="2"/>
      <c r="F47" s="2"/>
      <c r="G47" s="9"/>
    </row>
    <row r="48" spans="1:7" ht="14.25">
      <c r="A48" s="7"/>
      <c r="D48" s="4"/>
      <c r="E48" s="9"/>
      <c r="F48" s="9"/>
      <c r="G48" s="9"/>
    </row>
    <row r="49" spans="1:7" ht="14.25">
      <c r="A49" s="7"/>
      <c r="D49" s="4"/>
      <c r="E49" s="4"/>
      <c r="F49" s="4"/>
      <c r="G49" s="9"/>
    </row>
    <row r="50" spans="1:7" ht="14.25">
      <c r="A50" s="7"/>
      <c r="D50" s="4"/>
      <c r="E50" s="2"/>
      <c r="F50" s="2"/>
      <c r="G50" s="9"/>
    </row>
    <row r="51" spans="4:7" ht="14.25">
      <c r="D51" s="4"/>
      <c r="E51" s="2"/>
      <c r="F51" s="2"/>
      <c r="G51" s="9"/>
    </row>
    <row r="52" spans="4:7" ht="14.25">
      <c r="D52" s="4"/>
      <c r="E52" s="2"/>
      <c r="F52" s="2"/>
      <c r="G52" s="9"/>
    </row>
    <row r="53" spans="4:7" ht="14.25">
      <c r="D53" s="4"/>
      <c r="E53" s="2"/>
      <c r="F53" s="2"/>
      <c r="G53" s="4"/>
    </row>
    <row r="54" spans="4:7" ht="14.25">
      <c r="D54" s="4"/>
      <c r="E54" s="2"/>
      <c r="F54" s="2"/>
      <c r="G54" s="2"/>
    </row>
    <row r="55" spans="4:7" ht="14.25">
      <c r="D55" s="4"/>
      <c r="E55" s="2"/>
      <c r="F55" s="2"/>
      <c r="G55" s="2"/>
    </row>
    <row r="56" spans="4:7" ht="14.25">
      <c r="D56" s="4"/>
      <c r="E56" s="2"/>
      <c r="F56" s="2"/>
      <c r="G56" s="2"/>
    </row>
    <row r="57" spans="4:7" ht="14.25">
      <c r="D57" s="4"/>
      <c r="E57" s="2"/>
      <c r="F57" s="2"/>
      <c r="G57" s="2"/>
    </row>
    <row r="58" spans="4:7" ht="14.25">
      <c r="D58" s="4"/>
      <c r="E58" s="2"/>
      <c r="F58" s="2"/>
      <c r="G58" s="2"/>
    </row>
    <row r="59" spans="4:7" ht="14.25">
      <c r="D59" s="4"/>
      <c r="E59" s="2"/>
      <c r="F59" s="2"/>
      <c r="G59" s="2"/>
    </row>
    <row r="60" spans="4:7" ht="14.25">
      <c r="D60" s="4"/>
      <c r="E60" s="2"/>
      <c r="F60" s="2"/>
      <c r="G60" s="2"/>
    </row>
    <row r="61" spans="4:7" ht="14.25">
      <c r="D61" s="4"/>
      <c r="E61" s="2"/>
      <c r="F61" s="2"/>
      <c r="G61" s="2"/>
    </row>
    <row r="62" spans="4:7" ht="14.25">
      <c r="D62" s="4"/>
      <c r="E62" s="2"/>
      <c r="F62" s="2"/>
      <c r="G62" s="2"/>
    </row>
    <row r="63" spans="4:7" ht="14.25">
      <c r="D63" s="4"/>
      <c r="E63" s="2"/>
      <c r="F63" s="2"/>
      <c r="G63" s="2"/>
    </row>
    <row r="64" spans="4:7" ht="14.25">
      <c r="D64" s="4"/>
      <c r="E64" s="2"/>
      <c r="F64" s="2"/>
      <c r="G64" s="2"/>
    </row>
    <row r="65" spans="4:7" ht="14.25">
      <c r="D65" s="4"/>
      <c r="E65" s="2"/>
      <c r="F65" s="2"/>
      <c r="G65" s="2"/>
    </row>
    <row r="66" spans="4:7" ht="14.25">
      <c r="D66" s="4"/>
      <c r="E66" s="2"/>
      <c r="F66" s="2"/>
      <c r="G66" s="2"/>
    </row>
  </sheetData>
  <sheetProtection/>
  <printOptions/>
  <pageMargins left="0.7" right="0.7" top="0.75" bottom="0.75" header="0.3" footer="0.3"/>
  <pageSetup firstPageNumber="13" useFirstPageNumber="1" horizontalDpi="600" verticalDpi="600" orientation="portrait" r:id="rId1"/>
  <headerFooter>
    <oddHeader>&amp;RUpdated KIUC_1_17_Attachment71_Retirement_Cost_Calculation
Page  &amp;P of 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JMY</dc:creator>
  <cp:keywords/>
  <dc:description/>
  <cp:lastModifiedBy>AEP</cp:lastModifiedBy>
  <cp:lastPrinted>2017-07-06T18:14:39Z</cp:lastPrinted>
  <dcterms:created xsi:type="dcterms:W3CDTF">2014-11-07T20:12:13Z</dcterms:created>
  <dcterms:modified xsi:type="dcterms:W3CDTF">2017-08-14T15:26:31Z</dcterms:modified>
  <cp:category/>
  <cp:version/>
  <cp:contentType/>
  <cp:contentStatus/>
</cp:coreProperties>
</file>