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"/>
    </mc:Choice>
  </mc:AlternateContent>
  <bookViews>
    <workbookView xWindow="0" yWindow="0" windowWidth="15360" windowHeight="7455"/>
  </bookViews>
  <sheets>
    <sheet name="Sheet1" sheetId="1" r:id="rId1"/>
  </sheets>
  <definedNames>
    <definedName name="_xlnm.Print_Area" localSheetId="0">Sheet1!$A$1:$K$46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Y14" i="1" s="1"/>
  <c r="X13" i="1"/>
  <c r="Y13" i="1" s="1"/>
  <c r="P10" i="1" l="1"/>
  <c r="Q18" i="1"/>
  <c r="O10" i="1"/>
  <c r="G41" i="1" l="1"/>
  <c r="H41" i="1"/>
  <c r="F41" i="1"/>
  <c r="K18" i="1"/>
  <c r="D41" i="1"/>
  <c r="C41" i="1"/>
  <c r="J18" i="1"/>
  <c r="B41" i="1"/>
  <c r="H46" i="1" l="1"/>
  <c r="G46" i="1"/>
  <c r="F46" i="1"/>
  <c r="D46" i="1"/>
  <c r="C46" i="1"/>
  <c r="B46" i="1"/>
  <c r="H44" i="1"/>
  <c r="G44" i="1"/>
  <c r="F44" i="1"/>
  <c r="D44" i="1"/>
  <c r="C44" i="1"/>
  <c r="B44" i="1"/>
  <c r="H43" i="1"/>
  <c r="G43" i="1"/>
  <c r="F43" i="1"/>
  <c r="D43" i="1"/>
  <c r="C43" i="1"/>
  <c r="B43" i="1"/>
  <c r="H42" i="1"/>
  <c r="G42" i="1"/>
  <c r="F42" i="1"/>
  <c r="D42" i="1"/>
  <c r="C42" i="1"/>
  <c r="B42" i="1"/>
  <c r="H40" i="1"/>
  <c r="G40" i="1"/>
  <c r="F40" i="1"/>
  <c r="D40" i="1"/>
  <c r="C40" i="1"/>
  <c r="B40" i="1"/>
  <c r="H39" i="1"/>
  <c r="G39" i="1"/>
  <c r="F39" i="1"/>
  <c r="D39" i="1"/>
  <c r="C39" i="1"/>
  <c r="B39" i="1"/>
  <c r="H38" i="1"/>
  <c r="G38" i="1"/>
  <c r="F38" i="1"/>
  <c r="D38" i="1"/>
  <c r="C38" i="1"/>
  <c r="B38" i="1"/>
  <c r="H37" i="1"/>
  <c r="G37" i="1"/>
  <c r="F37" i="1"/>
  <c r="D37" i="1"/>
  <c r="C37" i="1"/>
  <c r="B37" i="1"/>
  <c r="H36" i="1"/>
  <c r="G36" i="1"/>
  <c r="F36" i="1"/>
  <c r="D36" i="1"/>
  <c r="C36" i="1"/>
  <c r="B36" i="1"/>
  <c r="H35" i="1"/>
  <c r="G35" i="1"/>
  <c r="F35" i="1"/>
  <c r="D35" i="1"/>
  <c r="C35" i="1"/>
  <c r="B35" i="1"/>
  <c r="H34" i="1"/>
  <c r="G34" i="1"/>
  <c r="F34" i="1"/>
  <c r="D34" i="1"/>
  <c r="C34" i="1"/>
  <c r="B34" i="1"/>
  <c r="H33" i="1"/>
  <c r="G33" i="1"/>
  <c r="F33" i="1"/>
  <c r="D33" i="1"/>
  <c r="C33" i="1"/>
  <c r="B33" i="1"/>
  <c r="K23" i="1"/>
  <c r="K46" i="1" s="1"/>
  <c r="K21" i="1"/>
  <c r="K44" i="1" s="1"/>
  <c r="K20" i="1"/>
  <c r="K19" i="1"/>
  <c r="K17" i="1"/>
  <c r="K40" i="1" s="1"/>
  <c r="K16" i="1"/>
  <c r="K39" i="1" s="1"/>
  <c r="K15" i="1"/>
  <c r="K14" i="1"/>
  <c r="K13" i="1"/>
  <c r="K36" i="1" s="1"/>
  <c r="K12" i="1"/>
  <c r="K35" i="1" s="1"/>
  <c r="K11" i="1"/>
  <c r="K10" i="1"/>
  <c r="K41" i="1" l="1"/>
  <c r="K33" i="1"/>
  <c r="K34" i="1"/>
  <c r="K37" i="1"/>
  <c r="K42" i="1"/>
  <c r="K38" i="1"/>
  <c r="K43" i="1"/>
  <c r="T28" i="1"/>
  <c r="T27" i="1"/>
  <c r="Q22" i="1"/>
  <c r="Q21" i="1"/>
  <c r="Q20" i="1"/>
  <c r="Q19" i="1"/>
  <c r="Q17" i="1"/>
  <c r="Q16" i="1"/>
  <c r="Q15" i="1"/>
  <c r="Q14" i="1"/>
  <c r="Q13" i="1"/>
  <c r="Q12" i="1"/>
  <c r="Q11" i="1"/>
  <c r="P23" i="1"/>
  <c r="O23" i="1"/>
  <c r="Q10" i="1" l="1"/>
  <c r="Q23" i="1"/>
  <c r="T29" i="1"/>
  <c r="J23" i="1"/>
  <c r="J21" i="1"/>
  <c r="J20" i="1"/>
  <c r="J19" i="1"/>
  <c r="J17" i="1"/>
  <c r="J16" i="1"/>
  <c r="J15" i="1"/>
  <c r="J14" i="1"/>
  <c r="J13" i="1"/>
  <c r="J36" i="1" s="1"/>
  <c r="J12" i="1"/>
  <c r="J11" i="1"/>
  <c r="J10" i="1"/>
  <c r="T13" i="1" l="1"/>
  <c r="V13" i="1" s="1"/>
  <c r="T11" i="1"/>
  <c r="V11" i="1" s="1"/>
  <c r="T16" i="1"/>
  <c r="V16" i="1" s="1"/>
  <c r="T21" i="1"/>
  <c r="V21" i="1" s="1"/>
  <c r="T15" i="1"/>
  <c r="V15" i="1" s="1"/>
  <c r="T20" i="1"/>
  <c r="V20" i="1" s="1"/>
  <c r="T14" i="1"/>
  <c r="V14" i="1" s="1"/>
  <c r="J46" i="1"/>
  <c r="J41" i="1"/>
  <c r="R18" i="1"/>
  <c r="J40" i="1"/>
  <c r="J33" i="1"/>
  <c r="R16" i="1"/>
  <c r="J34" i="1"/>
  <c r="J37" i="1"/>
  <c r="J42" i="1"/>
  <c r="J38" i="1"/>
  <c r="J43" i="1"/>
  <c r="J35" i="1"/>
  <c r="J39" i="1"/>
  <c r="J44" i="1"/>
  <c r="R19" i="1"/>
  <c r="S19" i="1" s="1"/>
  <c r="T19" i="1" s="1"/>
  <c r="V19" i="1" s="1"/>
  <c r="R10" i="1"/>
  <c r="S10" i="1" s="1"/>
  <c r="T10" i="1" s="1"/>
  <c r="R22" i="1"/>
  <c r="S22" i="1" s="1"/>
  <c r="T22" i="1" s="1"/>
  <c r="V22" i="1" s="1"/>
  <c r="R12" i="1"/>
  <c r="S12" i="1" s="1"/>
  <c r="T12" i="1" s="1"/>
  <c r="V12" i="1" s="1"/>
  <c r="R17" i="1"/>
  <c r="R11" i="1"/>
  <c r="R20" i="1"/>
  <c r="R13" i="1"/>
  <c r="R23" i="1"/>
  <c r="R21" i="1"/>
  <c r="R15" i="1"/>
  <c r="R14" i="1"/>
  <c r="V10" i="1" l="1"/>
  <c r="X10" i="1"/>
  <c r="X11" i="1" s="1"/>
  <c r="Z13" i="1" l="1"/>
  <c r="Z14" i="1"/>
  <c r="T18" i="1" l="1"/>
  <c r="AA14" i="1"/>
  <c r="AA13" i="1"/>
  <c r="T17" i="1"/>
  <c r="S17" i="1" l="1"/>
  <c r="V17" i="1"/>
  <c r="T23" i="1"/>
  <c r="T25" i="1"/>
  <c r="S18" i="1"/>
  <c r="V18" i="1"/>
  <c r="U27" i="1" l="1"/>
  <c r="V27" i="1" s="1"/>
  <c r="W27" i="1" s="1"/>
  <c r="U28" i="1"/>
  <c r="U29" i="1" l="1"/>
  <c r="V29" i="1" s="1"/>
  <c r="W29" i="1" s="1"/>
  <c r="V28" i="1"/>
  <c r="W28" i="1" s="1"/>
</calcChain>
</file>

<file path=xl/sharedStrings.xml><?xml version="1.0" encoding="utf-8"?>
<sst xmlns="http://schemas.openxmlformats.org/spreadsheetml/2006/main" count="129" uniqueCount="57">
  <si>
    <t>Residential (RS)</t>
  </si>
  <si>
    <t>General Service (GS)</t>
  </si>
  <si>
    <t>Pwr Serv-Prim (PS-Pri)</t>
  </si>
  <si>
    <t>Pwr Serv-Sec (PS-Sec)</t>
  </si>
  <si>
    <t>Time of Day-Sec (TOU-Sec)</t>
  </si>
  <si>
    <t>Time of Day-Pri (TOU-Pri)</t>
  </si>
  <si>
    <t>Retail Trans (RTS)</t>
  </si>
  <si>
    <t>Lighting Energy (LE)</t>
  </si>
  <si>
    <t>Class</t>
  </si>
  <si>
    <t xml:space="preserve">Seeyle </t>
  </si>
  <si>
    <t>Modified</t>
  </si>
  <si>
    <t>BIP</t>
  </si>
  <si>
    <t>Corrected</t>
  </si>
  <si>
    <t>BIP As</t>
  </si>
  <si>
    <t>TAI</t>
  </si>
  <si>
    <t>TOTAL</t>
  </si>
  <si>
    <t>ROR At Current Rates</t>
  </si>
  <si>
    <t>Indexed ROR At Current Rates</t>
  </si>
  <si>
    <t>Average</t>
  </si>
  <si>
    <t>Revenue</t>
  </si>
  <si>
    <t>At</t>
  </si>
  <si>
    <t>Present</t>
  </si>
  <si>
    <t>Rates</t>
  </si>
  <si>
    <t>Curtailable Service Riders</t>
  </si>
  <si>
    <t>Proposed</t>
  </si>
  <si>
    <t>Increase</t>
  </si>
  <si>
    <t>%</t>
  </si>
  <si>
    <t>% of</t>
  </si>
  <si>
    <t>System</t>
  </si>
  <si>
    <t>Sys. Avg.</t>
  </si>
  <si>
    <t>Traffic Energy (TE)</t>
  </si>
  <si>
    <t>Remaining</t>
  </si>
  <si>
    <t>GS</t>
  </si>
  <si>
    <t>PS-P</t>
  </si>
  <si>
    <t>Total</t>
  </si>
  <si>
    <t>Customer/Demand Distribution</t>
  </si>
  <si>
    <t>Primary Distribution 100% Demand</t>
  </si>
  <si>
    <t>Probability</t>
  </si>
  <si>
    <t>Of</t>
  </si>
  <si>
    <t>Dispatch</t>
  </si>
  <si>
    <t xml:space="preserve"> True</t>
  </si>
  <si>
    <t>(All</t>
  </si>
  <si>
    <t>Methods)</t>
  </si>
  <si>
    <t>Primary</t>
  </si>
  <si>
    <t>Distribution</t>
  </si>
  <si>
    <t>Demand</t>
  </si>
  <si>
    <t>OAG</t>
  </si>
  <si>
    <t>Percent</t>
  </si>
  <si>
    <t>Special Contract #1</t>
  </si>
  <si>
    <t>Special Contract #2</t>
  </si>
  <si>
    <t>Street Lighting (RLS, LS, DSK)</t>
  </si>
  <si>
    <t>Increase Except Special Contract</t>
  </si>
  <si>
    <t>Contract 1 Pres Rev</t>
  </si>
  <si>
    <t>Contract 2 Pres Rev</t>
  </si>
  <si>
    <t>LG&amp;E</t>
  </si>
  <si>
    <t>LOUSIVILLE GAS &amp; ELECTRIC - ELECTRIC</t>
  </si>
  <si>
    <t>Summary of Class RORs at 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</si>
</sst>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0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9" fontId="2" fillId="0" borderId="0" xfId="0" applyNumberFormat="1" applyFont="1"/>
    <xf numFmtId="9" fontId="2" fillId="0" borderId="1" xfId="0" applyNumberFormat="1" applyFont="1" applyBorder="1"/>
    <xf numFmtId="164" fontId="2" fillId="0" borderId="0" xfId="0" applyNumberFormat="1" applyFont="1"/>
    <xf numFmtId="10" fontId="2" fillId="0" borderId="0" xfId="1" applyNumberFormat="1" applyFont="1"/>
    <xf numFmtId="164" fontId="2" fillId="0" borderId="1" xfId="0" applyNumberFormat="1" applyFont="1" applyBorder="1"/>
    <xf numFmtId="10" fontId="2" fillId="0" borderId="1" xfId="1" applyNumberFormat="1" applyFont="1" applyBorder="1"/>
    <xf numFmtId="165" fontId="2" fillId="0" borderId="0" xfId="0" applyNumberFormat="1" applyFont="1"/>
    <xf numFmtId="164" fontId="2" fillId="0" borderId="0" xfId="1" applyNumberFormat="1" applyFont="1"/>
    <xf numFmtId="0" fontId="2" fillId="0" borderId="1" xfId="0" applyFont="1" applyBorder="1" applyAlignment="1">
      <alignment horizontal="center"/>
    </xf>
    <xf numFmtId="10" fontId="3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4" xfId="0" applyFont="1" applyBorder="1"/>
    <xf numFmtId="10" fontId="3" fillId="0" borderId="4" xfId="0" applyNumberFormat="1" applyFont="1" applyBorder="1"/>
    <xf numFmtId="0" fontId="2" fillId="0" borderId="5" xfId="0" applyFont="1" applyBorder="1"/>
    <xf numFmtId="10" fontId="2" fillId="0" borderId="4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10" fontId="4" fillId="0" borderId="0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/>
    <xf numFmtId="9" fontId="2" fillId="0" borderId="0" xfId="1" applyFont="1"/>
    <xf numFmtId="9" fontId="2" fillId="0" borderId="4" xfId="1" applyFont="1" applyBorder="1"/>
    <xf numFmtId="9" fontId="2" fillId="0" borderId="1" xfId="1" applyFont="1" applyBorder="1"/>
    <xf numFmtId="9" fontId="2" fillId="0" borderId="5" xfId="1" applyFont="1" applyBorder="1"/>
    <xf numFmtId="9" fontId="4" fillId="0" borderId="0" xfId="1" applyFont="1"/>
    <xf numFmtId="9" fontId="4" fillId="0" borderId="7" xfId="1" applyFont="1" applyBorder="1"/>
    <xf numFmtId="9" fontId="4" fillId="0" borderId="1" xfId="1" applyFont="1" applyBorder="1"/>
    <xf numFmtId="9" fontId="4" fillId="0" borderId="8" xfId="1" applyFont="1" applyBorder="1"/>
    <xf numFmtId="9" fontId="3" fillId="0" borderId="0" xfId="0" applyNumberFormat="1" applyFont="1"/>
    <xf numFmtId="166" fontId="2" fillId="0" borderId="0" xfId="1" applyNumberFormat="1" applyFont="1"/>
    <xf numFmtId="164" fontId="3" fillId="0" borderId="0" xfId="0" applyNumberFormat="1" applyFont="1"/>
    <xf numFmtId="0" fontId="3" fillId="0" borderId="0" xfId="0" applyFont="1"/>
    <xf numFmtId="9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workbookViewId="0">
      <selection activeCell="E12" sqref="E12"/>
    </sheetView>
  </sheetViews>
  <sheetFormatPr defaultColWidth="9.140625" defaultRowHeight="15" x14ac:dyDescent="0.25"/>
  <cols>
    <col min="1" max="1" width="27.28515625" style="1" customWidth="1"/>
    <col min="2" max="2" width="9.42578125" style="1" bestFit="1" customWidth="1"/>
    <col min="3" max="3" width="12.28515625" style="1" customWidth="1"/>
    <col min="4" max="4" width="13.7109375" style="1" bestFit="1" customWidth="1"/>
    <col min="5" max="5" width="3.140625" style="1" customWidth="1"/>
    <col min="6" max="6" width="9.42578125" style="1" bestFit="1" customWidth="1"/>
    <col min="7" max="7" width="10.42578125" style="1" customWidth="1"/>
    <col min="8" max="8" width="13.85546875" style="1" bestFit="1" customWidth="1"/>
    <col min="9" max="9" width="2.42578125" style="1" customWidth="1"/>
    <col min="10" max="11" width="13.5703125" style="20" customWidth="1"/>
    <col min="12" max="13" width="9.140625" style="1"/>
    <col min="14" max="14" width="27.140625" style="1" bestFit="1" customWidth="1"/>
    <col min="15" max="15" width="13.42578125" style="1" bestFit="1" customWidth="1"/>
    <col min="16" max="16" width="11.85546875" style="1" bestFit="1" customWidth="1"/>
    <col min="17" max="17" width="9.140625" style="1"/>
    <col min="18" max="18" width="8.28515625" style="1" bestFit="1" customWidth="1"/>
    <col min="19" max="19" width="9.85546875" style="1" bestFit="1" customWidth="1"/>
    <col min="20" max="21" width="13.5703125" style="1" bestFit="1" customWidth="1"/>
    <col min="22" max="22" width="11.85546875" style="1" bestFit="1" customWidth="1"/>
    <col min="23" max="23" width="25.85546875" style="1" customWidth="1"/>
    <col min="24" max="24" width="10.85546875" style="1" bestFit="1" customWidth="1"/>
    <col min="25" max="25" width="9.140625" style="1"/>
    <col min="26" max="26" width="11" style="1" bestFit="1" customWidth="1"/>
    <col min="27" max="16384" width="9.140625" style="1"/>
  </cols>
  <sheetData>
    <row r="1" spans="1:27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7" x14ac:dyDescent="0.2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7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7" x14ac:dyDescent="0.25">
      <c r="A4" s="19"/>
      <c r="B4" s="52" t="s">
        <v>35</v>
      </c>
      <c r="C4" s="52"/>
      <c r="D4" s="52"/>
      <c r="E4" s="53"/>
      <c r="F4" s="52" t="s">
        <v>36</v>
      </c>
      <c r="G4" s="52"/>
      <c r="H4" s="52"/>
      <c r="I4" s="53"/>
      <c r="J4" s="27"/>
      <c r="K4" s="28" t="s">
        <v>18</v>
      </c>
    </row>
    <row r="5" spans="1:27" x14ac:dyDescent="0.25">
      <c r="A5" s="20"/>
      <c r="B5" s="19" t="s">
        <v>9</v>
      </c>
      <c r="C5" s="19"/>
      <c r="D5" s="54"/>
      <c r="E5" s="55"/>
      <c r="F5" s="19" t="s">
        <v>9</v>
      </c>
      <c r="G5" s="19"/>
      <c r="H5" s="54"/>
      <c r="I5" s="55"/>
      <c r="J5" s="29"/>
      <c r="K5" s="30" t="s">
        <v>43</v>
      </c>
      <c r="O5" s="2" t="s">
        <v>19</v>
      </c>
      <c r="P5" s="2"/>
      <c r="Q5" s="2"/>
      <c r="R5" s="2"/>
      <c r="S5" s="2"/>
      <c r="T5" s="2"/>
    </row>
    <row r="6" spans="1:27" x14ac:dyDescent="0.25">
      <c r="A6" s="20"/>
      <c r="B6" s="19" t="s">
        <v>10</v>
      </c>
      <c r="C6" s="19"/>
      <c r="D6" s="19" t="s">
        <v>37</v>
      </c>
      <c r="E6" s="56"/>
      <c r="F6" s="19" t="s">
        <v>10</v>
      </c>
      <c r="G6" s="19"/>
      <c r="H6" s="19" t="s">
        <v>37</v>
      </c>
      <c r="I6" s="56"/>
      <c r="J6" s="19" t="s">
        <v>18</v>
      </c>
      <c r="K6" s="30" t="s">
        <v>44</v>
      </c>
      <c r="O6" s="2" t="s">
        <v>20</v>
      </c>
      <c r="P6" s="2" t="s">
        <v>54</v>
      </c>
      <c r="Q6" s="2"/>
      <c r="R6" s="2" t="s">
        <v>27</v>
      </c>
      <c r="S6" s="2" t="s">
        <v>14</v>
      </c>
      <c r="T6" s="2"/>
      <c r="V6" s="1" t="s">
        <v>46</v>
      </c>
    </row>
    <row r="7" spans="1:27" x14ac:dyDescent="0.25">
      <c r="A7" s="20"/>
      <c r="B7" s="19" t="s">
        <v>13</v>
      </c>
      <c r="C7" s="19" t="s">
        <v>40</v>
      </c>
      <c r="D7" s="19" t="s">
        <v>38</v>
      </c>
      <c r="E7" s="56"/>
      <c r="F7" s="19" t="s">
        <v>13</v>
      </c>
      <c r="G7" s="19" t="s">
        <v>40</v>
      </c>
      <c r="H7" s="19" t="s">
        <v>38</v>
      </c>
      <c r="I7" s="56"/>
      <c r="J7" s="19" t="s">
        <v>41</v>
      </c>
      <c r="K7" s="31">
        <v>1</v>
      </c>
      <c r="O7" s="2" t="s">
        <v>21</v>
      </c>
      <c r="P7" s="2" t="s">
        <v>24</v>
      </c>
      <c r="Q7" s="2" t="s">
        <v>26</v>
      </c>
      <c r="R7" s="2" t="s">
        <v>28</v>
      </c>
      <c r="S7" s="2" t="s">
        <v>27</v>
      </c>
      <c r="T7" s="2" t="s">
        <v>14</v>
      </c>
      <c r="V7" s="1" t="s">
        <v>47</v>
      </c>
    </row>
    <row r="8" spans="1:27" x14ac:dyDescent="0.25">
      <c r="A8" s="21" t="s">
        <v>8</v>
      </c>
      <c r="B8" s="21" t="s">
        <v>12</v>
      </c>
      <c r="C8" s="21" t="s">
        <v>11</v>
      </c>
      <c r="D8" s="21" t="s">
        <v>39</v>
      </c>
      <c r="E8" s="56"/>
      <c r="F8" s="21" t="s">
        <v>12</v>
      </c>
      <c r="G8" s="21" t="s">
        <v>11</v>
      </c>
      <c r="H8" s="21" t="s">
        <v>39</v>
      </c>
      <c r="I8" s="56"/>
      <c r="J8" s="21" t="s">
        <v>42</v>
      </c>
      <c r="K8" s="32" t="s">
        <v>45</v>
      </c>
      <c r="N8" s="17" t="s">
        <v>8</v>
      </c>
      <c r="O8" s="17" t="s">
        <v>22</v>
      </c>
      <c r="P8" s="17" t="s">
        <v>25</v>
      </c>
      <c r="Q8" s="17" t="s">
        <v>25</v>
      </c>
      <c r="R8" s="17" t="s">
        <v>18</v>
      </c>
      <c r="S8" s="17" t="s">
        <v>29</v>
      </c>
      <c r="T8" s="17" t="s">
        <v>25</v>
      </c>
      <c r="V8" s="1" t="s">
        <v>25</v>
      </c>
    </row>
    <row r="9" spans="1:27" x14ac:dyDescent="0.25">
      <c r="E9" s="23"/>
      <c r="I9" s="23"/>
      <c r="J9" s="29"/>
      <c r="K9" s="33"/>
    </row>
    <row r="10" spans="1:27" x14ac:dyDescent="0.25">
      <c r="A10" s="3" t="s">
        <v>0</v>
      </c>
      <c r="B10" s="4">
        <v>2.76E-2</v>
      </c>
      <c r="C10" s="4">
        <v>3.0599999999999999E-2</v>
      </c>
      <c r="D10" s="18">
        <v>3.1300000000000001E-2</v>
      </c>
      <c r="E10" s="24"/>
      <c r="F10" s="4">
        <v>3.61E-2</v>
      </c>
      <c r="G10" s="4">
        <v>3.9699999999999999E-2</v>
      </c>
      <c r="H10" s="18">
        <v>4.0500000000000001E-2</v>
      </c>
      <c r="I10" s="24"/>
      <c r="J10" s="34">
        <f t="shared" ref="J10:J21" si="0">AVERAGE(B10:H10)</f>
        <v>3.4300000000000004E-2</v>
      </c>
      <c r="K10" s="35">
        <f>AVERAGE(F10:H10)</f>
        <v>3.8766666666666671E-2</v>
      </c>
      <c r="N10" s="3" t="s">
        <v>0</v>
      </c>
      <c r="O10" s="11">
        <f>441462416+55652</f>
        <v>441518068</v>
      </c>
      <c r="P10" s="11">
        <f>42126429+5306</f>
        <v>42131735</v>
      </c>
      <c r="Q10" s="12">
        <f>P10/O10</f>
        <v>9.5424713173912518E-2</v>
      </c>
      <c r="R10" s="9">
        <f t="shared" ref="R10:R23" si="1">Q10/Q$23</f>
        <v>1.1199396383422682</v>
      </c>
      <c r="S10" s="45">
        <f>R10</f>
        <v>1.1199396383422682</v>
      </c>
      <c r="T10" s="47">
        <f>S10*Q$23*O10</f>
        <v>42131735.000000007</v>
      </c>
      <c r="U10" s="48"/>
      <c r="V10" s="12">
        <f>T10/O10</f>
        <v>9.5424713173912531E-2</v>
      </c>
      <c r="W10" s="1" t="s">
        <v>51</v>
      </c>
      <c r="X10" s="11">
        <f>SUM(T10:T16)+SUM(T19:T22)</f>
        <v>92556027.039299309</v>
      </c>
    </row>
    <row r="11" spans="1:27" x14ac:dyDescent="0.25">
      <c r="A11" s="3" t="s">
        <v>1</v>
      </c>
      <c r="B11" s="4">
        <v>7.3200000000000001E-2</v>
      </c>
      <c r="C11" s="4">
        <v>7.9899999999999999E-2</v>
      </c>
      <c r="D11" s="18">
        <v>8.2699999999999996E-2</v>
      </c>
      <c r="E11" s="24"/>
      <c r="F11" s="4">
        <v>6.9699999999999998E-2</v>
      </c>
      <c r="G11" s="4">
        <v>7.6100000000000001E-2</v>
      </c>
      <c r="H11" s="18">
        <v>7.8799999999999995E-2</v>
      </c>
      <c r="I11" s="24"/>
      <c r="J11" s="34">
        <f t="shared" si="0"/>
        <v>7.6733333333333334E-2</v>
      </c>
      <c r="K11" s="35">
        <f t="shared" ref="K11:K23" si="2">AVERAGE(F11:H11)</f>
        <v>7.4866666666666651E-2</v>
      </c>
      <c r="N11" s="3" t="s">
        <v>1</v>
      </c>
      <c r="O11" s="11">
        <v>170461520</v>
      </c>
      <c r="P11" s="11">
        <v>12180705</v>
      </c>
      <c r="Q11" s="12">
        <f t="shared" ref="Q11:Q23" si="3">P11/O11</f>
        <v>7.1457212161430916E-2</v>
      </c>
      <c r="R11" s="9">
        <f t="shared" si="1"/>
        <v>0.83864820425677611</v>
      </c>
      <c r="S11" s="45">
        <v>0.7</v>
      </c>
      <c r="T11" s="47">
        <f t="shared" ref="T11:T21" si="4">S11*Q$23*O11</f>
        <v>10166948.974220147</v>
      </c>
      <c r="U11" s="47"/>
      <c r="V11" s="12">
        <f t="shared" ref="V11:V22" si="5">T11/O11</f>
        <v>5.9643660189233012E-2</v>
      </c>
      <c r="W11" s="1" t="s">
        <v>31</v>
      </c>
      <c r="X11" s="11">
        <f>P23-X10</f>
        <v>1084090.9607006907</v>
      </c>
    </row>
    <row r="12" spans="1:27" x14ac:dyDescent="0.25">
      <c r="A12" s="3" t="s">
        <v>2</v>
      </c>
      <c r="B12" s="4">
        <v>6.3799999999999996E-2</v>
      </c>
      <c r="C12" s="4">
        <v>5.4199999999999998E-2</v>
      </c>
      <c r="D12" s="18">
        <v>5.57E-2</v>
      </c>
      <c r="E12" s="24"/>
      <c r="F12" s="4">
        <v>4.8500000000000001E-2</v>
      </c>
      <c r="G12" s="4">
        <v>4.1000000000000002E-2</v>
      </c>
      <c r="H12" s="18">
        <v>4.2299999999999997E-2</v>
      </c>
      <c r="I12" s="24"/>
      <c r="J12" s="34">
        <f t="shared" si="0"/>
        <v>5.0916666666666666E-2</v>
      </c>
      <c r="K12" s="35">
        <f t="shared" si="2"/>
        <v>4.3933333333333331E-2</v>
      </c>
      <c r="N12" s="3" t="s">
        <v>2</v>
      </c>
      <c r="O12" s="11">
        <v>12536325</v>
      </c>
      <c r="P12" s="11">
        <v>1034517</v>
      </c>
      <c r="Q12" s="12">
        <f t="shared" si="3"/>
        <v>8.2521552368816226E-2</v>
      </c>
      <c r="R12" s="9">
        <f t="shared" si="1"/>
        <v>0.96850338283898973</v>
      </c>
      <c r="S12" s="45">
        <f>R12</f>
        <v>0.96850338283898973</v>
      </c>
      <c r="T12" s="47">
        <f t="shared" si="4"/>
        <v>1034517.0000000001</v>
      </c>
      <c r="U12" s="48"/>
      <c r="V12" s="12">
        <f t="shared" si="5"/>
        <v>8.2521552368816226E-2</v>
      </c>
    </row>
    <row r="13" spans="1:27" x14ac:dyDescent="0.25">
      <c r="A13" s="5" t="s">
        <v>3</v>
      </c>
      <c r="B13" s="4">
        <v>8.5900000000000004E-2</v>
      </c>
      <c r="C13" s="4">
        <v>8.2100000000000006E-2</v>
      </c>
      <c r="D13" s="18">
        <v>8.4099999999999994E-2</v>
      </c>
      <c r="E13" s="24"/>
      <c r="F13" s="4">
        <v>7.0199999999999999E-2</v>
      </c>
      <c r="G13" s="4">
        <v>6.7199999999999996E-2</v>
      </c>
      <c r="H13" s="18">
        <v>6.8699999999999997E-2</v>
      </c>
      <c r="I13" s="24"/>
      <c r="J13" s="34">
        <f t="shared" si="0"/>
        <v>7.6366666666666652E-2</v>
      </c>
      <c r="K13" s="35">
        <f t="shared" si="2"/>
        <v>6.8699999999999997E-2</v>
      </c>
      <c r="N13" s="5" t="s">
        <v>3</v>
      </c>
      <c r="O13" s="11">
        <v>164895598</v>
      </c>
      <c r="P13" s="11">
        <v>11631167</v>
      </c>
      <c r="Q13" s="12">
        <f t="shared" si="3"/>
        <v>7.053655246758013E-2</v>
      </c>
      <c r="R13" s="9">
        <f t="shared" si="1"/>
        <v>0.82784300243564624</v>
      </c>
      <c r="S13" s="45">
        <v>0.8</v>
      </c>
      <c r="T13" s="47">
        <f t="shared" si="4"/>
        <v>11239973.730071284</v>
      </c>
      <c r="U13" s="47"/>
      <c r="V13" s="12">
        <f t="shared" si="5"/>
        <v>6.8164183073409171E-2</v>
      </c>
      <c r="W13" s="1" t="s">
        <v>52</v>
      </c>
      <c r="X13" s="11">
        <f>O17</f>
        <v>6754787</v>
      </c>
      <c r="Y13" s="46">
        <f>X13/(X13+X14)</f>
        <v>0.65741503847094163</v>
      </c>
      <c r="Z13" s="11">
        <f>X11*Y13</f>
        <v>712697.70063504472</v>
      </c>
      <c r="AA13" s="1">
        <f>Z13/X13</f>
        <v>0.10551001839658966</v>
      </c>
    </row>
    <row r="14" spans="1:27" x14ac:dyDescent="0.25">
      <c r="A14" s="5" t="s">
        <v>5</v>
      </c>
      <c r="B14" s="4">
        <v>4.5499999999999999E-2</v>
      </c>
      <c r="C14" s="4">
        <v>3.5799999999999998E-2</v>
      </c>
      <c r="D14" s="18">
        <v>3.7499999999999999E-2</v>
      </c>
      <c r="E14" s="24"/>
      <c r="F14" s="4">
        <v>3.2300000000000002E-2</v>
      </c>
      <c r="G14" s="4">
        <v>2.46E-2</v>
      </c>
      <c r="H14" s="18">
        <v>2.6200000000000001E-2</v>
      </c>
      <c r="I14" s="24"/>
      <c r="J14" s="34">
        <f t="shared" si="0"/>
        <v>3.3649999999999999E-2</v>
      </c>
      <c r="K14" s="35">
        <f t="shared" si="2"/>
        <v>2.7700000000000002E-2</v>
      </c>
      <c r="N14" s="5" t="s">
        <v>5</v>
      </c>
      <c r="O14" s="11">
        <v>126370424</v>
      </c>
      <c r="P14" s="11">
        <v>10385231</v>
      </c>
      <c r="Q14" s="12">
        <f t="shared" si="3"/>
        <v>8.2180866940827865E-2</v>
      </c>
      <c r="R14" s="9">
        <f t="shared" si="1"/>
        <v>0.96450497296885063</v>
      </c>
      <c r="S14" s="45">
        <v>1.1499999999999999</v>
      </c>
      <c r="T14" s="47">
        <f t="shared" si="4"/>
        <v>12382534.030112987</v>
      </c>
      <c r="U14" s="48"/>
      <c r="V14" s="12">
        <f t="shared" si="5"/>
        <v>9.7986013168025674E-2</v>
      </c>
      <c r="W14" s="1" t="s">
        <v>53</v>
      </c>
      <c r="X14" s="11">
        <f>O18</f>
        <v>3519981</v>
      </c>
      <c r="Y14" s="46">
        <f>X14/(X13+X14)</f>
        <v>0.34258496152905837</v>
      </c>
      <c r="Z14" s="11">
        <f>Y14*X11</f>
        <v>371393.26006564609</v>
      </c>
      <c r="AA14" s="1">
        <f>Z14/X14</f>
        <v>0.10551001839658966</v>
      </c>
    </row>
    <row r="15" spans="1:27" x14ac:dyDescent="0.25">
      <c r="A15" s="5" t="s">
        <v>4</v>
      </c>
      <c r="B15" s="4">
        <v>0.1152</v>
      </c>
      <c r="C15" s="4">
        <v>0.1239</v>
      </c>
      <c r="D15" s="18">
        <v>9.4299999999999995E-2</v>
      </c>
      <c r="E15" s="24"/>
      <c r="F15" s="4">
        <v>9.4399999999999998E-2</v>
      </c>
      <c r="G15" s="4">
        <v>0.10100000000000001</v>
      </c>
      <c r="H15" s="18">
        <v>7.7799999999999994E-2</v>
      </c>
      <c r="I15" s="24"/>
      <c r="J15" s="34">
        <f t="shared" si="0"/>
        <v>0.10109999999999998</v>
      </c>
      <c r="K15" s="35">
        <f t="shared" si="2"/>
        <v>9.1066666666666671E-2</v>
      </c>
      <c r="N15" s="5" t="s">
        <v>4</v>
      </c>
      <c r="O15" s="11">
        <v>84439205</v>
      </c>
      <c r="P15" s="11">
        <v>5698088</v>
      </c>
      <c r="Q15" s="12">
        <f t="shared" si="3"/>
        <v>6.7481544858220777E-2</v>
      </c>
      <c r="R15" s="9">
        <f t="shared" si="1"/>
        <v>0.79198830606445347</v>
      </c>
      <c r="S15" s="45">
        <v>0.65</v>
      </c>
      <c r="T15" s="47">
        <f t="shared" si="4"/>
        <v>4676530.1604069155</v>
      </c>
      <c r="U15" s="48"/>
      <c r="V15" s="12">
        <f t="shared" si="5"/>
        <v>5.538339874714495E-2</v>
      </c>
    </row>
    <row r="16" spans="1:27" x14ac:dyDescent="0.25">
      <c r="A16" s="5" t="s">
        <v>6</v>
      </c>
      <c r="B16" s="4">
        <v>3.5299999999999998E-2</v>
      </c>
      <c r="C16" s="4">
        <v>2.4500000000000001E-2</v>
      </c>
      <c r="D16" s="18">
        <v>2.75E-2</v>
      </c>
      <c r="E16" s="24"/>
      <c r="F16" s="4">
        <v>3.5299999999999998E-2</v>
      </c>
      <c r="G16" s="4">
        <v>2.4500000000000001E-2</v>
      </c>
      <c r="H16" s="18">
        <v>2.75E-2</v>
      </c>
      <c r="I16" s="24"/>
      <c r="J16" s="34">
        <f t="shared" si="0"/>
        <v>2.9100000000000001E-2</v>
      </c>
      <c r="K16" s="35">
        <f t="shared" si="2"/>
        <v>2.9100000000000001E-2</v>
      </c>
      <c r="N16" s="5" t="s">
        <v>6</v>
      </c>
      <c r="O16" s="11">
        <v>68895503</v>
      </c>
      <c r="P16" s="11">
        <v>5824465</v>
      </c>
      <c r="Q16" s="12">
        <f t="shared" si="3"/>
        <v>8.4540568634791743E-2</v>
      </c>
      <c r="R16" s="9">
        <f t="shared" si="1"/>
        <v>0.99219930260143907</v>
      </c>
      <c r="S16" s="45">
        <v>1.2</v>
      </c>
      <c r="T16" s="47">
        <f t="shared" si="4"/>
        <v>7044308.5191399157</v>
      </c>
      <c r="U16" s="48"/>
      <c r="V16" s="12">
        <f t="shared" si="5"/>
        <v>0.10224627461011375</v>
      </c>
    </row>
    <row r="17" spans="1:23" x14ac:dyDescent="0.25">
      <c r="A17" s="5" t="s">
        <v>48</v>
      </c>
      <c r="B17" s="4">
        <v>1.8200000000000001E-2</v>
      </c>
      <c r="C17" s="4">
        <v>1.41E-2</v>
      </c>
      <c r="D17" s="18">
        <v>1.5900000000000001E-2</v>
      </c>
      <c r="E17" s="24"/>
      <c r="F17" s="4">
        <v>8.0999999999999996E-3</v>
      </c>
      <c r="G17" s="4">
        <v>5.0000000000000001E-3</v>
      </c>
      <c r="H17" s="18">
        <v>6.4999999999999997E-3</v>
      </c>
      <c r="I17" s="24"/>
      <c r="J17" s="34">
        <f t="shared" si="0"/>
        <v>1.1299999999999999E-2</v>
      </c>
      <c r="K17" s="35">
        <f t="shared" si="2"/>
        <v>6.5333333333333328E-3</v>
      </c>
      <c r="N17" s="5" t="s">
        <v>48</v>
      </c>
      <c r="O17" s="11">
        <v>6754787</v>
      </c>
      <c r="P17" s="11">
        <v>604641</v>
      </c>
      <c r="Q17" s="12">
        <f t="shared" si="3"/>
        <v>8.9512963177077229E-2</v>
      </c>
      <c r="R17" s="9">
        <f t="shared" si="1"/>
        <v>1.050557159388843</v>
      </c>
      <c r="S17" s="45">
        <f>T17/O17/Q$23</f>
        <v>1.2383045011537632</v>
      </c>
      <c r="T17" s="47">
        <f>Z13</f>
        <v>712697.70063504472</v>
      </c>
      <c r="U17" s="48"/>
      <c r="V17" s="12">
        <f t="shared" si="5"/>
        <v>0.10551001839658966</v>
      </c>
    </row>
    <row r="18" spans="1:23" x14ac:dyDescent="0.25">
      <c r="A18" s="5" t="s">
        <v>49</v>
      </c>
      <c r="B18" s="4">
        <v>2.5399999999999999E-2</v>
      </c>
      <c r="C18" s="4">
        <v>1.3299999999999999E-2</v>
      </c>
      <c r="D18" s="18">
        <v>1.04E-2</v>
      </c>
      <c r="E18" s="24"/>
      <c r="F18" s="4">
        <v>1.34E-2</v>
      </c>
      <c r="G18" s="4">
        <v>4.0000000000000001E-3</v>
      </c>
      <c r="H18" s="18">
        <v>1.8E-3</v>
      </c>
      <c r="I18" s="24"/>
      <c r="J18" s="34">
        <f t="shared" si="0"/>
        <v>1.1383333333333334E-2</v>
      </c>
      <c r="K18" s="35">
        <f t="shared" si="2"/>
        <v>6.3999999999999994E-3</v>
      </c>
      <c r="N18" s="5" t="s">
        <v>49</v>
      </c>
      <c r="O18" s="11">
        <v>3519981</v>
      </c>
      <c r="P18" s="11">
        <v>288490</v>
      </c>
      <c r="Q18" s="12">
        <f t="shared" si="3"/>
        <v>8.1957828749643816E-2</v>
      </c>
      <c r="R18" s="9">
        <f t="shared" si="1"/>
        <v>0.96188731447281783</v>
      </c>
      <c r="S18" s="45">
        <f>T18/O18/Q$23</f>
        <v>1.2383045011537632</v>
      </c>
      <c r="T18" s="47">
        <f>Z14</f>
        <v>371393.26006564609</v>
      </c>
      <c r="U18" s="48"/>
      <c r="V18" s="12">
        <f t="shared" si="5"/>
        <v>0.10551001839658966</v>
      </c>
    </row>
    <row r="19" spans="1:23" x14ac:dyDescent="0.25">
      <c r="A19" s="5" t="s">
        <v>50</v>
      </c>
      <c r="B19" s="4">
        <v>5.4300000000000001E-2</v>
      </c>
      <c r="C19" s="4">
        <v>4.6600000000000003E-2</v>
      </c>
      <c r="D19" s="18">
        <v>4.65E-2</v>
      </c>
      <c r="E19" s="24"/>
      <c r="F19" s="4">
        <v>6.0100000000000001E-2</v>
      </c>
      <c r="G19" s="4">
        <v>5.16E-2</v>
      </c>
      <c r="H19" s="18">
        <v>5.1400000000000001E-2</v>
      </c>
      <c r="I19" s="24"/>
      <c r="J19" s="34">
        <f t="shared" si="0"/>
        <v>5.1749999999999997E-2</v>
      </c>
      <c r="K19" s="35">
        <f t="shared" si="2"/>
        <v>5.4366666666666667E-2</v>
      </c>
      <c r="N19" s="5" t="s">
        <v>50</v>
      </c>
      <c r="O19" s="11">
        <v>23389325</v>
      </c>
      <c r="P19" s="11">
        <v>1920228</v>
      </c>
      <c r="Q19" s="12">
        <f t="shared" si="3"/>
        <v>8.2098478686323778E-2</v>
      </c>
      <c r="R19" s="9">
        <f t="shared" si="1"/>
        <v>0.9635380340189289</v>
      </c>
      <c r="S19" s="45">
        <f>R19</f>
        <v>0.9635380340189289</v>
      </c>
      <c r="T19" s="47">
        <f t="shared" si="4"/>
        <v>1920228</v>
      </c>
      <c r="U19" s="48"/>
      <c r="V19" s="12">
        <f t="shared" si="5"/>
        <v>8.2098478686323778E-2</v>
      </c>
    </row>
    <row r="20" spans="1:23" x14ac:dyDescent="0.25">
      <c r="A20" s="5" t="s">
        <v>7</v>
      </c>
      <c r="B20" s="4">
        <v>7.8E-2</v>
      </c>
      <c r="C20" s="4">
        <v>2.6599999999999999E-2</v>
      </c>
      <c r="D20" s="18">
        <v>2.7699999999999999E-2</v>
      </c>
      <c r="E20" s="24"/>
      <c r="F20" s="4">
        <v>5.62E-2</v>
      </c>
      <c r="G20" s="4">
        <v>1.7000000000000001E-2</v>
      </c>
      <c r="H20" s="18">
        <v>1.8800000000000001E-2</v>
      </c>
      <c r="I20" s="24"/>
      <c r="J20" s="34">
        <f t="shared" si="0"/>
        <v>3.7383333333333338E-2</v>
      </c>
      <c r="K20" s="35">
        <f t="shared" si="2"/>
        <v>3.0666666666666665E-2</v>
      </c>
      <c r="N20" s="5" t="s">
        <v>7</v>
      </c>
      <c r="O20" s="11">
        <v>244537</v>
      </c>
      <c r="P20" s="11">
        <v>0</v>
      </c>
      <c r="Q20" s="12">
        <f t="shared" si="3"/>
        <v>0</v>
      </c>
      <c r="R20" s="9">
        <f t="shared" si="1"/>
        <v>0</v>
      </c>
      <c r="S20" s="45">
        <v>1</v>
      </c>
      <c r="T20" s="47">
        <f t="shared" si="4"/>
        <v>20835.831045277821</v>
      </c>
      <c r="U20" s="48"/>
      <c r="V20" s="12">
        <f t="shared" si="5"/>
        <v>8.520522884176146E-2</v>
      </c>
    </row>
    <row r="21" spans="1:23" x14ac:dyDescent="0.25">
      <c r="A21" s="5" t="s">
        <v>30</v>
      </c>
      <c r="B21" s="4">
        <v>6.8900000000000003E-2</v>
      </c>
      <c r="C21" s="4">
        <v>5.7000000000000002E-2</v>
      </c>
      <c r="D21" s="18">
        <v>5.1799999999999999E-2</v>
      </c>
      <c r="E21" s="24"/>
      <c r="F21" s="4">
        <v>7.7799999999999994E-2</v>
      </c>
      <c r="G21" s="4">
        <v>6.4299999999999996E-2</v>
      </c>
      <c r="H21" s="18">
        <v>5.8299999999999998E-2</v>
      </c>
      <c r="I21" s="24"/>
      <c r="J21" s="34">
        <f t="shared" si="0"/>
        <v>6.3016666666666665E-2</v>
      </c>
      <c r="K21" s="35">
        <f t="shared" si="2"/>
        <v>6.6799999999999998E-2</v>
      </c>
      <c r="N21" s="5" t="s">
        <v>30</v>
      </c>
      <c r="O21" s="11">
        <v>304220</v>
      </c>
      <c r="P21" s="11">
        <v>20580</v>
      </c>
      <c r="Q21" s="12">
        <f t="shared" si="3"/>
        <v>6.7648412333179933E-2</v>
      </c>
      <c r="R21" s="9">
        <f t="shared" si="1"/>
        <v>0.79394672431210656</v>
      </c>
      <c r="S21" s="45">
        <v>0.7</v>
      </c>
      <c r="T21" s="47">
        <f t="shared" si="4"/>
        <v>18144.794302768471</v>
      </c>
      <c r="U21" s="48"/>
      <c r="V21" s="12">
        <f t="shared" si="5"/>
        <v>5.9643660189233026E-2</v>
      </c>
    </row>
    <row r="22" spans="1:23" x14ac:dyDescent="0.25">
      <c r="A22" s="6"/>
      <c r="B22" s="7"/>
      <c r="C22" s="7"/>
      <c r="D22" s="7"/>
      <c r="E22" s="25"/>
      <c r="F22" s="7"/>
      <c r="G22" s="7"/>
      <c r="H22" s="7"/>
      <c r="I22" s="25"/>
      <c r="J22" s="22"/>
      <c r="K22" s="36"/>
      <c r="N22" s="6" t="s">
        <v>23</v>
      </c>
      <c r="O22" s="13">
        <v>-4334522</v>
      </c>
      <c r="P22" s="13">
        <v>1920271</v>
      </c>
      <c r="Q22" s="14">
        <f>-P22/O22</f>
        <v>0.44301793831015279</v>
      </c>
      <c r="R22" s="10">
        <f t="shared" si="1"/>
        <v>5.1994219642658521</v>
      </c>
      <c r="S22" s="49">
        <f>R22</f>
        <v>5.1994219642658521</v>
      </c>
      <c r="T22" s="50">
        <f>-S22*Q$23*O22</f>
        <v>1920271</v>
      </c>
      <c r="U22" s="48"/>
      <c r="V22" s="12">
        <f t="shared" si="5"/>
        <v>-0.44301793831015279</v>
      </c>
    </row>
    <row r="23" spans="1:23" x14ac:dyDescent="0.25">
      <c r="A23" s="8" t="s">
        <v>15</v>
      </c>
      <c r="B23" s="4">
        <v>4.9200000000000001E-2</v>
      </c>
      <c r="C23" s="4">
        <v>4.9200000000000001E-2</v>
      </c>
      <c r="D23" s="4">
        <v>4.9200000000000001E-2</v>
      </c>
      <c r="E23" s="4"/>
      <c r="F23" s="4">
        <v>4.9200000000000001E-2</v>
      </c>
      <c r="G23" s="4">
        <v>4.9200000000000001E-2</v>
      </c>
      <c r="H23" s="4">
        <v>4.9200000000000001E-2</v>
      </c>
      <c r="I23" s="26"/>
      <c r="J23" s="34">
        <f>AVERAGE(B23:H23)</f>
        <v>4.9200000000000001E-2</v>
      </c>
      <c r="K23" s="35">
        <f t="shared" si="2"/>
        <v>4.9200000000000001E-2</v>
      </c>
      <c r="N23" s="8" t="s">
        <v>15</v>
      </c>
      <c r="O23" s="11">
        <f>SUM(O10:O22)</f>
        <v>1098994971</v>
      </c>
      <c r="P23" s="11">
        <f>SUM(P10:P22)</f>
        <v>93640118</v>
      </c>
      <c r="Q23" s="12">
        <f t="shared" si="3"/>
        <v>8.520522884176146E-2</v>
      </c>
      <c r="R23" s="9">
        <f t="shared" si="1"/>
        <v>1</v>
      </c>
      <c r="S23" s="9"/>
      <c r="T23" s="11">
        <f>SUM(T10:T22)</f>
        <v>93640118</v>
      </c>
      <c r="V23" s="12"/>
    </row>
    <row r="25" spans="1:23" x14ac:dyDescent="0.25">
      <c r="S25" s="1" t="s">
        <v>31</v>
      </c>
      <c r="T25" s="11">
        <f>P23-SUM(T10:T22)</f>
        <v>0</v>
      </c>
    </row>
    <row r="26" spans="1:23" x14ac:dyDescent="0.25">
      <c r="A26" s="52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23" x14ac:dyDescent="0.25">
      <c r="A27" s="19"/>
      <c r="B27" s="52" t="s">
        <v>35</v>
      </c>
      <c r="C27" s="52"/>
      <c r="D27" s="52"/>
      <c r="E27" s="53"/>
      <c r="F27" s="52" t="s">
        <v>36</v>
      </c>
      <c r="G27" s="52"/>
      <c r="H27" s="52"/>
      <c r="I27" s="53"/>
      <c r="J27" s="27"/>
      <c r="K27" s="28" t="s">
        <v>18</v>
      </c>
      <c r="S27" s="1" t="s">
        <v>32</v>
      </c>
      <c r="T27" s="16">
        <f>O11</f>
        <v>170461520</v>
      </c>
      <c r="U27" s="11">
        <f>T27/T29*T25</f>
        <v>0</v>
      </c>
      <c r="V27" s="1">
        <f>U27/T27</f>
        <v>0</v>
      </c>
      <c r="W27" s="12">
        <f>V27/Q23</f>
        <v>0</v>
      </c>
    </row>
    <row r="28" spans="1:23" x14ac:dyDescent="0.25">
      <c r="A28" s="20"/>
      <c r="B28" s="19" t="s">
        <v>9</v>
      </c>
      <c r="C28" s="19"/>
      <c r="D28" s="54"/>
      <c r="E28" s="55"/>
      <c r="F28" s="19" t="s">
        <v>9</v>
      </c>
      <c r="G28" s="19"/>
      <c r="H28" s="54"/>
      <c r="I28" s="55"/>
      <c r="J28" s="29"/>
      <c r="K28" s="30" t="s">
        <v>43</v>
      </c>
      <c r="S28" s="1" t="s">
        <v>33</v>
      </c>
      <c r="T28" s="11">
        <f>O13</f>
        <v>164895598</v>
      </c>
      <c r="U28" s="15">
        <f>T28/T29*T25</f>
        <v>0</v>
      </c>
      <c r="V28" s="1">
        <f>U28/T28</f>
        <v>0</v>
      </c>
      <c r="W28" s="12">
        <f>V28/Q23</f>
        <v>0</v>
      </c>
    </row>
    <row r="29" spans="1:23" x14ac:dyDescent="0.25">
      <c r="A29" s="20"/>
      <c r="B29" s="19" t="s">
        <v>10</v>
      </c>
      <c r="C29" s="19"/>
      <c r="D29" s="19" t="s">
        <v>37</v>
      </c>
      <c r="E29" s="56"/>
      <c r="F29" s="19" t="s">
        <v>10</v>
      </c>
      <c r="G29" s="19"/>
      <c r="H29" s="19" t="s">
        <v>37</v>
      </c>
      <c r="I29" s="56"/>
      <c r="J29" s="19" t="s">
        <v>18</v>
      </c>
      <c r="K29" s="30" t="s">
        <v>44</v>
      </c>
      <c r="S29" s="1" t="s">
        <v>34</v>
      </c>
      <c r="T29" s="11">
        <f>T28+T27</f>
        <v>335357118</v>
      </c>
      <c r="U29" s="11">
        <f>U28+U27</f>
        <v>0</v>
      </c>
      <c r="V29" s="1">
        <f>U29/T29</f>
        <v>0</v>
      </c>
      <c r="W29" s="12">
        <f>V29/Q23</f>
        <v>0</v>
      </c>
    </row>
    <row r="30" spans="1:23" x14ac:dyDescent="0.25">
      <c r="A30" s="20"/>
      <c r="B30" s="19" t="s">
        <v>13</v>
      </c>
      <c r="C30" s="19" t="s">
        <v>40</v>
      </c>
      <c r="D30" s="19" t="s">
        <v>38</v>
      </c>
      <c r="E30" s="56"/>
      <c r="F30" s="19" t="s">
        <v>13</v>
      </c>
      <c r="G30" s="19" t="s">
        <v>40</v>
      </c>
      <c r="H30" s="19" t="s">
        <v>38</v>
      </c>
      <c r="I30" s="56"/>
      <c r="J30" s="19" t="s">
        <v>41</v>
      </c>
      <c r="K30" s="31">
        <v>1</v>
      </c>
    </row>
    <row r="31" spans="1:23" x14ac:dyDescent="0.25">
      <c r="A31" s="21" t="s">
        <v>8</v>
      </c>
      <c r="B31" s="21" t="s">
        <v>12</v>
      </c>
      <c r="C31" s="21" t="s">
        <v>11</v>
      </c>
      <c r="D31" s="21" t="s">
        <v>39</v>
      </c>
      <c r="E31" s="56"/>
      <c r="F31" s="21" t="s">
        <v>12</v>
      </c>
      <c r="G31" s="21" t="s">
        <v>11</v>
      </c>
      <c r="H31" s="21" t="s">
        <v>39</v>
      </c>
      <c r="I31" s="56"/>
      <c r="J31" s="21" t="s">
        <v>42</v>
      </c>
      <c r="K31" s="32" t="s">
        <v>45</v>
      </c>
    </row>
    <row r="32" spans="1:23" x14ac:dyDescent="0.25">
      <c r="E32" s="23"/>
      <c r="I32" s="23"/>
      <c r="J32" s="29"/>
      <c r="K32" s="33"/>
    </row>
    <row r="33" spans="1:11" x14ac:dyDescent="0.25">
      <c r="A33" s="3" t="s">
        <v>0</v>
      </c>
      <c r="B33" s="37">
        <f>B10/B$23</f>
        <v>0.5609756097560975</v>
      </c>
      <c r="C33" s="37">
        <f>C10/C$23</f>
        <v>0.62195121951219512</v>
      </c>
      <c r="D33" s="37">
        <f>D10/D$23</f>
        <v>0.63617886178861793</v>
      </c>
      <c r="E33" s="38"/>
      <c r="F33" s="37">
        <f>F10/F$23</f>
        <v>0.73373983739837401</v>
      </c>
      <c r="G33" s="37">
        <f>G10/G$23</f>
        <v>0.80691056910569103</v>
      </c>
      <c r="H33" s="37">
        <f>H10/H$23</f>
        <v>0.82317073170731714</v>
      </c>
      <c r="I33" s="38"/>
      <c r="J33" s="41">
        <f>J10/J$23</f>
        <v>0.69715447154471555</v>
      </c>
      <c r="K33" s="42">
        <f>K10/K$23</f>
        <v>0.78794037940379413</v>
      </c>
    </row>
    <row r="34" spans="1:11" x14ac:dyDescent="0.25">
      <c r="A34" s="3" t="s">
        <v>1</v>
      </c>
      <c r="B34" s="37">
        <f>B11/B$23</f>
        <v>1.4878048780487805</v>
      </c>
      <c r="C34" s="37">
        <f>C11/C$23</f>
        <v>1.6239837398373984</v>
      </c>
      <c r="D34" s="37">
        <f>D11/D$23</f>
        <v>1.6808943089430892</v>
      </c>
      <c r="E34" s="38"/>
      <c r="F34" s="37">
        <f>F11/F$23</f>
        <v>1.4166666666666665</v>
      </c>
      <c r="G34" s="37">
        <f>G11/G$23</f>
        <v>1.5467479674796747</v>
      </c>
      <c r="H34" s="37">
        <f>H11/H$23</f>
        <v>1.6016260162601625</v>
      </c>
      <c r="I34" s="38"/>
      <c r="J34" s="41">
        <f>J11/J$23</f>
        <v>1.5596205962059619</v>
      </c>
      <c r="K34" s="42">
        <f>K11/K$23</f>
        <v>1.5216802168021677</v>
      </c>
    </row>
    <row r="35" spans="1:11" x14ac:dyDescent="0.25">
      <c r="A35" s="3" t="s">
        <v>2</v>
      </c>
      <c r="B35" s="37">
        <f>B12/B$23</f>
        <v>1.2967479674796747</v>
      </c>
      <c r="C35" s="37">
        <f>C12/C$23</f>
        <v>1.1016260162601625</v>
      </c>
      <c r="D35" s="37">
        <f>D12/D$23</f>
        <v>1.1321138211382114</v>
      </c>
      <c r="E35" s="38"/>
      <c r="F35" s="37">
        <f>F12/F$23</f>
        <v>0.9857723577235773</v>
      </c>
      <c r="G35" s="37">
        <f>G12/G$23</f>
        <v>0.83333333333333337</v>
      </c>
      <c r="H35" s="37">
        <f>H12/H$23</f>
        <v>0.8597560975609756</v>
      </c>
      <c r="I35" s="38"/>
      <c r="J35" s="41">
        <f>J12/J$23</f>
        <v>1.034891598915989</v>
      </c>
      <c r="K35" s="42">
        <f>K12/K$23</f>
        <v>0.89295392953929531</v>
      </c>
    </row>
    <row r="36" spans="1:11" x14ac:dyDescent="0.25">
      <c r="A36" s="5" t="s">
        <v>3</v>
      </c>
      <c r="B36" s="37">
        <f>B13/B$23</f>
        <v>1.7459349593495936</v>
      </c>
      <c r="C36" s="37">
        <f>C13/C$23</f>
        <v>1.6686991869918699</v>
      </c>
      <c r="D36" s="37">
        <f>D13/D$23</f>
        <v>1.7093495934959348</v>
      </c>
      <c r="E36" s="38"/>
      <c r="F36" s="37">
        <f>F13/F$23</f>
        <v>1.4268292682926829</v>
      </c>
      <c r="G36" s="37">
        <f>G13/G$23</f>
        <v>1.3658536585365852</v>
      </c>
      <c r="H36" s="37">
        <f>H13/H$23</f>
        <v>1.3963414634146341</v>
      </c>
      <c r="I36" s="38"/>
      <c r="J36" s="41">
        <f>J13/J$23</f>
        <v>1.5521680216802165</v>
      </c>
      <c r="K36" s="42">
        <f>K13/K$23</f>
        <v>1.3963414634146341</v>
      </c>
    </row>
    <row r="37" spans="1:11" x14ac:dyDescent="0.25">
      <c r="A37" s="5" t="s">
        <v>5</v>
      </c>
      <c r="B37" s="37">
        <f>B14/B$23</f>
        <v>0.92479674796747968</v>
      </c>
      <c r="C37" s="37">
        <f>C14/C$23</f>
        <v>0.72764227642276413</v>
      </c>
      <c r="D37" s="37">
        <f>D14/D$23</f>
        <v>0.76219512195121952</v>
      </c>
      <c r="E37" s="38"/>
      <c r="F37" s="37">
        <f>F14/F$23</f>
        <v>0.6565040650406504</v>
      </c>
      <c r="G37" s="37">
        <f>G14/G$23</f>
        <v>0.5</v>
      </c>
      <c r="H37" s="37">
        <f>H14/H$23</f>
        <v>0.5325203252032521</v>
      </c>
      <c r="I37" s="38"/>
      <c r="J37" s="41">
        <f>J14/J$23</f>
        <v>0.68394308943089432</v>
      </c>
      <c r="K37" s="42">
        <f>K14/K$23</f>
        <v>0.56300813008130091</v>
      </c>
    </row>
    <row r="38" spans="1:11" x14ac:dyDescent="0.25">
      <c r="A38" s="5" t="s">
        <v>4</v>
      </c>
      <c r="B38" s="37">
        <f>B15/B$23</f>
        <v>2.3414634146341462</v>
      </c>
      <c r="C38" s="37">
        <f>C15/C$23</f>
        <v>2.5182926829268291</v>
      </c>
      <c r="D38" s="37">
        <f>D15/D$23</f>
        <v>1.9166666666666665</v>
      </c>
      <c r="E38" s="38"/>
      <c r="F38" s="37">
        <f>F15/F$23</f>
        <v>1.9186991869918699</v>
      </c>
      <c r="G38" s="37">
        <f>G15/G$23</f>
        <v>2.0528455284552845</v>
      </c>
      <c r="H38" s="37">
        <f>H15/H$23</f>
        <v>1.5813008130081299</v>
      </c>
      <c r="I38" s="38"/>
      <c r="J38" s="41">
        <f>J15/J$23</f>
        <v>2.0548780487804872</v>
      </c>
      <c r="K38" s="42">
        <f>K15/K$23</f>
        <v>1.8509485094850948</v>
      </c>
    </row>
    <row r="39" spans="1:11" x14ac:dyDescent="0.25">
      <c r="A39" s="5" t="s">
        <v>6</v>
      </c>
      <c r="B39" s="37">
        <f>B16/B$23</f>
        <v>0.7174796747967479</v>
      </c>
      <c r="C39" s="37">
        <f>C16/C$23</f>
        <v>0.49796747967479676</v>
      </c>
      <c r="D39" s="37">
        <f>D16/D$23</f>
        <v>0.55894308943089432</v>
      </c>
      <c r="E39" s="38"/>
      <c r="F39" s="37">
        <f>F16/F$23</f>
        <v>0.7174796747967479</v>
      </c>
      <c r="G39" s="37">
        <f>G16/G$23</f>
        <v>0.49796747967479676</v>
      </c>
      <c r="H39" s="37">
        <f>H16/H$23</f>
        <v>0.55894308943089432</v>
      </c>
      <c r="I39" s="38"/>
      <c r="J39" s="41">
        <f>J16/J$23</f>
        <v>0.59146341463414631</v>
      </c>
      <c r="K39" s="42">
        <f>K16/K$23</f>
        <v>0.59146341463414631</v>
      </c>
    </row>
    <row r="40" spans="1:11" x14ac:dyDescent="0.25">
      <c r="A40" s="5" t="s">
        <v>48</v>
      </c>
      <c r="B40" s="37">
        <f>B17/B$23</f>
        <v>0.36991869918699188</v>
      </c>
      <c r="C40" s="37">
        <f>C17/C$23</f>
        <v>0.28658536585365851</v>
      </c>
      <c r="D40" s="37">
        <f>D17/D$23</f>
        <v>0.32317073170731708</v>
      </c>
      <c r="E40" s="38"/>
      <c r="F40" s="37">
        <f>F17/F$23</f>
        <v>0.16463414634146339</v>
      </c>
      <c r="G40" s="37">
        <f>G17/G$23</f>
        <v>0.1016260162601626</v>
      </c>
      <c r="H40" s="37">
        <f>H17/H$23</f>
        <v>0.13211382113821138</v>
      </c>
      <c r="I40" s="38"/>
      <c r="J40" s="41">
        <f>J17/J$23</f>
        <v>0.22967479674796745</v>
      </c>
      <c r="K40" s="42">
        <f>K17/K$23</f>
        <v>0.13279132791327913</v>
      </c>
    </row>
    <row r="41" spans="1:11" x14ac:dyDescent="0.25">
      <c r="A41" s="5" t="s">
        <v>49</v>
      </c>
      <c r="B41" s="37">
        <f>B18/B$23</f>
        <v>0.51626016260162599</v>
      </c>
      <c r="C41" s="37">
        <f>C18/C$23</f>
        <v>0.27032520325203252</v>
      </c>
      <c r="D41" s="37">
        <f>D18/D$23</f>
        <v>0.2113821138211382</v>
      </c>
      <c r="E41" s="38"/>
      <c r="F41" s="37">
        <f>F18/F$23</f>
        <v>0.27235772357723576</v>
      </c>
      <c r="G41" s="37">
        <f>G18/G$23</f>
        <v>8.1300813008130079E-2</v>
      </c>
      <c r="H41" s="37">
        <f>H18/H$23</f>
        <v>3.6585365853658534E-2</v>
      </c>
      <c r="I41" s="38"/>
      <c r="J41" s="41">
        <f>J18/J$23</f>
        <v>0.23136856368563685</v>
      </c>
      <c r="K41" s="42">
        <f>K18/K$23</f>
        <v>0.13008130081300812</v>
      </c>
    </row>
    <row r="42" spans="1:11" x14ac:dyDescent="0.25">
      <c r="A42" s="5" t="s">
        <v>50</v>
      </c>
      <c r="B42" s="37">
        <f>B19/B$23</f>
        <v>1.1036585365853659</v>
      </c>
      <c r="C42" s="37">
        <f>C19/C$23</f>
        <v>0.94715447154471544</v>
      </c>
      <c r="D42" s="37">
        <f>D19/D$23</f>
        <v>0.94512195121951215</v>
      </c>
      <c r="E42" s="38"/>
      <c r="F42" s="37">
        <f>F19/F$23</f>
        <v>1.2215447154471544</v>
      </c>
      <c r="G42" s="37">
        <f>G19/G$23</f>
        <v>1.0487804878048781</v>
      </c>
      <c r="H42" s="37">
        <f>H19/H$23</f>
        <v>1.0447154471544715</v>
      </c>
      <c r="I42" s="38"/>
      <c r="J42" s="41">
        <f>J19/J$23</f>
        <v>1.0518292682926829</v>
      </c>
      <c r="K42" s="42">
        <f>K19/K$23</f>
        <v>1.1050135501355014</v>
      </c>
    </row>
    <row r="43" spans="1:11" x14ac:dyDescent="0.25">
      <c r="A43" s="5" t="s">
        <v>7</v>
      </c>
      <c r="B43" s="37">
        <f>B20/B$23</f>
        <v>1.5853658536585367</v>
      </c>
      <c r="C43" s="37">
        <f>C20/C$23</f>
        <v>0.54065040650406504</v>
      </c>
      <c r="D43" s="37">
        <f>D20/D$23</f>
        <v>0.56300813008130079</v>
      </c>
      <c r="E43" s="38"/>
      <c r="F43" s="37">
        <f>F20/F$23</f>
        <v>1.1422764227642277</v>
      </c>
      <c r="G43" s="37">
        <f>G20/G$23</f>
        <v>0.34552845528455284</v>
      </c>
      <c r="H43" s="37">
        <f>H20/H$23</f>
        <v>0.38211382113821141</v>
      </c>
      <c r="I43" s="38"/>
      <c r="J43" s="41">
        <f>J20/J$23</f>
        <v>0.75982384823848248</v>
      </c>
      <c r="K43" s="42">
        <f>K20/K$23</f>
        <v>0.62330623306233057</v>
      </c>
    </row>
    <row r="44" spans="1:11" x14ac:dyDescent="0.25">
      <c r="A44" s="5" t="s">
        <v>30</v>
      </c>
      <c r="B44" s="37">
        <f>B21/B$23</f>
        <v>1.4004065040650406</v>
      </c>
      <c r="C44" s="37">
        <f>C21/C$23</f>
        <v>1.1585365853658536</v>
      </c>
      <c r="D44" s="37">
        <f>D21/D$23</f>
        <v>1.0528455284552845</v>
      </c>
      <c r="E44" s="38"/>
      <c r="F44" s="37">
        <f>F21/F$23</f>
        <v>1.5813008130081299</v>
      </c>
      <c r="G44" s="37">
        <f>G21/G$23</f>
        <v>1.306910569105691</v>
      </c>
      <c r="H44" s="37">
        <f>H21/H$23</f>
        <v>1.1849593495934958</v>
      </c>
      <c r="I44" s="38"/>
      <c r="J44" s="41">
        <f>J21/J$23</f>
        <v>1.2808265582655827</v>
      </c>
      <c r="K44" s="42">
        <f>K21/K$23</f>
        <v>1.3577235772357723</v>
      </c>
    </row>
    <row r="45" spans="1:11" x14ac:dyDescent="0.25">
      <c r="A45" s="6"/>
      <c r="B45" s="39"/>
      <c r="C45" s="39"/>
      <c r="D45" s="39"/>
      <c r="E45" s="40"/>
      <c r="F45" s="39"/>
      <c r="G45" s="39"/>
      <c r="H45" s="39"/>
      <c r="I45" s="40"/>
      <c r="J45" s="43"/>
      <c r="K45" s="44"/>
    </row>
    <row r="46" spans="1:11" x14ac:dyDescent="0.25">
      <c r="A46" s="8" t="s">
        <v>15</v>
      </c>
      <c r="B46" s="37">
        <f>B23/B$23</f>
        <v>1</v>
      </c>
      <c r="C46" s="37">
        <f>C23/C$23</f>
        <v>1</v>
      </c>
      <c r="D46" s="37">
        <f>D23/D$23</f>
        <v>1</v>
      </c>
      <c r="E46" s="38"/>
      <c r="F46" s="37">
        <f>F23/F$23</f>
        <v>1</v>
      </c>
      <c r="G46" s="37">
        <f>G23/G$23</f>
        <v>1</v>
      </c>
      <c r="H46" s="37">
        <f>H23/H$23</f>
        <v>1</v>
      </c>
      <c r="I46" s="38"/>
      <c r="J46" s="41">
        <f>J23/J$23</f>
        <v>1</v>
      </c>
      <c r="K46" s="42">
        <f>K23/K$23</f>
        <v>1</v>
      </c>
    </row>
  </sheetData>
  <mergeCells count="8">
    <mergeCell ref="A1:K1"/>
    <mergeCell ref="A2:K2"/>
    <mergeCell ref="B4:D4"/>
    <mergeCell ref="F4:H4"/>
    <mergeCell ref="A3:K3"/>
    <mergeCell ref="A26:K26"/>
    <mergeCell ref="B27:D27"/>
    <mergeCell ref="F27:H27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2017-03-02T22:14:34Z</cp:lastPrinted>
  <dcterms:created xsi:type="dcterms:W3CDTF">2017-02-25T15:44:15Z</dcterms:created>
  <dcterms:modified xsi:type="dcterms:W3CDTF">2017-03-02T22:14:48Z</dcterms:modified>
</cp:coreProperties>
</file>