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ox Files\Box Sync\Ron.Willhite - U Drive\2016 LGE-KU Rate Case 4-13-17\LGE 2016\RLW Supplemental Testimony\"/>
    </mc:Choice>
  </mc:AlternateContent>
  <bookViews>
    <workbookView xWindow="0" yWindow="0" windowWidth="24000" windowHeight="8910" activeTab="1"/>
  </bookViews>
  <sheets>
    <sheet name="Billing Data" sheetId="1" r:id="rId1"/>
    <sheet name="Rate Design" sheetId="3" r:id="rId2"/>
  </sheets>
  <definedNames>
    <definedName name="_xlnm.Print_Area" localSheetId="0">'Billing Data'!$A$1:$AN$178</definedName>
    <definedName name="_xlnm.Print_Titles" localSheetId="1">'Rate Design'!$1:$10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3" i="3" l="1"/>
  <c r="K136" i="3"/>
  <c r="K137" i="3"/>
  <c r="K139" i="3"/>
  <c r="K140" i="3"/>
  <c r="K132" i="3"/>
  <c r="H148" i="3"/>
  <c r="H150" i="3"/>
  <c r="H160" i="3"/>
  <c r="H159" i="3"/>
  <c r="H157" i="3"/>
  <c r="H156" i="3"/>
  <c r="H153" i="3"/>
  <c r="H152" i="3"/>
  <c r="K159" i="3"/>
  <c r="I163" i="3"/>
  <c r="K153" i="3" s="1"/>
  <c r="J143" i="3"/>
  <c r="I129" i="3" s="1"/>
  <c r="H143" i="3"/>
  <c r="L124" i="3"/>
  <c r="J124" i="3"/>
  <c r="L122" i="3"/>
  <c r="J122" i="3"/>
  <c r="K157" i="3" l="1"/>
  <c r="K152" i="3"/>
  <c r="K156" i="3"/>
  <c r="H162" i="3"/>
  <c r="M162" i="3" s="1"/>
  <c r="K160" i="3"/>
  <c r="I127" i="3"/>
  <c r="I126" i="3"/>
  <c r="J126" i="3" s="1"/>
  <c r="I130" i="3"/>
  <c r="J129" i="3"/>
  <c r="L132" i="3"/>
  <c r="L136" i="3"/>
  <c r="L140" i="3"/>
  <c r="L133" i="3"/>
  <c r="L139" i="3"/>
  <c r="L137" i="3"/>
  <c r="J130" i="3"/>
  <c r="J127" i="3"/>
  <c r="L142" i="3" l="1"/>
  <c r="J142" i="3"/>
  <c r="H127" i="3" l="1"/>
  <c r="H129" i="3"/>
  <c r="H130" i="3"/>
  <c r="H126" i="3"/>
  <c r="H124" i="3"/>
  <c r="H122" i="3"/>
  <c r="AC108" i="3"/>
  <c r="Q100" i="3"/>
  <c r="Q99" i="3"/>
  <c r="Q97" i="3"/>
  <c r="Q96" i="3"/>
  <c r="AC84" i="3"/>
  <c r="H60" i="3"/>
  <c r="H59" i="3"/>
  <c r="H57" i="3"/>
  <c r="H56" i="3"/>
  <c r="H53" i="3"/>
  <c r="H52" i="3"/>
  <c r="Z50" i="3"/>
  <c r="Z49" i="3"/>
  <c r="Z47" i="3"/>
  <c r="Z46" i="3"/>
  <c r="Z44" i="3"/>
  <c r="S44" i="3"/>
  <c r="AB44" i="3" s="1"/>
  <c r="P44" i="3"/>
  <c r="H34" i="3"/>
  <c r="H33" i="3"/>
  <c r="H31" i="3"/>
  <c r="H30" i="3"/>
  <c r="H27" i="3"/>
  <c r="H26" i="3"/>
  <c r="N24" i="3"/>
  <c r="N23" i="3"/>
  <c r="N21" i="3"/>
  <c r="N20" i="3"/>
  <c r="N16" i="3"/>
  <c r="K16" i="3"/>
  <c r="S8" i="3"/>
  <c r="R8" i="3"/>
  <c r="Q8" i="3"/>
  <c r="E80" i="3" s="1"/>
  <c r="X80" i="3" s="1"/>
  <c r="P8" i="3"/>
  <c r="O8" i="3"/>
  <c r="N8" i="3"/>
  <c r="E76" i="3" s="1"/>
  <c r="M8" i="3"/>
  <c r="E73" i="3" s="1"/>
  <c r="L8" i="3"/>
  <c r="E79" i="3" s="1"/>
  <c r="X79" i="3" s="1"/>
  <c r="AA79" i="3" s="1"/>
  <c r="K8" i="3"/>
  <c r="E83" i="3" s="1"/>
  <c r="J8" i="3"/>
  <c r="E86" i="3" s="1"/>
  <c r="I8" i="3"/>
  <c r="E75" i="3" s="1"/>
  <c r="H8" i="3"/>
  <c r="E72" i="3" s="1"/>
  <c r="Q72" i="3" s="1"/>
  <c r="G8" i="3"/>
  <c r="E78" i="3" s="1"/>
  <c r="Q78" i="3" s="1"/>
  <c r="F8" i="3"/>
  <c r="E82" i="3" s="1"/>
  <c r="Q82" i="3" s="1"/>
  <c r="E8" i="3"/>
  <c r="E85" i="3" s="1"/>
  <c r="D8" i="3"/>
  <c r="F70" i="3" s="1"/>
  <c r="C8" i="3"/>
  <c r="B8" i="3"/>
  <c r="D68" i="3" s="1"/>
  <c r="S6" i="3"/>
  <c r="R6" i="3"/>
  <c r="Q6" i="3"/>
  <c r="E54" i="3" s="1"/>
  <c r="P6" i="3"/>
  <c r="O6" i="3"/>
  <c r="N6" i="3"/>
  <c r="E50" i="3" s="1"/>
  <c r="M6" i="3"/>
  <c r="E47" i="3" s="1"/>
  <c r="L6" i="3"/>
  <c r="E53" i="3" s="1"/>
  <c r="K6" i="3"/>
  <c r="E57" i="3" s="1"/>
  <c r="J6" i="3"/>
  <c r="E60" i="3" s="1"/>
  <c r="I6" i="3"/>
  <c r="E49" i="3" s="1"/>
  <c r="H6" i="3"/>
  <c r="E46" i="3" s="1"/>
  <c r="G6" i="3"/>
  <c r="E52" i="3" s="1"/>
  <c r="F6" i="3"/>
  <c r="E56" i="3" s="1"/>
  <c r="Q56" i="3" s="1"/>
  <c r="E6" i="3"/>
  <c r="E59" i="3" s="1"/>
  <c r="X59" i="3" s="1"/>
  <c r="D6" i="3"/>
  <c r="F44" i="3" s="1"/>
  <c r="C6" i="3"/>
  <c r="B6" i="3"/>
  <c r="D42" i="3" s="1"/>
  <c r="Q42" i="3" s="1"/>
  <c r="S4" i="3"/>
  <c r="R4" i="3"/>
  <c r="Q4" i="3"/>
  <c r="E28" i="3" s="1"/>
  <c r="P4" i="3"/>
  <c r="O4" i="3"/>
  <c r="N4" i="3"/>
  <c r="E24" i="3" s="1"/>
  <c r="K24" i="3" s="1"/>
  <c r="M4" i="3"/>
  <c r="E21" i="3" s="1"/>
  <c r="K21" i="3" s="1"/>
  <c r="L4" i="3"/>
  <c r="E27" i="3" s="1"/>
  <c r="N27" i="3" s="1"/>
  <c r="K4" i="3"/>
  <c r="E31" i="3" s="1"/>
  <c r="N31" i="3" s="1"/>
  <c r="J4" i="3"/>
  <c r="E34" i="3" s="1"/>
  <c r="N34" i="3" s="1"/>
  <c r="I4" i="3"/>
  <c r="E23" i="3" s="1"/>
  <c r="K23" i="3" s="1"/>
  <c r="H4" i="3"/>
  <c r="E20" i="3" s="1"/>
  <c r="K20" i="3" s="1"/>
  <c r="G4" i="3"/>
  <c r="E26" i="3" s="1"/>
  <c r="N26" i="3" s="1"/>
  <c r="F4" i="3"/>
  <c r="E30" i="3" s="1"/>
  <c r="N30" i="3" s="1"/>
  <c r="E4" i="3"/>
  <c r="E33" i="3" s="1"/>
  <c r="N33" i="3" s="1"/>
  <c r="D4" i="3"/>
  <c r="F18" i="3" s="1"/>
  <c r="N18" i="3" s="1"/>
  <c r="C4" i="3"/>
  <c r="B4" i="3"/>
  <c r="D16" i="3" s="1"/>
  <c r="H16" i="3" s="1"/>
  <c r="H142" i="3" l="1"/>
  <c r="Y70" i="3"/>
  <c r="AC70" i="3" s="1"/>
  <c r="K70" i="3"/>
  <c r="Q83" i="3"/>
  <c r="X83" i="3"/>
  <c r="X52" i="3"/>
  <c r="Q52" i="3"/>
  <c r="E102" i="3"/>
  <c r="Q57" i="3"/>
  <c r="E107" i="3"/>
  <c r="X57" i="3"/>
  <c r="X85" i="3"/>
  <c r="Q85" i="3"/>
  <c r="E109" i="3"/>
  <c r="X75" i="3"/>
  <c r="K75" i="3"/>
  <c r="T75" i="3" s="1"/>
  <c r="Q75" i="3"/>
  <c r="W68" i="3"/>
  <c r="K68" i="3"/>
  <c r="N68" i="3"/>
  <c r="H68" i="3"/>
  <c r="T68" i="3"/>
  <c r="Q68" i="3"/>
  <c r="K73" i="3"/>
  <c r="T73" i="3" s="1"/>
  <c r="Q73" i="3"/>
  <c r="K50" i="3"/>
  <c r="T50" i="3" s="1"/>
  <c r="E100" i="3"/>
  <c r="AA83" i="3"/>
  <c r="X46" i="3"/>
  <c r="K46" i="3"/>
  <c r="T46" i="3" s="1"/>
  <c r="X53" i="3"/>
  <c r="E103" i="3"/>
  <c r="X82" i="3"/>
  <c r="E106" i="3"/>
  <c r="X86" i="3"/>
  <c r="X76" i="3"/>
  <c r="K76" i="3"/>
  <c r="T76" i="3" s="1"/>
  <c r="K63" i="3"/>
  <c r="T70" i="3"/>
  <c r="H70" i="3"/>
  <c r="Q70" i="3"/>
  <c r="N70" i="3"/>
  <c r="X73" i="3"/>
  <c r="E96" i="3"/>
  <c r="K18" i="3"/>
  <c r="K36" i="3" s="1"/>
  <c r="K44" i="3"/>
  <c r="Y44" i="3"/>
  <c r="F94" i="3"/>
  <c r="T44" i="3"/>
  <c r="N44" i="3"/>
  <c r="Q60" i="3"/>
  <c r="E110" i="3"/>
  <c r="Q79" i="3"/>
  <c r="D92" i="3"/>
  <c r="N42" i="3"/>
  <c r="K42" i="3"/>
  <c r="W42" i="3"/>
  <c r="H42" i="3"/>
  <c r="H44" i="3"/>
  <c r="E99" i="3"/>
  <c r="X49" i="3"/>
  <c r="K49" i="3"/>
  <c r="T49" i="3" s="1"/>
  <c r="K47" i="3"/>
  <c r="T47" i="3" s="1"/>
  <c r="X47" i="3"/>
  <c r="E97" i="3"/>
  <c r="E104" i="3"/>
  <c r="X104" i="3" s="1"/>
  <c r="H18" i="3"/>
  <c r="H36" i="3" s="1"/>
  <c r="T42" i="3"/>
  <c r="Q44" i="3"/>
  <c r="X50" i="3"/>
  <c r="Q53" i="3"/>
  <c r="Q76" i="3"/>
  <c r="Q86" i="3"/>
  <c r="N36" i="3"/>
  <c r="Q59" i="3"/>
  <c r="X56" i="3"/>
  <c r="K72" i="3"/>
  <c r="T72" i="3" s="1"/>
  <c r="X72" i="3"/>
  <c r="X78" i="3"/>
  <c r="H62" i="3" l="1"/>
  <c r="N142" i="3"/>
  <c r="Q62" i="3"/>
  <c r="AA70" i="3"/>
  <c r="AA49" i="3"/>
  <c r="Q88" i="3"/>
  <c r="K88" i="3"/>
  <c r="Q109" i="3"/>
  <c r="X109" i="3"/>
  <c r="X107" i="3"/>
  <c r="Q107" i="3"/>
  <c r="K62" i="3"/>
  <c r="N94" i="3"/>
  <c r="K94" i="3"/>
  <c r="Y94" i="3"/>
  <c r="H94" i="3"/>
  <c r="T94" i="3"/>
  <c r="Q94" i="3"/>
  <c r="AA86" i="3"/>
  <c r="AA46" i="3"/>
  <c r="AC68" i="3"/>
  <c r="AA68" i="3"/>
  <c r="AA78" i="3"/>
  <c r="AA50" i="3"/>
  <c r="AA44" i="3"/>
  <c r="AC44" i="3"/>
  <c r="X96" i="3"/>
  <c r="K116" i="3"/>
  <c r="K96" i="3"/>
  <c r="T96" i="3" s="1"/>
  <c r="X103" i="3"/>
  <c r="Q103" i="3"/>
  <c r="K100" i="3"/>
  <c r="T100" i="3" s="1"/>
  <c r="X100" i="3"/>
  <c r="AA85" i="3"/>
  <c r="AA47" i="3"/>
  <c r="AA42" i="3"/>
  <c r="AC42" i="3"/>
  <c r="AA82" i="3"/>
  <c r="Q116" i="3"/>
  <c r="Q102" i="3"/>
  <c r="X102" i="3"/>
  <c r="K99" i="3"/>
  <c r="T99" i="3" s="1"/>
  <c r="X99" i="3"/>
  <c r="Q110" i="3"/>
  <c r="X110" i="3"/>
  <c r="M50" i="3"/>
  <c r="M49" i="3"/>
  <c r="M46" i="3"/>
  <c r="M47" i="3"/>
  <c r="X97" i="3"/>
  <c r="K97" i="3"/>
  <c r="T97" i="3" s="1"/>
  <c r="Q92" i="3"/>
  <c r="W92" i="3"/>
  <c r="H92" i="3"/>
  <c r="T92" i="3"/>
  <c r="N92" i="3"/>
  <c r="K92" i="3"/>
  <c r="Q106" i="3"/>
  <c r="X106" i="3"/>
  <c r="N49" i="3" l="1"/>
  <c r="AB49" i="3"/>
  <c r="AC49" i="3" s="1"/>
  <c r="K112" i="3"/>
  <c r="AB50" i="3"/>
  <c r="AC50" i="3" s="1"/>
  <c r="N50" i="3"/>
  <c r="AA94" i="3"/>
  <c r="AC94" i="3"/>
  <c r="Q112" i="3"/>
  <c r="AB47" i="3"/>
  <c r="AC47" i="3" s="1"/>
  <c r="N47" i="3"/>
  <c r="M96" i="3"/>
  <c r="N96" i="3" s="1"/>
  <c r="M75" i="3"/>
  <c r="N75" i="3" s="1"/>
  <c r="M97" i="3"/>
  <c r="N97" i="3" s="1"/>
  <c r="M100" i="3"/>
  <c r="N100" i="3" s="1"/>
  <c r="M73" i="3"/>
  <c r="N73" i="3" s="1"/>
  <c r="M99" i="3"/>
  <c r="N99" i="3" s="1"/>
  <c r="M76" i="3"/>
  <c r="N76" i="3" s="1"/>
  <c r="M72" i="3"/>
  <c r="N72" i="3" s="1"/>
  <c r="AA109" i="3"/>
  <c r="AC92" i="3"/>
  <c r="AA92" i="3"/>
  <c r="AA102" i="3"/>
  <c r="AA106" i="3"/>
  <c r="AB46" i="3"/>
  <c r="AC46" i="3" s="1"/>
  <c r="N46" i="3"/>
  <c r="AA110" i="3"/>
  <c r="S109" i="3"/>
  <c r="S53" i="3"/>
  <c r="T53" i="3" s="1"/>
  <c r="S106" i="3"/>
  <c r="S103" i="3"/>
  <c r="S60" i="3"/>
  <c r="T60" i="3" s="1"/>
  <c r="S59" i="3"/>
  <c r="T59" i="3" s="1"/>
  <c r="S107" i="3"/>
  <c r="S57" i="3"/>
  <c r="T57" i="3" s="1"/>
  <c r="S56" i="3"/>
  <c r="T56" i="3" s="1"/>
  <c r="S110" i="3"/>
  <c r="S102" i="3"/>
  <c r="S52" i="3"/>
  <c r="T52" i="3" s="1"/>
  <c r="AA62" i="3"/>
  <c r="AA103" i="3"/>
  <c r="AA88" i="3"/>
  <c r="AA107" i="3"/>
  <c r="N62" i="3" l="1"/>
  <c r="O62" i="3" s="1"/>
  <c r="AC62" i="3"/>
  <c r="AD62" i="3" s="1"/>
  <c r="N112" i="3"/>
  <c r="O112" i="3" s="1"/>
  <c r="AB102" i="3"/>
  <c r="T102" i="3"/>
  <c r="AB106" i="3"/>
  <c r="T106" i="3"/>
  <c r="AA112" i="3"/>
  <c r="AB109" i="3"/>
  <c r="T109" i="3"/>
  <c r="N88" i="3"/>
  <c r="O89" i="3" s="1"/>
  <c r="Q89" i="3" s="1"/>
  <c r="AB107" i="3"/>
  <c r="T107" i="3"/>
  <c r="AB110" i="3"/>
  <c r="T110" i="3"/>
  <c r="T62" i="3"/>
  <c r="U62" i="3" s="1"/>
  <c r="AB103" i="3"/>
  <c r="T103" i="3"/>
  <c r="N114" i="3"/>
  <c r="S83" i="3" l="1"/>
  <c r="S79" i="3"/>
  <c r="S85" i="3"/>
  <c r="S86" i="3"/>
  <c r="S78" i="3"/>
  <c r="S82" i="3"/>
  <c r="H110" i="3"/>
  <c r="AC110" i="3"/>
  <c r="H106" i="3"/>
  <c r="AC106" i="3"/>
  <c r="H109" i="3"/>
  <c r="AC109" i="3"/>
  <c r="T112" i="3"/>
  <c r="H103" i="3"/>
  <c r="AC103" i="3"/>
  <c r="H107" i="3"/>
  <c r="AC107" i="3"/>
  <c r="H102" i="3"/>
  <c r="AC102" i="3"/>
  <c r="H126" i="1"/>
  <c r="J128" i="1"/>
  <c r="J132" i="1" s="1"/>
  <c r="H132" i="1"/>
  <c r="AC112" i="3" l="1"/>
  <c r="AD112" i="3" s="1"/>
  <c r="AB86" i="3"/>
  <c r="T86" i="3"/>
  <c r="AB85" i="3"/>
  <c r="T85" i="3"/>
  <c r="AB82" i="3"/>
  <c r="T82" i="3"/>
  <c r="AB79" i="3"/>
  <c r="T79" i="3"/>
  <c r="H112" i="3"/>
  <c r="T114" i="3"/>
  <c r="U112" i="3"/>
  <c r="AB78" i="3"/>
  <c r="T78" i="3"/>
  <c r="AB83" i="3"/>
  <c r="T83" i="3"/>
  <c r="B4" i="1"/>
  <c r="H78" i="3" l="1"/>
  <c r="AC78" i="3"/>
  <c r="H79" i="3"/>
  <c r="AC79" i="3"/>
  <c r="H85" i="3"/>
  <c r="AC85" i="3"/>
  <c r="H83" i="3"/>
  <c r="AC83" i="3"/>
  <c r="T88" i="3"/>
  <c r="U89" i="3" s="1"/>
  <c r="H82" i="3"/>
  <c r="AC82" i="3"/>
  <c r="H86" i="3"/>
  <c r="AC86" i="3"/>
  <c r="U92" i="1"/>
  <c r="V92" i="1" s="1"/>
  <c r="T92" i="1"/>
  <c r="S92" i="1"/>
  <c r="AC88" i="3" l="1"/>
  <c r="AD88" i="3" s="1"/>
  <c r="H88" i="3"/>
  <c r="P60" i="1"/>
  <c r="P44" i="1"/>
  <c r="P28" i="1"/>
  <c r="P12" i="1"/>
  <c r="P7" i="1" l="1"/>
  <c r="S17" i="1" l="1"/>
  <c r="S16" i="1"/>
  <c r="S15" i="1"/>
  <c r="S33" i="1"/>
  <c r="S32" i="1"/>
  <c r="S31" i="1"/>
  <c r="S49" i="1"/>
  <c r="S48" i="1"/>
  <c r="S47" i="1"/>
  <c r="S65" i="1"/>
  <c r="S64" i="1"/>
  <c r="S63" i="1"/>
  <c r="S81" i="1"/>
  <c r="S80" i="1"/>
  <c r="S79" i="1"/>
  <c r="P71" i="1" l="1"/>
  <c r="P55" i="1"/>
  <c r="P39" i="1"/>
  <c r="P23" i="1"/>
  <c r="P21" i="1"/>
  <c r="P37" i="1"/>
  <c r="P69" i="1"/>
  <c r="P73" i="1" s="1"/>
  <c r="P53" i="1"/>
  <c r="O73" i="1"/>
  <c r="M73" i="1"/>
  <c r="S73" i="1"/>
  <c r="S75" i="1" s="1"/>
  <c r="S77" i="1" s="1"/>
  <c r="S57" i="1"/>
  <c r="S59" i="1" s="1"/>
  <c r="S61" i="1" s="1"/>
  <c r="S43" i="1"/>
  <c r="S45" i="1" s="1"/>
  <c r="S41" i="1"/>
  <c r="S25" i="1"/>
  <c r="S27" i="1" s="1"/>
  <c r="S29" i="1" s="1"/>
  <c r="S9" i="1"/>
  <c r="S11" i="1" s="1"/>
  <c r="S13" i="1" s="1"/>
  <c r="O25" i="1" l="1"/>
  <c r="M25" i="1"/>
  <c r="K25" i="1"/>
  <c r="J25" i="1"/>
  <c r="H25" i="1"/>
  <c r="G25" i="1"/>
  <c r="E25" i="1"/>
  <c r="D25" i="1"/>
  <c r="X79" i="1" l="1"/>
  <c r="X81" i="1"/>
  <c r="X63" i="1"/>
  <c r="X46" i="1"/>
  <c r="X30" i="1"/>
  <c r="X65" i="1"/>
  <c r="X48" i="1"/>
  <c r="X32" i="1"/>
  <c r="X16" i="1"/>
  <c r="X14" i="1"/>
  <c r="X83" i="1" l="1"/>
  <c r="Y83" i="1" s="1"/>
  <c r="X67" i="1"/>
  <c r="Y67" i="1" s="1"/>
  <c r="X50" i="1"/>
  <c r="Y50" i="1" s="1"/>
  <c r="X18" i="1"/>
  <c r="Y18" i="1" s="1"/>
  <c r="X34" i="1"/>
  <c r="Y34" i="1" s="1"/>
  <c r="AA83" i="1" l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Z89" i="1"/>
  <c r="Z87" i="1"/>
  <c r="Z85" i="1"/>
  <c r="T106" i="1" l="1"/>
  <c r="AA135" i="1"/>
  <c r="AA150" i="1"/>
  <c r="AG150" i="1" s="1"/>
  <c r="AA145" i="1"/>
  <c r="AA153" i="1"/>
  <c r="AG153" i="1" s="1"/>
  <c r="AA149" i="1"/>
  <c r="AG149" i="1" s="1"/>
  <c r="S106" i="1"/>
  <c r="G109" i="1"/>
  <c r="G111" i="1" s="1"/>
  <c r="AA147" i="1"/>
  <c r="AA152" i="1"/>
  <c r="AG152" i="1" s="1"/>
  <c r="AI152" i="1" s="1"/>
  <c r="AK152" i="1" s="1"/>
  <c r="J109" i="1"/>
  <c r="J111" i="1" s="1"/>
  <c r="AA171" i="1"/>
  <c r="AA169" i="1"/>
  <c r="AA146" i="1"/>
  <c r="AD146" i="1" s="1"/>
  <c r="AI146" i="1" s="1"/>
  <c r="AK146" i="1" s="1"/>
  <c r="AG135" i="1"/>
  <c r="AA172" i="1"/>
  <c r="AA168" i="1"/>
  <c r="AA164" i="1"/>
  <c r="AA132" i="1"/>
  <c r="AG132" i="1" s="1"/>
  <c r="AA134" i="1"/>
  <c r="AG134" i="1" s="1"/>
  <c r="AA165" i="1"/>
  <c r="AA131" i="1"/>
  <c r="AG131" i="1" s="1"/>
  <c r="AG145" i="1"/>
  <c r="AD145" i="1"/>
  <c r="AG147" i="1"/>
  <c r="AI147" i="1" s="1"/>
  <c r="AK147" i="1" s="1"/>
  <c r="AD152" i="1"/>
  <c r="AD134" i="1"/>
  <c r="AD153" i="1"/>
  <c r="AD131" i="1"/>
  <c r="AD150" i="1"/>
  <c r="AD135" i="1"/>
  <c r="AI135" i="1" s="1"/>
  <c r="AK135" i="1" s="1"/>
  <c r="X85" i="1"/>
  <c r="AB121" i="1" s="1"/>
  <c r="X87" i="1"/>
  <c r="X89" i="1"/>
  <c r="W89" i="1"/>
  <c r="W87" i="1"/>
  <c r="W85" i="1"/>
  <c r="AD132" i="1" l="1"/>
  <c r="AI132" i="1" s="1"/>
  <c r="AK132" i="1" s="1"/>
  <c r="AD149" i="1"/>
  <c r="AI149" i="1" s="1"/>
  <c r="AK149" i="1" s="1"/>
  <c r="AI145" i="1"/>
  <c r="AK145" i="1" s="1"/>
  <c r="AI153" i="1"/>
  <c r="AK153" i="1" s="1"/>
  <c r="AI134" i="1"/>
  <c r="AK134" i="1" s="1"/>
  <c r="AD168" i="1"/>
  <c r="AD165" i="1"/>
  <c r="AD172" i="1"/>
  <c r="AD169" i="1"/>
  <c r="AD171" i="1"/>
  <c r="AF177" i="1"/>
  <c r="AD164" i="1"/>
  <c r="AI131" i="1"/>
  <c r="AK131" i="1" s="1"/>
  <c r="AB129" i="1"/>
  <c r="AD129" i="1" s="1"/>
  <c r="S103" i="1"/>
  <c r="X137" i="1"/>
  <c r="S105" i="1"/>
  <c r="AI150" i="1"/>
  <c r="AK150" i="1" s="1"/>
  <c r="T105" i="1"/>
  <c r="X155" i="1"/>
  <c r="AB143" i="1"/>
  <c r="T103" i="1"/>
  <c r="X123" i="1"/>
  <c r="Q105" i="1"/>
  <c r="V91" i="1"/>
  <c r="V93" i="1" s="1"/>
  <c r="T86" i="1"/>
  <c r="T89" i="1" s="1"/>
  <c r="S112" i="1" s="1"/>
  <c r="U86" i="1"/>
  <c r="U89" i="1" s="1"/>
  <c r="T112" i="1" s="1"/>
  <c r="S86" i="1"/>
  <c r="S89" i="1" s="1"/>
  <c r="U73" i="1"/>
  <c r="U75" i="1" s="1"/>
  <c r="U77" i="1" s="1"/>
  <c r="T73" i="1"/>
  <c r="T75" i="1" s="1"/>
  <c r="T77" i="1" s="1"/>
  <c r="T107" i="1" l="1"/>
  <c r="S107" i="1"/>
  <c r="R107" i="1" s="1"/>
  <c r="R105" i="1"/>
  <c r="AF172" i="1"/>
  <c r="AG172" i="1" s="1"/>
  <c r="AF166" i="1"/>
  <c r="AF169" i="1"/>
  <c r="AG169" i="1" s="1"/>
  <c r="AF171" i="1"/>
  <c r="AG171" i="1" s="1"/>
  <c r="AF165" i="1"/>
  <c r="AG165" i="1" s="1"/>
  <c r="AI165" i="1" s="1"/>
  <c r="AK165" i="1" s="1"/>
  <c r="AF164" i="1"/>
  <c r="AG164" i="1" s="1"/>
  <c r="AF168" i="1"/>
  <c r="AG168" i="1" s="1"/>
  <c r="AB162" i="1"/>
  <c r="AG129" i="1"/>
  <c r="AI129" i="1" s="1"/>
  <c r="AK129" i="1" s="1"/>
  <c r="AG143" i="1"/>
  <c r="AD143" i="1"/>
  <c r="S91" i="1"/>
  <c r="S93" i="1" s="1"/>
  <c r="Q109" i="1" s="1"/>
  <c r="Q112" i="1"/>
  <c r="U91" i="1"/>
  <c r="U93" i="1" s="1"/>
  <c r="T109" i="1" s="1"/>
  <c r="T91" i="1"/>
  <c r="T93" i="1" s="1"/>
  <c r="S109" i="1" s="1"/>
  <c r="U57" i="1"/>
  <c r="U59" i="1" s="1"/>
  <c r="U61" i="1" s="1"/>
  <c r="T57" i="1"/>
  <c r="T59" i="1" s="1"/>
  <c r="T61" i="1" s="1"/>
  <c r="U43" i="1"/>
  <c r="U45" i="1" s="1"/>
  <c r="T43" i="1"/>
  <c r="T45" i="1" s="1"/>
  <c r="U41" i="1"/>
  <c r="T41" i="1"/>
  <c r="U25" i="1"/>
  <c r="U27" i="1" s="1"/>
  <c r="U29" i="1" s="1"/>
  <c r="T25" i="1"/>
  <c r="T27" i="1" s="1"/>
  <c r="T29" i="1" s="1"/>
  <c r="U9" i="1"/>
  <c r="U11" i="1" s="1"/>
  <c r="U13" i="1" s="1"/>
  <c r="T9" i="1"/>
  <c r="T11" i="1" s="1"/>
  <c r="T13" i="1" s="1"/>
  <c r="AD162" i="1" l="1"/>
  <c r="AG162" i="1"/>
  <c r="AI143" i="1"/>
  <c r="AK143" i="1" s="1"/>
  <c r="G71" i="1"/>
  <c r="G73" i="1" s="1"/>
  <c r="K71" i="1"/>
  <c r="K73" i="1" s="1"/>
  <c r="E71" i="1"/>
  <c r="E73" i="1" s="1"/>
  <c r="J71" i="1"/>
  <c r="J73" i="1" s="1"/>
  <c r="D71" i="1"/>
  <c r="D73" i="1" s="1"/>
  <c r="H71" i="1"/>
  <c r="H73" i="1" s="1"/>
  <c r="AI162" i="1" l="1"/>
  <c r="AK162" i="1" s="1"/>
  <c r="D97" i="1"/>
  <c r="D95" i="1"/>
  <c r="J83" i="1"/>
  <c r="J99" i="1" s="1"/>
  <c r="G83" i="1"/>
  <c r="G99" i="1" s="1"/>
  <c r="E83" i="1"/>
  <c r="D83" i="1"/>
  <c r="E67" i="1"/>
  <c r="D67" i="1"/>
  <c r="E51" i="1"/>
  <c r="D51" i="1"/>
  <c r="E35" i="1"/>
  <c r="D35" i="1"/>
  <c r="E19" i="1"/>
  <c r="D19" i="1"/>
  <c r="Z141" i="1" l="1"/>
  <c r="Z127" i="1"/>
  <c r="S101" i="1"/>
  <c r="Z119" i="1"/>
  <c r="AG119" i="1" s="1"/>
  <c r="Q101" i="1"/>
  <c r="E99" i="1"/>
  <c r="D99" i="1"/>
  <c r="R101" i="1" s="1"/>
  <c r="O85" i="1"/>
  <c r="P25" i="1"/>
  <c r="O87" i="1"/>
  <c r="Q103" i="1" s="1"/>
  <c r="D109" i="1" l="1"/>
  <c r="D111" i="1" s="1"/>
  <c r="AG141" i="1"/>
  <c r="Z160" i="1"/>
  <c r="AD119" i="1"/>
  <c r="AI119" i="1" s="1"/>
  <c r="AK119" i="1" s="1"/>
  <c r="P85" i="1"/>
  <c r="P87" i="1"/>
  <c r="AG160" i="1" l="1"/>
  <c r="AD160" i="1"/>
  <c r="AD174" i="1" s="1"/>
  <c r="AD176" i="1" s="1"/>
  <c r="AD178" i="1" s="1"/>
  <c r="J105" i="1"/>
  <c r="J107" i="1" s="1"/>
  <c r="J113" i="1" s="1"/>
  <c r="T116" i="1" s="1"/>
  <c r="G105" i="1"/>
  <c r="G107" i="1" s="1"/>
  <c r="G113" i="1" s="1"/>
  <c r="S116" i="1" s="1"/>
  <c r="D105" i="1"/>
  <c r="D107" i="1" s="1"/>
  <c r="D113" i="1" s="1"/>
  <c r="R116" i="1" l="1"/>
  <c r="AG174" i="1"/>
  <c r="AI160" i="1"/>
  <c r="AK160" i="1" s="1"/>
  <c r="O91" i="1"/>
  <c r="M87" i="1"/>
  <c r="K87" i="1"/>
  <c r="J87" i="1"/>
  <c r="H87" i="1"/>
  <c r="G87" i="1"/>
  <c r="E87" i="1"/>
  <c r="D87" i="1"/>
  <c r="E85" i="1"/>
  <c r="D85" i="1"/>
  <c r="M85" i="1"/>
  <c r="K85" i="1"/>
  <c r="J85" i="1"/>
  <c r="H85" i="1"/>
  <c r="G85" i="1"/>
  <c r="M77" i="1"/>
  <c r="E77" i="1"/>
  <c r="D77" i="1"/>
  <c r="P75" i="1"/>
  <c r="P77" i="1" s="1"/>
  <c r="K77" i="1"/>
  <c r="J77" i="1"/>
  <c r="H77" i="1"/>
  <c r="G77" i="1"/>
  <c r="M61" i="1"/>
  <c r="P57" i="1"/>
  <c r="P59" i="1" s="1"/>
  <c r="P61" i="1" s="1"/>
  <c r="O57" i="1"/>
  <c r="M57" i="1"/>
  <c r="K57" i="1"/>
  <c r="J57" i="1"/>
  <c r="H57" i="1"/>
  <c r="G57" i="1"/>
  <c r="E57" i="1"/>
  <c r="D57" i="1"/>
  <c r="D61" i="1" l="1"/>
  <c r="E61" i="1"/>
  <c r="H61" i="1"/>
  <c r="K61" i="1"/>
  <c r="L87" i="1"/>
  <c r="P79" i="1"/>
  <c r="P80" i="1"/>
  <c r="P81" i="1"/>
  <c r="P65" i="1"/>
  <c r="P64" i="1"/>
  <c r="P63" i="1"/>
  <c r="F87" i="1"/>
  <c r="I87" i="1"/>
  <c r="G61" i="1" l="1"/>
  <c r="J61" i="1"/>
  <c r="P41" i="1"/>
  <c r="P9" i="1"/>
  <c r="M45" i="1"/>
  <c r="M13" i="1"/>
  <c r="M29" i="1"/>
  <c r="O9" i="1"/>
  <c r="M9" i="1"/>
  <c r="K9" i="1"/>
  <c r="J9" i="1"/>
  <c r="H9" i="1"/>
  <c r="G9" i="1"/>
  <c r="E9" i="1"/>
  <c r="D9" i="1"/>
  <c r="K29" i="1"/>
  <c r="J29" i="1"/>
  <c r="H29" i="1"/>
  <c r="G29" i="1"/>
  <c r="E29" i="1"/>
  <c r="D29" i="1"/>
  <c r="O41" i="1"/>
  <c r="M41" i="1"/>
  <c r="K41" i="1"/>
  <c r="J41" i="1"/>
  <c r="H41" i="1"/>
  <c r="G41" i="1"/>
  <c r="E41" i="1"/>
  <c r="D41" i="1"/>
  <c r="O88" i="1"/>
  <c r="J89" i="1"/>
  <c r="G89" i="1"/>
  <c r="D89" i="1"/>
  <c r="P89" i="1" l="1"/>
  <c r="D45" i="1"/>
  <c r="E45" i="1"/>
  <c r="K45" i="1"/>
  <c r="H45" i="1"/>
  <c r="O89" i="1"/>
  <c r="R103" i="1" s="1"/>
  <c r="F85" i="1"/>
  <c r="L85" i="1"/>
  <c r="K99" i="1"/>
  <c r="M93" i="1"/>
  <c r="T101" i="1"/>
  <c r="I85" i="1"/>
  <c r="D13" i="1"/>
  <c r="E13" i="1"/>
  <c r="E89" i="1"/>
  <c r="F89" i="1" s="1"/>
  <c r="K89" i="1"/>
  <c r="L89" i="1" s="1"/>
  <c r="H89" i="1"/>
  <c r="I89" i="1" s="1"/>
  <c r="M89" i="1"/>
  <c r="H99" i="1"/>
  <c r="P43" i="1"/>
  <c r="P45" i="1" s="1"/>
  <c r="P49" i="1" s="1"/>
  <c r="P27" i="1"/>
  <c r="P29" i="1" s="1"/>
  <c r="P11" i="1"/>
  <c r="R112" i="1" l="1"/>
  <c r="P91" i="1"/>
  <c r="P93" i="1" s="1"/>
  <c r="AD141" i="1"/>
  <c r="AD155" i="1" s="1"/>
  <c r="AD127" i="1"/>
  <c r="AD137" i="1" s="1"/>
  <c r="W137" i="1" s="1"/>
  <c r="AG127" i="1"/>
  <c r="AD121" i="1"/>
  <c r="AD123" i="1" s="1"/>
  <c r="W123" i="1" s="1"/>
  <c r="AG121" i="1"/>
  <c r="G45" i="1"/>
  <c r="J45" i="1"/>
  <c r="E93" i="1"/>
  <c r="D93" i="1"/>
  <c r="P32" i="1"/>
  <c r="P31" i="1"/>
  <c r="P13" i="1"/>
  <c r="P17" i="1" s="1"/>
  <c r="J13" i="1"/>
  <c r="G13" i="1"/>
  <c r="J93" i="1"/>
  <c r="P48" i="1"/>
  <c r="P47" i="1"/>
  <c r="P33" i="1"/>
  <c r="R109" i="1" l="1"/>
  <c r="P97" i="1"/>
  <c r="P96" i="1"/>
  <c r="P95" i="1"/>
  <c r="W155" i="1"/>
  <c r="AB176" i="1"/>
  <c r="AG155" i="1"/>
  <c r="AI141" i="1"/>
  <c r="AK141" i="1" s="1"/>
  <c r="AG137" i="1"/>
  <c r="AI137" i="1" s="1"/>
  <c r="AK137" i="1" s="1"/>
  <c r="AI127" i="1"/>
  <c r="AK127" i="1" s="1"/>
  <c r="P16" i="1"/>
  <c r="AG123" i="1"/>
  <c r="AI123" i="1" s="1"/>
  <c r="AK123" i="1" s="1"/>
  <c r="AI121" i="1"/>
  <c r="AK121" i="1" s="1"/>
  <c r="G93" i="1"/>
  <c r="P15" i="1"/>
  <c r="K93" i="1"/>
  <c r="K13" i="1"/>
  <c r="F93" i="1"/>
  <c r="H93" i="1"/>
  <c r="H13" i="1"/>
  <c r="R99" i="1" l="1"/>
  <c r="R114" i="1" s="1"/>
  <c r="T114" i="1" s="1"/>
  <c r="AI155" i="1"/>
  <c r="AK155" i="1" s="1"/>
  <c r="S114" i="1" l="1"/>
  <c r="AI172" i="1"/>
  <c r="AK172" i="1" s="1"/>
  <c r="AI171" i="1"/>
  <c r="AK171" i="1" s="1"/>
  <c r="AI164" i="1"/>
  <c r="AK164" i="1" s="1"/>
  <c r="AK166" i="1"/>
  <c r="AI168" i="1"/>
  <c r="AK168" i="1" s="1"/>
  <c r="AI169" i="1"/>
  <c r="AK169" i="1" s="1"/>
  <c r="AI174" i="1" l="1"/>
  <c r="AK174" i="1" s="1"/>
</calcChain>
</file>

<file path=xl/sharedStrings.xml><?xml version="1.0" encoding="utf-8"?>
<sst xmlns="http://schemas.openxmlformats.org/spreadsheetml/2006/main" count="482" uniqueCount="101">
  <si>
    <t>% Increase</t>
  </si>
  <si>
    <t>Avg KW</t>
  </si>
  <si>
    <t>&lt;250</t>
  </si>
  <si>
    <t>KWH</t>
  </si>
  <si>
    <t>GS 3-P Proposed</t>
  </si>
  <si>
    <t>PS Sec Current</t>
  </si>
  <si>
    <t>PS Proposed</t>
  </si>
  <si>
    <t>TODS Current</t>
  </si>
  <si>
    <t>TODS Proposed</t>
  </si>
  <si>
    <t>kwh</t>
  </si>
  <si>
    <t>Total</t>
  </si>
  <si>
    <t>Total Acct</t>
  </si>
  <si>
    <t>Net Accounts</t>
  </si>
  <si>
    <t>SID</t>
  </si>
  <si>
    <t>Winter CC Coincident Peak</t>
  </si>
  <si>
    <t>Summer CC Coincident Peak</t>
  </si>
  <si>
    <t>KU Coincident Peak</t>
  </si>
  <si>
    <t>Non-Coincident Peak</t>
  </si>
  <si>
    <t>Loss Adjusted NCP</t>
  </si>
  <si>
    <t>Loss Factor</t>
  </si>
  <si>
    <t>TOTAL</t>
  </si>
  <si>
    <t>Per PSC 2-97</t>
  </si>
  <si>
    <t>LOLP</t>
  </si>
  <si>
    <t>CP Ratio</t>
  </si>
  <si>
    <t>JCPS HS</t>
  </si>
  <si>
    <t>JCPS MS</t>
  </si>
  <si>
    <t>GS 3-P Current</t>
  </si>
  <si>
    <t>JCPS ES-PS</t>
  </si>
  <si>
    <t>Less GS 3-P</t>
  </si>
  <si>
    <t>Adjust to remove ECR</t>
  </si>
  <si>
    <t xml:space="preserve">Sum of non-GS </t>
  </si>
  <si>
    <t>SID less GS</t>
  </si>
  <si>
    <t>Non - JCPS</t>
  </si>
  <si>
    <t>JCPS ES - GS</t>
  </si>
  <si>
    <t>GS</t>
  </si>
  <si>
    <t>PS</t>
  </si>
  <si>
    <t>TODS</t>
  </si>
  <si>
    <t>Metered KW</t>
  </si>
  <si>
    <t>Minimum Increment</t>
  </si>
  <si>
    <t>Peak</t>
  </si>
  <si>
    <t>Inter</t>
  </si>
  <si>
    <t>Base</t>
  </si>
  <si>
    <t>Summer</t>
  </si>
  <si>
    <t>Winter</t>
  </si>
  <si>
    <t>Rev</t>
  </si>
  <si>
    <t>Kwh</t>
  </si>
  <si>
    <t>Current KW</t>
  </si>
  <si>
    <t>Proposed KW</t>
  </si>
  <si>
    <t>School</t>
  </si>
  <si>
    <t>Customer Months</t>
  </si>
  <si>
    <t>Demand</t>
  </si>
  <si>
    <t>Current</t>
  </si>
  <si>
    <t>Calculated</t>
  </si>
  <si>
    <t xml:space="preserve">Proposed </t>
  </si>
  <si>
    <t>Increase</t>
  </si>
  <si>
    <t>Percent</t>
  </si>
  <si>
    <t>KW</t>
  </si>
  <si>
    <t>kWh</t>
  </si>
  <si>
    <t>Rates</t>
  </si>
  <si>
    <t>Revenues</t>
  </si>
  <si>
    <t xml:space="preserve">Basic Service </t>
  </si>
  <si>
    <t>Energy</t>
  </si>
  <si>
    <t xml:space="preserve">    Total</t>
  </si>
  <si>
    <t>PS-Secondary</t>
  </si>
  <si>
    <t>Summer kW</t>
  </si>
  <si>
    <t xml:space="preserve">  Min Incr</t>
  </si>
  <si>
    <t>Winter kW</t>
  </si>
  <si>
    <t xml:space="preserve">       Total</t>
  </si>
  <si>
    <t>Base kW</t>
  </si>
  <si>
    <t xml:space="preserve">  Min Incr Old</t>
  </si>
  <si>
    <t xml:space="preserve">  Min Incr New</t>
  </si>
  <si>
    <t>Inter kW</t>
  </si>
  <si>
    <t>Peak kW</t>
  </si>
  <si>
    <t>Customers</t>
  </si>
  <si>
    <t>Max NCP</t>
  </si>
  <si>
    <t xml:space="preserve">Total Net </t>
  </si>
  <si>
    <t>Total PS &amp; TODS</t>
  </si>
  <si>
    <t>Rate Design per TOD</t>
  </si>
  <si>
    <t>Revenue</t>
  </si>
  <si>
    <t>Cust</t>
  </si>
  <si>
    <t>Kw</t>
  </si>
  <si>
    <t>KWh</t>
  </si>
  <si>
    <t>Bills</t>
  </si>
  <si>
    <t>PS &amp; TODS</t>
  </si>
  <si>
    <t>ECR</t>
  </si>
  <si>
    <t>Billings</t>
  </si>
  <si>
    <t>Reduction</t>
  </si>
  <si>
    <t>Present Rates</t>
  </si>
  <si>
    <t>Proposed Rates</t>
  </si>
  <si>
    <t>As Filed with Seelye Corrections &amp; Post filing billings</t>
  </si>
  <si>
    <t>Seelye Corrections plus update</t>
  </si>
  <si>
    <t>PS sec</t>
  </si>
  <si>
    <t>Demands</t>
  </si>
  <si>
    <t>Base Rat</t>
  </si>
  <si>
    <t>Base ECR</t>
  </si>
  <si>
    <t>Kw Chg Adj</t>
  </si>
  <si>
    <t>ECR Base</t>
  </si>
  <si>
    <t>Present</t>
  </si>
  <si>
    <t>Interim</t>
  </si>
  <si>
    <t>Proposed</t>
  </si>
  <si>
    <t>@Present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</si>
</sst>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  <numFmt numFmtId="167" formatCode="0.0%"/>
    <numFmt numFmtId="168" formatCode="_(* #,##0.0_);_(* \(#,##0.0\);_(* &quot;-&quot;??_);_(@_)"/>
    <numFmt numFmtId="169" formatCode="&quot;$&quot;#,##0.0000"/>
    <numFmt numFmtId="170" formatCode="0.00000"/>
    <numFmt numFmtId="171" formatCode="_(* #,##0.00000_);_(* \(#,##0.00000\);_(* &quot;-&quot;??_);_(@_)"/>
    <numFmt numFmtId="172" formatCode="_(* #,##0.0000_);_(* \(#,##0.0000\);_(* &quot;-&quot;??_);_(@_)"/>
    <numFmt numFmtId="173" formatCode="&quot;$&quot;#,##0.00000"/>
    <numFmt numFmtId="174" formatCode="&quot;$&quot;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8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164" fontId="0" fillId="0" borderId="11" xfId="0" applyNumberFormat="1" applyBorder="1"/>
    <xf numFmtId="164" fontId="0" fillId="0" borderId="0" xfId="0" applyNumberFormat="1" applyBorder="1"/>
    <xf numFmtId="164" fontId="0" fillId="0" borderId="8" xfId="0" applyNumberFormat="1" applyBorder="1"/>
    <xf numFmtId="0" fontId="0" fillId="0" borderId="0" xfId="0" applyBorder="1"/>
    <xf numFmtId="0" fontId="0" fillId="0" borderId="7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165" fontId="0" fillId="0" borderId="0" xfId="1" applyNumberFormat="1" applyFont="1" applyBorder="1"/>
    <xf numFmtId="165" fontId="1" fillId="0" borderId="7" xfId="1" applyNumberFormat="1" applyFont="1" applyBorder="1"/>
    <xf numFmtId="0" fontId="7" fillId="0" borderId="0" xfId="0" applyFont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0" xfId="0" applyFont="1"/>
    <xf numFmtId="165" fontId="1" fillId="0" borderId="7" xfId="1" applyNumberFormat="1" applyFont="1" applyBorder="1" applyAlignment="1">
      <alignment horizontal="center"/>
    </xf>
    <xf numFmtId="0" fontId="9" fillId="0" borderId="0" xfId="0" applyFont="1" applyBorder="1"/>
    <xf numFmtId="166" fontId="0" fillId="0" borderId="0" xfId="3" applyNumberFormat="1" applyFont="1" applyBorder="1"/>
    <xf numFmtId="173" fontId="0" fillId="0" borderId="0" xfId="3" applyNumberFormat="1" applyFont="1" applyBorder="1"/>
    <xf numFmtId="173" fontId="0" fillId="0" borderId="7" xfId="0" applyNumberFormat="1" applyBorder="1"/>
    <xf numFmtId="0" fontId="9" fillId="0" borderId="4" xfId="0" applyFont="1" applyBorder="1"/>
    <xf numFmtId="166" fontId="0" fillId="0" borderId="0" xfId="0" applyNumberFormat="1" applyBorder="1"/>
    <xf numFmtId="166" fontId="0" fillId="0" borderId="7" xfId="0" applyNumberFormat="1" applyBorder="1"/>
    <xf numFmtId="164" fontId="0" fillId="0" borderId="9" xfId="0" applyNumberFormat="1" applyBorder="1"/>
    <xf numFmtId="165" fontId="0" fillId="0" borderId="20" xfId="1" applyNumberFormat="1" applyFont="1" applyFill="1" applyBorder="1"/>
    <xf numFmtId="10" fontId="0" fillId="0" borderId="0" xfId="2" applyNumberFormat="1" applyFont="1"/>
    <xf numFmtId="164" fontId="0" fillId="0" borderId="7" xfId="0" applyNumberFormat="1" applyBorder="1"/>
    <xf numFmtId="173" fontId="0" fillId="0" borderId="7" xfId="3" applyNumberFormat="1" applyFont="1" applyBorder="1"/>
    <xf numFmtId="166" fontId="0" fillId="0" borderId="7" xfId="3" applyNumberFormat="1" applyFont="1" applyBorder="1"/>
    <xf numFmtId="0" fontId="4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7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0" fillId="0" borderId="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/>
    <xf numFmtId="164" fontId="4" fillId="2" borderId="5" xfId="0" applyNumberFormat="1" applyFont="1" applyFill="1" applyBorder="1"/>
    <xf numFmtId="10" fontId="4" fillId="2" borderId="5" xfId="2" applyNumberFormat="1" applyFont="1" applyFill="1" applyBorder="1"/>
    <xf numFmtId="164" fontId="10" fillId="2" borderId="5" xfId="0" applyNumberFormat="1" applyFont="1" applyFill="1" applyBorder="1"/>
    <xf numFmtId="165" fontId="4" fillId="2" borderId="5" xfId="1" applyNumberFormat="1" applyFont="1" applyFill="1" applyBorder="1"/>
    <xf numFmtId="0" fontId="4" fillId="2" borderId="5" xfId="0" applyFont="1" applyFill="1" applyBorder="1" applyAlignment="1">
      <alignment horizontal="center"/>
    </xf>
    <xf numFmtId="165" fontId="4" fillId="2" borderId="6" xfId="1" applyNumberFormat="1" applyFont="1" applyFill="1" applyBorder="1" applyAlignment="1">
      <alignment horizontal="center"/>
    </xf>
    <xf numFmtId="165" fontId="4" fillId="0" borderId="0" xfId="1" applyNumberFormat="1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0" borderId="0" xfId="1" applyNumberFormat="1" applyFont="1"/>
    <xf numFmtId="165" fontId="4" fillId="0" borderId="5" xfId="1" applyNumberFormat="1" applyFont="1" applyBorder="1"/>
    <xf numFmtId="165" fontId="4" fillId="0" borderId="6" xfId="1" applyNumberFormat="1" applyFont="1" applyBorder="1"/>
    <xf numFmtId="0" fontId="4" fillId="0" borderId="7" xfId="0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167" fontId="4" fillId="0" borderId="0" xfId="2" applyNumberFormat="1" applyFont="1" applyFill="1" applyBorder="1"/>
    <xf numFmtId="10" fontId="4" fillId="0" borderId="0" xfId="2" applyNumberFormat="1" applyFont="1" applyFill="1" applyBorder="1"/>
    <xf numFmtId="164" fontId="10" fillId="0" borderId="0" xfId="0" applyNumberFormat="1" applyFont="1" applyFill="1" applyBorder="1"/>
    <xf numFmtId="165" fontId="4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165" fontId="4" fillId="0" borderId="8" xfId="1" applyNumberFormat="1" applyFont="1" applyFill="1" applyBorder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5" fontId="4" fillId="2" borderId="20" xfId="1" applyNumberFormat="1" applyFont="1" applyFill="1" applyBorder="1" applyAlignment="1"/>
    <xf numFmtId="165" fontId="4" fillId="2" borderId="21" xfId="1" applyNumberFormat="1" applyFont="1" applyFill="1" applyBorder="1" applyAlignment="1"/>
    <xf numFmtId="0" fontId="4" fillId="0" borderId="7" xfId="0" applyFont="1" applyBorder="1"/>
    <xf numFmtId="165" fontId="4" fillId="0" borderId="0" xfId="1" applyNumberFormat="1" applyFont="1" applyBorder="1"/>
    <xf numFmtId="165" fontId="4" fillId="0" borderId="8" xfId="1" applyNumberFormat="1" applyFont="1" applyBorder="1"/>
    <xf numFmtId="164" fontId="4" fillId="2" borderId="0" xfId="0" applyNumberFormat="1" applyFont="1" applyFill="1" applyBorder="1" applyProtection="1">
      <protection locked="0"/>
    </xf>
    <xf numFmtId="10" fontId="4" fillId="2" borderId="0" xfId="0" applyNumberFormat="1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164" fontId="10" fillId="2" borderId="0" xfId="0" applyNumberFormat="1" applyFont="1" applyFill="1" applyBorder="1" applyProtection="1">
      <protection locked="0"/>
    </xf>
    <xf numFmtId="0" fontId="4" fillId="2" borderId="0" xfId="0" applyFont="1" applyFill="1" applyBorder="1"/>
    <xf numFmtId="165" fontId="4" fillId="2" borderId="0" xfId="1" applyNumberFormat="1" applyFont="1" applyFill="1"/>
    <xf numFmtId="0" fontId="4" fillId="2" borderId="0" xfId="0" applyFont="1" applyFill="1" applyBorder="1" applyAlignment="1">
      <alignment horizontal="center"/>
    </xf>
    <xf numFmtId="165" fontId="4" fillId="2" borderId="8" xfId="1" applyNumberFormat="1" applyFont="1" applyFill="1" applyBorder="1"/>
    <xf numFmtId="165" fontId="4" fillId="0" borderId="0" xfId="1" applyNumberFormat="1" applyFont="1" applyFill="1"/>
    <xf numFmtId="164" fontId="4" fillId="2" borderId="0" xfId="0" applyNumberFormat="1" applyFont="1" applyFill="1"/>
    <xf numFmtId="165" fontId="4" fillId="0" borderId="4" xfId="1" applyNumberFormat="1" applyFont="1" applyFill="1" applyBorder="1"/>
    <xf numFmtId="165" fontId="4" fillId="0" borderId="5" xfId="1" applyNumberFormat="1" applyFont="1" applyFill="1" applyBorder="1"/>
    <xf numFmtId="165" fontId="4" fillId="0" borderId="6" xfId="1" applyNumberFormat="1" applyFont="1" applyFill="1" applyBorder="1"/>
    <xf numFmtId="165" fontId="4" fillId="0" borderId="8" xfId="1" applyNumberFormat="1" applyFont="1" applyFill="1" applyBorder="1"/>
    <xf numFmtId="165" fontId="11" fillId="0" borderId="0" xfId="1" applyNumberFormat="1" applyFont="1"/>
    <xf numFmtId="0" fontId="4" fillId="2" borderId="0" xfId="0" applyFont="1" applyFill="1"/>
    <xf numFmtId="165" fontId="4" fillId="0" borderId="7" xfId="1" applyNumberFormat="1" applyFont="1" applyBorder="1"/>
    <xf numFmtId="9" fontId="4" fillId="0" borderId="0" xfId="2" applyFont="1" applyFill="1" applyBorder="1"/>
    <xf numFmtId="165" fontId="11" fillId="0" borderId="4" xfId="1" applyNumberFormat="1" applyFont="1" applyBorder="1"/>
    <xf numFmtId="165" fontId="11" fillId="0" borderId="6" xfId="1" applyNumberFormat="1" applyFont="1" applyBorder="1"/>
    <xf numFmtId="164" fontId="4" fillId="2" borderId="0" xfId="3" applyNumberFormat="1" applyFont="1" applyFill="1"/>
    <xf numFmtId="165" fontId="4" fillId="0" borderId="7" xfId="1" applyNumberFormat="1" applyFont="1" applyFill="1" applyBorder="1"/>
    <xf numFmtId="169" fontId="4" fillId="0" borderId="0" xfId="0" applyNumberFormat="1" applyFont="1" applyFill="1" applyBorder="1"/>
    <xf numFmtId="166" fontId="4" fillId="0" borderId="0" xfId="0" applyNumberFormat="1" applyFont="1" applyFill="1" applyBorder="1"/>
    <xf numFmtId="0" fontId="4" fillId="0" borderId="8" xfId="0" applyFont="1" applyFill="1" applyBorder="1"/>
    <xf numFmtId="170" fontId="11" fillId="0" borderId="0" xfId="0" applyNumberFormat="1" applyFont="1"/>
    <xf numFmtId="171" fontId="11" fillId="0" borderId="7" xfId="1" applyNumberFormat="1" applyFont="1" applyBorder="1"/>
    <xf numFmtId="171" fontId="11" fillId="0" borderId="8" xfId="1" applyNumberFormat="1" applyFont="1" applyBorder="1"/>
    <xf numFmtId="165" fontId="4" fillId="0" borderId="7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165" fontId="4" fillId="0" borderId="0" xfId="0" applyNumberFormat="1" applyFont="1"/>
    <xf numFmtId="0" fontId="11" fillId="0" borderId="0" xfId="0" applyFont="1"/>
    <xf numFmtId="0" fontId="4" fillId="0" borderId="9" xfId="0" applyFont="1" applyBorder="1"/>
    <xf numFmtId="165" fontId="4" fillId="0" borderId="9" xfId="1" applyNumberFormat="1" applyFont="1" applyFill="1" applyBorder="1"/>
    <xf numFmtId="165" fontId="4" fillId="0" borderId="10" xfId="1" applyNumberFormat="1" applyFont="1" applyFill="1" applyBorder="1"/>
    <xf numFmtId="165" fontId="4" fillId="0" borderId="11" xfId="1" applyNumberFormat="1" applyFont="1" applyFill="1" applyBorder="1"/>
    <xf numFmtId="172" fontId="11" fillId="0" borderId="7" xfId="1" applyNumberFormat="1" applyFont="1" applyBorder="1"/>
    <xf numFmtId="172" fontId="11" fillId="0" borderId="8" xfId="1" applyNumberFormat="1" applyFont="1" applyBorder="1"/>
    <xf numFmtId="165" fontId="4" fillId="0" borderId="9" xfId="1" applyNumberFormat="1" applyFont="1" applyBorder="1"/>
    <xf numFmtId="165" fontId="4" fillId="0" borderId="11" xfId="1" applyNumberFormat="1" applyFont="1" applyBorder="1"/>
    <xf numFmtId="0" fontId="4" fillId="0" borderId="0" xfId="0" applyFont="1" applyBorder="1"/>
    <xf numFmtId="166" fontId="4" fillId="0" borderId="0" xfId="3" applyNumberFormat="1" applyFont="1" applyBorder="1"/>
    <xf numFmtId="164" fontId="4" fillId="0" borderId="0" xfId="0" applyNumberFormat="1" applyFont="1"/>
    <xf numFmtId="0" fontId="10" fillId="0" borderId="0" xfId="0" applyFont="1" applyFill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0" fontId="12" fillId="0" borderId="0" xfId="0" applyFont="1" applyAlignment="1"/>
    <xf numFmtId="164" fontId="4" fillId="0" borderId="8" xfId="0" applyNumberFormat="1" applyFont="1" applyFill="1" applyBorder="1"/>
    <xf numFmtId="173" fontId="4" fillId="0" borderId="0" xfId="3" applyNumberFormat="1" applyFont="1" applyBorder="1"/>
    <xf numFmtId="0" fontId="4" fillId="0" borderId="7" xfId="0" applyFont="1" applyFill="1" applyBorder="1" applyAlignment="1">
      <alignment horizontal="right"/>
    </xf>
    <xf numFmtId="0" fontId="4" fillId="0" borderId="9" xfId="0" applyFont="1" applyFill="1" applyBorder="1"/>
    <xf numFmtId="0" fontId="4" fillId="0" borderId="10" xfId="0" applyFont="1" applyFill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0" fontId="4" fillId="0" borderId="0" xfId="0" applyFont="1" applyFill="1" applyAlignment="1">
      <alignment vertical="center"/>
    </xf>
    <xf numFmtId="164" fontId="13" fillId="0" borderId="5" xfId="0" applyNumberFormat="1" applyFont="1" applyBorder="1" applyAlignment="1">
      <alignment horizontal="center"/>
    </xf>
    <xf numFmtId="164" fontId="13" fillId="0" borderId="5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165" fontId="13" fillId="0" borderId="5" xfId="1" applyNumberFormat="1" applyFont="1" applyBorder="1" applyAlignment="1">
      <alignment horizontal="center"/>
    </xf>
    <xf numFmtId="165" fontId="4" fillId="0" borderId="6" xfId="1" applyNumberFormat="1" applyFont="1" applyBorder="1" applyAlignment="1">
      <alignment horizontal="center"/>
    </xf>
    <xf numFmtId="165" fontId="4" fillId="2" borderId="20" xfId="1" applyNumberFormat="1" applyFont="1" applyFill="1" applyBorder="1" applyAlignment="1">
      <alignment horizontal="center"/>
    </xf>
    <xf numFmtId="165" fontId="4" fillId="2" borderId="20" xfId="1" applyNumberFormat="1" applyFont="1" applyFill="1" applyBorder="1"/>
    <xf numFmtId="165" fontId="4" fillId="2" borderId="21" xfId="1" applyNumberFormat="1" applyFont="1" applyFill="1" applyBorder="1"/>
    <xf numFmtId="10" fontId="4" fillId="0" borderId="0" xfId="0" applyNumberFormat="1" applyFont="1" applyBorder="1"/>
    <xf numFmtId="165" fontId="11" fillId="0" borderId="4" xfId="1" applyNumberFormat="1" applyFont="1" applyFill="1" applyBorder="1"/>
    <xf numFmtId="165" fontId="11" fillId="0" borderId="6" xfId="1" applyNumberFormat="1" applyFont="1" applyFill="1" applyBorder="1"/>
    <xf numFmtId="165" fontId="4" fillId="2" borderId="0" xfId="1" applyNumberFormat="1" applyFont="1" applyFill="1" applyBorder="1"/>
    <xf numFmtId="170" fontId="11" fillId="0" borderId="0" xfId="0" applyNumberFormat="1" applyFont="1" applyFill="1"/>
    <xf numFmtId="164" fontId="4" fillId="2" borderId="0" xfId="0" applyNumberFormat="1" applyFont="1" applyFill="1" applyBorder="1"/>
    <xf numFmtId="165" fontId="4" fillId="0" borderId="10" xfId="1" applyNumberFormat="1" applyFont="1" applyBorder="1"/>
    <xf numFmtId="165" fontId="11" fillId="0" borderId="0" xfId="0" applyNumberFormat="1" applyFont="1"/>
    <xf numFmtId="0" fontId="10" fillId="0" borderId="0" xfId="0" applyFont="1" applyFill="1" applyBorder="1"/>
    <xf numFmtId="167" fontId="4" fillId="0" borderId="5" xfId="2" applyNumberFormat="1" applyFont="1" applyFill="1" applyBorder="1"/>
    <xf numFmtId="43" fontId="4" fillId="0" borderId="5" xfId="1" applyFont="1" applyFill="1" applyBorder="1"/>
    <xf numFmtId="0" fontId="4" fillId="2" borderId="8" xfId="0" applyFont="1" applyFill="1" applyBorder="1"/>
    <xf numFmtId="168" fontId="4" fillId="0" borderId="8" xfId="1" applyNumberFormat="1" applyFont="1" applyFill="1" applyBorder="1"/>
    <xf numFmtId="0" fontId="4" fillId="0" borderId="0" xfId="0" applyFont="1" applyAlignment="1">
      <alignment horizontal="center" vertical="center"/>
    </xf>
    <xf numFmtId="164" fontId="4" fillId="0" borderId="0" xfId="0" applyNumberFormat="1" applyFont="1" applyBorder="1"/>
    <xf numFmtId="164" fontId="4" fillId="2" borderId="0" xfId="3" applyNumberFormat="1" applyFont="1" applyFill="1" applyBorder="1"/>
    <xf numFmtId="0" fontId="4" fillId="2" borderId="0" xfId="0" applyFont="1" applyFill="1" applyBorder="1" applyAlignment="1">
      <alignment horizontal="center" wrapText="1"/>
    </xf>
    <xf numFmtId="165" fontId="4" fillId="0" borderId="20" xfId="1" applyNumberFormat="1" applyFont="1" applyFill="1" applyBorder="1"/>
    <xf numFmtId="170" fontId="11" fillId="0" borderId="7" xfId="0" applyNumberFormat="1" applyFont="1" applyFill="1" applyBorder="1"/>
    <xf numFmtId="170" fontId="11" fillId="0" borderId="22" xfId="0" applyNumberFormat="1" applyFont="1" applyFill="1" applyBorder="1"/>
    <xf numFmtId="165" fontId="4" fillId="0" borderId="7" xfId="0" applyNumberFormat="1" applyFont="1" applyBorder="1"/>
    <xf numFmtId="165" fontId="4" fillId="0" borderId="22" xfId="0" applyNumberFormat="1" applyFont="1" applyBorder="1"/>
    <xf numFmtId="164" fontId="11" fillId="2" borderId="0" xfId="3" applyNumberFormat="1" applyFont="1" applyFill="1" applyBorder="1"/>
    <xf numFmtId="0" fontId="11" fillId="0" borderId="7" xfId="0" applyFont="1" applyBorder="1"/>
    <xf numFmtId="0" fontId="11" fillId="0" borderId="22" xfId="0" applyFont="1" applyBorder="1"/>
    <xf numFmtId="165" fontId="11" fillId="2" borderId="20" xfId="0" applyNumberFormat="1" applyFont="1" applyFill="1" applyBorder="1"/>
    <xf numFmtId="10" fontId="4" fillId="0" borderId="5" xfId="0" applyNumberFormat="1" applyFont="1" applyBorder="1"/>
    <xf numFmtId="0" fontId="4" fillId="0" borderId="5" xfId="0" applyFont="1" applyBorder="1"/>
    <xf numFmtId="164" fontId="10" fillId="0" borderId="5" xfId="0" applyNumberFormat="1" applyFont="1" applyFill="1" applyBorder="1"/>
    <xf numFmtId="164" fontId="4" fillId="0" borderId="20" xfId="0" applyNumberFormat="1" applyFont="1" applyBorder="1"/>
    <xf numFmtId="165" fontId="4" fillId="0" borderId="20" xfId="1" applyNumberFormat="1" applyFont="1" applyBorder="1"/>
    <xf numFmtId="165" fontId="4" fillId="3" borderId="0" xfId="1" applyNumberFormat="1" applyFont="1" applyFill="1" applyBorder="1"/>
    <xf numFmtId="164" fontId="4" fillId="0" borderId="21" xfId="0" applyNumberFormat="1" applyFont="1" applyBorder="1"/>
    <xf numFmtId="165" fontId="4" fillId="0" borderId="23" xfId="1" applyNumberFormat="1" applyFont="1" applyFill="1" applyBorder="1"/>
    <xf numFmtId="165" fontId="4" fillId="0" borderId="22" xfId="1" applyNumberFormat="1" applyFont="1" applyBorder="1"/>
    <xf numFmtId="164" fontId="4" fillId="2" borderId="3" xfId="0" applyNumberFormat="1" applyFont="1" applyFill="1" applyBorder="1"/>
    <xf numFmtId="165" fontId="11" fillId="2" borderId="7" xfId="0" applyNumberFormat="1" applyFont="1" applyFill="1" applyBorder="1"/>
    <xf numFmtId="165" fontId="11" fillId="0" borderId="20" xfId="0" applyNumberFormat="1" applyFont="1" applyFill="1" applyBorder="1"/>
    <xf numFmtId="165" fontId="11" fillId="0" borderId="23" xfId="0" applyNumberFormat="1" applyFont="1" applyFill="1" applyBorder="1"/>
    <xf numFmtId="165" fontId="11" fillId="0" borderId="22" xfId="1" applyNumberFormat="1" applyFont="1" applyBorder="1"/>
    <xf numFmtId="0" fontId="4" fillId="0" borderId="22" xfId="0" applyFont="1" applyBorder="1"/>
    <xf numFmtId="0" fontId="4" fillId="0" borderId="12" xfId="0" applyFont="1" applyBorder="1" applyAlignment="1">
      <alignment horizontal="center"/>
    </xf>
    <xf numFmtId="164" fontId="4" fillId="0" borderId="8" xfId="0" applyNumberFormat="1" applyFont="1" applyBorder="1"/>
    <xf numFmtId="43" fontId="4" fillId="2" borderId="13" xfId="0" applyNumberFormat="1" applyFont="1" applyFill="1" applyBorder="1" applyAlignment="1">
      <alignment horizontal="center" vertical="center"/>
    </xf>
    <xf numFmtId="165" fontId="4" fillId="0" borderId="13" xfId="1" applyNumberFormat="1" applyFont="1" applyBorder="1"/>
    <xf numFmtId="0" fontId="4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5" xfId="0" applyNumberFormat="1" applyFont="1" applyBorder="1"/>
    <xf numFmtId="165" fontId="4" fillId="0" borderId="6" xfId="0" applyNumberFormat="1" applyFont="1" applyBorder="1"/>
    <xf numFmtId="0" fontId="4" fillId="0" borderId="8" xfId="0" applyFont="1" applyBorder="1"/>
    <xf numFmtId="14" fontId="4" fillId="0" borderId="24" xfId="0" applyNumberFormat="1" applyFont="1" applyBorder="1"/>
    <xf numFmtId="165" fontId="4" fillId="0" borderId="0" xfId="0" applyNumberFormat="1" applyFont="1" applyBorder="1"/>
    <xf numFmtId="165" fontId="4" fillId="0" borderId="8" xfId="0" applyNumberFormat="1" applyFont="1" applyBorder="1"/>
    <xf numFmtId="167" fontId="4" fillId="0" borderId="0" xfId="2" applyNumberFormat="1" applyFont="1"/>
    <xf numFmtId="43" fontId="4" fillId="0" borderId="0" xfId="0" applyNumberFormat="1" applyFont="1" applyBorder="1"/>
    <xf numFmtId="43" fontId="4" fillId="0" borderId="8" xfId="0" applyNumberFormat="1" applyFont="1" applyBorder="1"/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166" fontId="4" fillId="0" borderId="5" xfId="3" applyNumberFormat="1" applyFont="1" applyBorder="1"/>
    <xf numFmtId="164" fontId="4" fillId="0" borderId="6" xfId="3" applyNumberFormat="1" applyFont="1" applyBorder="1"/>
    <xf numFmtId="166" fontId="4" fillId="0" borderId="4" xfId="3" applyNumberFormat="1" applyFont="1" applyBorder="1"/>
    <xf numFmtId="164" fontId="4" fillId="0" borderId="12" xfId="0" applyNumberFormat="1" applyFont="1" applyBorder="1"/>
    <xf numFmtId="10" fontId="4" fillId="0" borderId="12" xfId="2" applyNumberFormat="1" applyFont="1" applyBorder="1"/>
    <xf numFmtId="164" fontId="4" fillId="0" borderId="8" xfId="3" applyNumberFormat="1" applyFont="1" applyBorder="1"/>
    <xf numFmtId="164" fontId="4" fillId="0" borderId="22" xfId="0" applyNumberFormat="1" applyFont="1" applyBorder="1"/>
    <xf numFmtId="10" fontId="4" fillId="0" borderId="22" xfId="2" applyNumberFormat="1" applyFont="1" applyBorder="1"/>
    <xf numFmtId="173" fontId="4" fillId="0" borderId="7" xfId="0" applyNumberFormat="1" applyFont="1" applyBorder="1"/>
    <xf numFmtId="0" fontId="4" fillId="0" borderId="6" xfId="0" applyFont="1" applyBorder="1"/>
    <xf numFmtId="164" fontId="4" fillId="0" borderId="13" xfId="0" applyNumberFormat="1" applyFont="1" applyBorder="1"/>
    <xf numFmtId="10" fontId="4" fillId="0" borderId="13" xfId="2" applyNumberFormat="1" applyFont="1" applyBorder="1"/>
    <xf numFmtId="166" fontId="4" fillId="0" borderId="7" xfId="0" applyNumberFormat="1" applyFont="1" applyBorder="1"/>
    <xf numFmtId="166" fontId="4" fillId="0" borderId="0" xfId="0" applyNumberFormat="1" applyFont="1" applyBorder="1"/>
    <xf numFmtId="173" fontId="4" fillId="0" borderId="0" xfId="0" applyNumberFormat="1" applyFont="1" applyBorder="1"/>
    <xf numFmtId="164" fontId="4" fillId="0" borderId="9" xfId="0" applyNumberFormat="1" applyFont="1" applyBorder="1"/>
    <xf numFmtId="0" fontId="4" fillId="0" borderId="12" xfId="0" applyFont="1" applyBorder="1"/>
    <xf numFmtId="10" fontId="4" fillId="0" borderId="5" xfId="2" applyNumberFormat="1" applyFont="1" applyBorder="1"/>
    <xf numFmtId="10" fontId="4" fillId="0" borderId="0" xfId="2" applyNumberFormat="1" applyFont="1" applyBorder="1"/>
    <xf numFmtId="10" fontId="4" fillId="0" borderId="0" xfId="2" applyNumberFormat="1" applyFont="1"/>
    <xf numFmtId="164" fontId="4" fillId="0" borderId="7" xfId="0" applyNumberFormat="1" applyFont="1" applyBorder="1"/>
    <xf numFmtId="166" fontId="4" fillId="0" borderId="0" xfId="0" applyNumberFormat="1" applyFont="1"/>
    <xf numFmtId="1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/>
    <xf numFmtId="165" fontId="4" fillId="0" borderId="0" xfId="1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/>
    <xf numFmtId="173" fontId="0" fillId="0" borderId="0" xfId="0" applyNumberFormat="1" applyBorder="1"/>
    <xf numFmtId="0" fontId="0" fillId="0" borderId="20" xfId="0" applyBorder="1" applyAlignment="1">
      <alignment horizontal="center"/>
    </xf>
    <xf numFmtId="164" fontId="0" fillId="0" borderId="10" xfId="0" applyNumberFormat="1" applyBorder="1"/>
    <xf numFmtId="0" fontId="2" fillId="0" borderId="7" xfId="0" applyFont="1" applyBorder="1"/>
    <xf numFmtId="0" fontId="2" fillId="0" borderId="0" xfId="0" applyFont="1"/>
    <xf numFmtId="165" fontId="2" fillId="0" borderId="12" xfId="1" applyNumberFormat="1" applyFont="1" applyBorder="1"/>
    <xf numFmtId="14" fontId="4" fillId="0" borderId="0" xfId="0" applyNumberFormat="1" applyFont="1"/>
    <xf numFmtId="164" fontId="0" fillId="0" borderId="0" xfId="0" applyNumberFormat="1" applyFill="1" applyBorder="1"/>
    <xf numFmtId="165" fontId="1" fillId="0" borderId="10" xfId="1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165" fontId="0" fillId="0" borderId="14" xfId="1" applyNumberFormat="1" applyFont="1" applyBorder="1"/>
    <xf numFmtId="166" fontId="0" fillId="0" borderId="0" xfId="0" applyNumberFormat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8" xfId="1" applyNumberFormat="1" applyFont="1" applyBorder="1"/>
    <xf numFmtId="0" fontId="0" fillId="0" borderId="11" xfId="0" applyBorder="1"/>
    <xf numFmtId="1" fontId="0" fillId="0" borderId="0" xfId="0" applyNumberFormat="1" applyBorder="1"/>
    <xf numFmtId="43" fontId="0" fillId="0" borderId="0" xfId="0" applyNumberFormat="1"/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164" fontId="4" fillId="0" borderId="0" xfId="3" applyNumberFormat="1" applyFont="1" applyBorder="1"/>
    <xf numFmtId="165" fontId="0" fillId="0" borderId="25" xfId="1" applyNumberFormat="1" applyFont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2"/>
  <sheetViews>
    <sheetView zoomScale="84" zoomScaleNormal="84" workbookViewId="0">
      <pane ySplit="3" topLeftCell="A61" activePane="bottomLeft" state="frozen"/>
      <selection pane="bottomLeft" activeCell="Q45" sqref="Q45"/>
    </sheetView>
  </sheetViews>
  <sheetFormatPr defaultRowHeight="15" x14ac:dyDescent="0.25"/>
  <cols>
    <col min="1" max="1" width="9.5703125" style="38" customWidth="1"/>
    <col min="2" max="2" width="10" style="38" customWidth="1"/>
    <col min="3" max="3" width="9.140625" style="38"/>
    <col min="4" max="4" width="15.42578125" style="38" bestFit="1" customWidth="1"/>
    <col min="5" max="5" width="11.5703125" style="38" customWidth="1"/>
    <col min="6" max="6" width="9.140625" style="38"/>
    <col min="7" max="7" width="14.85546875" style="38" bestFit="1" customWidth="1"/>
    <col min="8" max="8" width="11.42578125" style="38" customWidth="1"/>
    <col min="9" max="9" width="9.140625" style="38"/>
    <col min="10" max="10" width="14.85546875" style="38" bestFit="1" customWidth="1"/>
    <col min="11" max="11" width="12.140625" style="38" customWidth="1"/>
    <col min="12" max="12" width="9.7109375" style="38" customWidth="1"/>
    <col min="13" max="13" width="13.85546875" style="38" bestFit="1" customWidth="1"/>
    <col min="14" max="14" width="14.85546875" style="38" hidden="1" customWidth="1"/>
    <col min="15" max="15" width="13.28515625" style="38" customWidth="1"/>
    <col min="16" max="16" width="10.5703125" style="38" customWidth="1"/>
    <col min="17" max="17" width="13.42578125" style="38" customWidth="1"/>
    <col min="18" max="18" width="12.42578125" style="38" customWidth="1"/>
    <col min="19" max="19" width="13.5703125" style="38" customWidth="1"/>
    <col min="20" max="20" width="11.28515625" style="38" customWidth="1"/>
    <col min="21" max="21" width="9.5703125" style="38" bestFit="1" customWidth="1"/>
    <col min="22" max="22" width="8.5703125" style="38" customWidth="1"/>
    <col min="23" max="23" width="12.28515625" style="38" customWidth="1"/>
    <col min="24" max="24" width="15.42578125" style="38" bestFit="1" customWidth="1"/>
    <col min="25" max="25" width="14" style="38" customWidth="1"/>
    <col min="26" max="26" width="10.28515625" style="38" customWidth="1"/>
    <col min="27" max="27" width="12.42578125" style="38" customWidth="1"/>
    <col min="28" max="28" width="15.5703125" style="38" bestFit="1" customWidth="1"/>
    <col min="29" max="29" width="14.42578125" style="38" bestFit="1" customWidth="1"/>
    <col min="30" max="30" width="14.28515625" style="38" bestFit="1" customWidth="1"/>
    <col min="31" max="31" width="10.140625" style="38" bestFit="1" customWidth="1"/>
    <col min="32" max="32" width="13.28515625" style="38" customWidth="1"/>
    <col min="33" max="33" width="13" style="38" customWidth="1"/>
    <col min="34" max="34" width="9.5703125" style="38" bestFit="1" customWidth="1"/>
    <col min="35" max="35" width="11.28515625" style="38" customWidth="1"/>
    <col min="36" max="36" width="9.5703125" style="38" bestFit="1" customWidth="1"/>
    <col min="37" max="37" width="11.42578125" style="38" customWidth="1"/>
    <col min="38" max="38" width="10.5703125" style="38" bestFit="1" customWidth="1"/>
    <col min="39" max="39" width="9.5703125" style="38" bestFit="1" customWidth="1"/>
    <col min="40" max="40" width="9.28515625" style="38" bestFit="1" customWidth="1"/>
    <col min="41" max="41" width="11.7109375" style="38" customWidth="1"/>
    <col min="42" max="42" width="13.85546875" style="38" bestFit="1" customWidth="1"/>
    <col min="43" max="43" width="10.85546875" style="38" customWidth="1"/>
    <col min="44" max="44" width="13.140625" style="38" customWidth="1"/>
    <col min="45" max="45" width="9.28515625" style="38" bestFit="1" customWidth="1"/>
    <col min="46" max="46" width="11.5703125" style="38" customWidth="1"/>
    <col min="47" max="47" width="12.140625" style="38" customWidth="1"/>
    <col min="48" max="48" width="9.28515625" style="38" bestFit="1" customWidth="1"/>
    <col min="49" max="49" width="12" style="38" customWidth="1"/>
    <col min="50" max="50" width="9.140625" style="38"/>
    <col min="51" max="51" width="11" style="38" bestFit="1" customWidth="1"/>
    <col min="52" max="52" width="9.140625" style="38"/>
    <col min="53" max="53" width="9.28515625" style="38" bestFit="1" customWidth="1"/>
    <col min="54" max="16384" width="9.140625" style="38"/>
  </cols>
  <sheetData>
    <row r="1" spans="1:40" x14ac:dyDescent="0.25">
      <c r="A1" s="260"/>
      <c r="B1" s="260"/>
      <c r="C1" s="262"/>
      <c r="D1" s="261" t="s">
        <v>26</v>
      </c>
      <c r="E1" s="261" t="s">
        <v>4</v>
      </c>
      <c r="F1" s="262" t="s">
        <v>0</v>
      </c>
      <c r="G1" s="261" t="s">
        <v>5</v>
      </c>
      <c r="H1" s="261" t="s">
        <v>6</v>
      </c>
      <c r="I1" s="262" t="s">
        <v>0</v>
      </c>
      <c r="J1" s="279" t="s">
        <v>7</v>
      </c>
      <c r="K1" s="279" t="s">
        <v>8</v>
      </c>
      <c r="L1" s="262" t="s">
        <v>0</v>
      </c>
      <c r="N1" s="39">
        <v>250</v>
      </c>
      <c r="O1" s="39"/>
      <c r="X1" s="40"/>
      <c r="Y1" s="40"/>
      <c r="AE1" s="266" t="s">
        <v>36</v>
      </c>
      <c r="AF1" s="266"/>
      <c r="AG1" s="266"/>
      <c r="AH1" s="266" t="s">
        <v>35</v>
      </c>
      <c r="AI1" s="266"/>
      <c r="AJ1" s="266" t="s">
        <v>36</v>
      </c>
      <c r="AK1" s="266"/>
      <c r="AL1" s="266"/>
      <c r="AM1" s="266" t="s">
        <v>35</v>
      </c>
      <c r="AN1" s="266"/>
    </row>
    <row r="2" spans="1:40" ht="31.5" customHeight="1" x14ac:dyDescent="0.25">
      <c r="A2" s="260"/>
      <c r="B2" s="260"/>
      <c r="C2" s="262"/>
      <c r="D2" s="261"/>
      <c r="E2" s="261"/>
      <c r="F2" s="262"/>
      <c r="G2" s="261"/>
      <c r="H2" s="261"/>
      <c r="I2" s="262"/>
      <c r="J2" s="279"/>
      <c r="K2" s="279"/>
      <c r="L2" s="262"/>
      <c r="M2" s="41" t="s">
        <v>1</v>
      </c>
      <c r="N2" s="42" t="s">
        <v>2</v>
      </c>
      <c r="O2" s="43" t="s">
        <v>3</v>
      </c>
      <c r="P2" s="44" t="s">
        <v>13</v>
      </c>
      <c r="R2" s="237">
        <v>42839</v>
      </c>
      <c r="S2" s="265" t="s">
        <v>89</v>
      </c>
      <c r="T2" s="265"/>
      <c r="U2" s="265"/>
      <c r="X2" s="45"/>
      <c r="Y2" s="45"/>
      <c r="Z2" s="267" t="s">
        <v>37</v>
      </c>
      <c r="AA2" s="267"/>
      <c r="AB2" s="267"/>
      <c r="AC2" s="267"/>
      <c r="AD2" s="267"/>
      <c r="AE2" s="267" t="s">
        <v>38</v>
      </c>
      <c r="AF2" s="267"/>
      <c r="AG2" s="268"/>
      <c r="AH2" s="267" t="s">
        <v>38</v>
      </c>
      <c r="AI2" s="267"/>
      <c r="AJ2" s="267" t="s">
        <v>38</v>
      </c>
      <c r="AK2" s="267"/>
      <c r="AL2" s="268"/>
      <c r="AM2" s="267" t="s">
        <v>38</v>
      </c>
      <c r="AN2" s="267"/>
    </row>
    <row r="3" spans="1:40" ht="21.75" thickBot="1" x14ac:dyDescent="0.4">
      <c r="T3" s="46"/>
      <c r="U3" s="46"/>
      <c r="X3" s="14"/>
      <c r="Y3" s="14"/>
      <c r="Z3" s="47" t="s">
        <v>39</v>
      </c>
      <c r="AA3" s="47" t="s">
        <v>40</v>
      </c>
      <c r="AB3" s="47" t="s">
        <v>41</v>
      </c>
      <c r="AC3" s="48" t="s">
        <v>42</v>
      </c>
      <c r="AD3" s="48" t="s">
        <v>43</v>
      </c>
      <c r="AE3" s="48" t="s">
        <v>39</v>
      </c>
      <c r="AF3" s="48" t="s">
        <v>40</v>
      </c>
      <c r="AG3" s="48" t="s">
        <v>41</v>
      </c>
      <c r="AH3" s="48" t="s">
        <v>42</v>
      </c>
      <c r="AI3" s="48" t="s">
        <v>43</v>
      </c>
      <c r="AJ3" s="47" t="s">
        <v>39</v>
      </c>
      <c r="AK3" s="47" t="s">
        <v>40</v>
      </c>
      <c r="AL3" s="47" t="s">
        <v>41</v>
      </c>
      <c r="AM3" s="47" t="s">
        <v>42</v>
      </c>
      <c r="AN3" s="47" t="s">
        <v>43</v>
      </c>
    </row>
    <row r="4" spans="1:40" ht="21.75" thickBot="1" x14ac:dyDescent="0.4">
      <c r="B4" s="38" t="e">
        <f>'Billing Data'!Q101\</f>
        <v>#NAME?</v>
      </c>
      <c r="M4" s="39"/>
      <c r="O4" s="39" t="s">
        <v>9</v>
      </c>
      <c r="W4" s="39" t="s">
        <v>44</v>
      </c>
      <c r="X4" s="39" t="s">
        <v>45</v>
      </c>
      <c r="Z4" s="269" t="s">
        <v>36</v>
      </c>
      <c r="AA4" s="263"/>
      <c r="AB4" s="263"/>
      <c r="AC4" s="270" t="s">
        <v>35</v>
      </c>
      <c r="AD4" s="271"/>
      <c r="AE4" s="270" t="s">
        <v>46</v>
      </c>
      <c r="AF4" s="272"/>
      <c r="AG4" s="272"/>
      <c r="AH4" s="272"/>
      <c r="AI4" s="271"/>
      <c r="AJ4" s="263" t="s">
        <v>47</v>
      </c>
      <c r="AK4" s="263"/>
      <c r="AL4" s="263"/>
      <c r="AM4" s="263"/>
      <c r="AN4" s="264"/>
    </row>
    <row r="5" spans="1:40" ht="15.75" thickBot="1" x14ac:dyDescent="0.3">
      <c r="A5" s="257" t="s">
        <v>24</v>
      </c>
      <c r="B5" s="49" t="s">
        <v>10</v>
      </c>
      <c r="C5" s="50"/>
      <c r="D5" s="51">
        <v>6705981.9990000008</v>
      </c>
      <c r="E5" s="51">
        <v>7114632.9377999995</v>
      </c>
      <c r="F5" s="52"/>
      <c r="G5" s="51">
        <v>6928549.2870599981</v>
      </c>
      <c r="H5" s="51">
        <v>7485370.1120600021</v>
      </c>
      <c r="I5" s="52"/>
      <c r="J5" s="53">
        <v>7088165.8921399992</v>
      </c>
      <c r="K5" s="53">
        <v>7687546.5061400011</v>
      </c>
      <c r="L5" s="52"/>
      <c r="M5" s="54">
        <v>19132.279166666671</v>
      </c>
      <c r="N5" s="55"/>
      <c r="O5" s="56">
        <v>69194326</v>
      </c>
      <c r="P5" s="57">
        <v>26164.500000000011</v>
      </c>
      <c r="Q5" s="38" t="s">
        <v>13</v>
      </c>
      <c r="S5" s="58" t="s">
        <v>34</v>
      </c>
      <c r="T5" s="59" t="s">
        <v>35</v>
      </c>
      <c r="U5" s="60" t="s">
        <v>36</v>
      </c>
      <c r="X5" s="61">
        <v>0</v>
      </c>
      <c r="Y5" s="3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3"/>
    </row>
    <row r="6" spans="1:40" ht="15.75" thickBot="1" x14ac:dyDescent="0.3">
      <c r="A6" s="257"/>
      <c r="B6" s="64"/>
      <c r="C6" s="65"/>
      <c r="D6" s="66"/>
      <c r="E6" s="66"/>
      <c r="F6" s="67"/>
      <c r="G6" s="66"/>
      <c r="H6" s="66"/>
      <c r="I6" s="68"/>
      <c r="J6" s="69"/>
      <c r="K6" s="69"/>
      <c r="L6" s="68"/>
      <c r="M6" s="70"/>
      <c r="N6" s="71"/>
      <c r="O6" s="72"/>
      <c r="P6" s="73"/>
      <c r="S6" s="74">
        <v>2820</v>
      </c>
      <c r="T6" s="74">
        <v>22315</v>
      </c>
      <c r="U6" s="75">
        <v>1029</v>
      </c>
      <c r="X6" s="61"/>
      <c r="Y6" s="76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8"/>
    </row>
    <row r="7" spans="1:40" x14ac:dyDescent="0.25">
      <c r="A7" s="257"/>
      <c r="B7" s="64" t="s">
        <v>28</v>
      </c>
      <c r="C7" s="65"/>
      <c r="D7" s="79">
        <v>287737.43349999998</v>
      </c>
      <c r="E7" s="79">
        <v>306638.66370000003</v>
      </c>
      <c r="F7" s="80"/>
      <c r="G7" s="79">
        <v>5452515.1367699979</v>
      </c>
      <c r="H7" s="79">
        <v>5882046.2057700027</v>
      </c>
      <c r="I7" s="81"/>
      <c r="J7" s="82">
        <v>263552.61200000002</v>
      </c>
      <c r="K7" s="82">
        <v>279280.29199999996</v>
      </c>
      <c r="L7" s="83"/>
      <c r="M7" s="84">
        <v>20730.5</v>
      </c>
      <c r="N7" s="85"/>
      <c r="O7" s="86">
        <v>2890859</v>
      </c>
      <c r="P7" s="87">
        <f>S6</f>
        <v>2820</v>
      </c>
      <c r="W7" s="88">
        <v>287737</v>
      </c>
      <c r="X7" s="84">
        <v>2890859</v>
      </c>
      <c r="Y7" s="32" t="s">
        <v>34</v>
      </c>
      <c r="Z7" s="89">
        <v>20730.5</v>
      </c>
      <c r="AA7" s="90">
        <v>20730.5</v>
      </c>
      <c r="AB7" s="90">
        <v>20730.5</v>
      </c>
      <c r="AC7" s="90">
        <v>10544.5</v>
      </c>
      <c r="AD7" s="90">
        <v>10186</v>
      </c>
      <c r="AE7" s="90">
        <v>4493.5999999999995</v>
      </c>
      <c r="AF7" s="90">
        <v>4509.2</v>
      </c>
      <c r="AG7" s="90">
        <v>31691.800000000007</v>
      </c>
      <c r="AH7" s="90">
        <v>1083.2</v>
      </c>
      <c r="AI7" s="90">
        <v>3410.3999999999996</v>
      </c>
      <c r="AJ7" s="90">
        <v>4493.6000000000004</v>
      </c>
      <c r="AK7" s="90">
        <v>4509.2</v>
      </c>
      <c r="AL7" s="90">
        <v>34030.799999999996</v>
      </c>
      <c r="AM7" s="90">
        <v>1083.2000000000003</v>
      </c>
      <c r="AN7" s="91">
        <v>3410.3999999999996</v>
      </c>
    </row>
    <row r="8" spans="1:40" ht="15.75" thickBot="1" x14ac:dyDescent="0.3">
      <c r="A8" s="257"/>
      <c r="B8" s="64"/>
      <c r="C8" s="65"/>
      <c r="D8" s="66"/>
      <c r="E8" s="66"/>
      <c r="F8" s="67"/>
      <c r="G8" s="66"/>
      <c r="H8" s="66"/>
      <c r="I8" s="67"/>
      <c r="J8" s="66"/>
      <c r="K8" s="66"/>
      <c r="L8" s="67"/>
      <c r="M8" s="70"/>
      <c r="N8" s="65"/>
      <c r="O8" s="92"/>
      <c r="P8" s="93"/>
      <c r="W8" s="94"/>
      <c r="X8" s="84"/>
      <c r="Y8" s="76"/>
      <c r="Z8" s="95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8"/>
    </row>
    <row r="9" spans="1:40" x14ac:dyDescent="0.25">
      <c r="A9" s="257"/>
      <c r="B9" s="64" t="s">
        <v>30</v>
      </c>
      <c r="C9" s="65"/>
      <c r="D9" s="66">
        <f>D5-D7</f>
        <v>6418244.5655000005</v>
      </c>
      <c r="E9" s="66">
        <f>E5-E7</f>
        <v>6807994.2740999991</v>
      </c>
      <c r="F9" s="67"/>
      <c r="G9" s="66">
        <f>G5-G7</f>
        <v>1476034.1502900003</v>
      </c>
      <c r="H9" s="66">
        <f>H5-H7</f>
        <v>1603323.9062899994</v>
      </c>
      <c r="I9" s="96"/>
      <c r="J9" s="66">
        <f>J5-J7</f>
        <v>6824613.2801399995</v>
      </c>
      <c r="K9" s="66">
        <f>K5-K7</f>
        <v>7408266.2141400008</v>
      </c>
      <c r="L9" s="67"/>
      <c r="M9" s="70">
        <f>M5-M7</f>
        <v>-1598.2208333333292</v>
      </c>
      <c r="N9" s="65"/>
      <c r="O9" s="92">
        <f t="shared" ref="O9" si="0">O5-O7</f>
        <v>66303467</v>
      </c>
      <c r="P9" s="93">
        <f>P5-P7</f>
        <v>23344.500000000011</v>
      </c>
      <c r="Q9" s="38" t="s">
        <v>31</v>
      </c>
      <c r="S9" s="97">
        <f>S6-S7</f>
        <v>2820</v>
      </c>
      <c r="T9" s="97">
        <f>T6-T7</f>
        <v>22315</v>
      </c>
      <c r="U9" s="98">
        <f>U6-U7</f>
        <v>1029</v>
      </c>
      <c r="W9" s="238">
        <v>5997035.2855699984</v>
      </c>
      <c r="X9" s="70">
        <v>61913467</v>
      </c>
      <c r="Y9" s="76" t="s">
        <v>35</v>
      </c>
      <c r="Z9" s="100">
        <v>198118.04999999996</v>
      </c>
      <c r="AA9" s="70">
        <v>198118.04999999996</v>
      </c>
      <c r="AB9" s="70">
        <v>198118.04999999996</v>
      </c>
      <c r="AC9" s="70">
        <v>92883.9</v>
      </c>
      <c r="AD9" s="70">
        <v>105234.15</v>
      </c>
      <c r="AE9" s="70">
        <v>2497.15</v>
      </c>
      <c r="AF9" s="70">
        <v>2497.15</v>
      </c>
      <c r="AG9" s="70">
        <v>31091.450000000004</v>
      </c>
      <c r="AH9" s="70">
        <v>871.7</v>
      </c>
      <c r="AI9" s="70">
        <v>1625.4499999999998</v>
      </c>
      <c r="AJ9" s="70">
        <v>2497.15</v>
      </c>
      <c r="AK9" s="70">
        <v>2497.15</v>
      </c>
      <c r="AL9" s="70">
        <v>74888.649999999994</v>
      </c>
      <c r="AM9" s="70">
        <v>871.69999999999993</v>
      </c>
      <c r="AN9" s="92">
        <v>1625.4500000000003</v>
      </c>
    </row>
    <row r="10" spans="1:40" x14ac:dyDescent="0.25">
      <c r="A10" s="257"/>
      <c r="B10" s="64"/>
      <c r="C10" s="65"/>
      <c r="D10" s="101"/>
      <c r="E10" s="102"/>
      <c r="F10" s="102"/>
      <c r="G10" s="102"/>
      <c r="H10" s="102"/>
      <c r="I10" s="102"/>
      <c r="J10" s="102"/>
      <c r="K10" s="65"/>
      <c r="L10" s="65"/>
      <c r="M10" s="70"/>
      <c r="N10" s="65"/>
      <c r="O10" s="103"/>
      <c r="P10" s="104">
        <v>1.1875812547</v>
      </c>
      <c r="S10" s="105">
        <v>1.1875812547</v>
      </c>
      <c r="T10" s="105">
        <v>1.1875812547</v>
      </c>
      <c r="U10" s="106">
        <v>1.1875812547</v>
      </c>
      <c r="W10" s="94"/>
      <c r="X10" s="84"/>
      <c r="Y10" s="76"/>
      <c r="Z10" s="107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9"/>
    </row>
    <row r="11" spans="1:40" ht="15.75" thickBot="1" x14ac:dyDescent="0.3">
      <c r="A11" s="257"/>
      <c r="B11" s="64"/>
      <c r="C11" s="65"/>
      <c r="D11" s="66"/>
      <c r="E11" s="66"/>
      <c r="F11" s="65"/>
      <c r="G11" s="66"/>
      <c r="H11" s="66"/>
      <c r="I11" s="65"/>
      <c r="J11" s="66"/>
      <c r="K11" s="66"/>
      <c r="L11" s="65"/>
      <c r="M11" s="70"/>
      <c r="N11" s="65"/>
      <c r="O11" s="103"/>
      <c r="P11" s="110">
        <f>P9/P10</f>
        <v>19657.181272953963</v>
      </c>
      <c r="Q11" s="111" t="s">
        <v>17</v>
      </c>
      <c r="S11" s="95">
        <f t="shared" ref="S11" si="1">S9/S10</f>
        <v>2374.5743618295596</v>
      </c>
      <c r="T11" s="95">
        <f t="shared" ref="T11:U11" si="2">T9/T10</f>
        <v>18790.293221356958</v>
      </c>
      <c r="U11" s="78">
        <f t="shared" si="2"/>
        <v>866.46702777397752</v>
      </c>
      <c r="W11" s="99">
        <v>359104.33200000005</v>
      </c>
      <c r="X11" s="239">
        <v>4390000</v>
      </c>
      <c r="Y11" s="112" t="s">
        <v>36</v>
      </c>
      <c r="Z11" s="113">
        <v>10738.8</v>
      </c>
      <c r="AA11" s="114">
        <v>10738.8</v>
      </c>
      <c r="AB11" s="114">
        <v>10738.8</v>
      </c>
      <c r="AC11" s="114">
        <v>4661.2</v>
      </c>
      <c r="AD11" s="114">
        <v>6077.6</v>
      </c>
      <c r="AE11" s="114">
        <v>0</v>
      </c>
      <c r="AF11" s="114">
        <v>0</v>
      </c>
      <c r="AG11" s="114">
        <v>1.6000000000000278</v>
      </c>
      <c r="AH11" s="114">
        <v>0</v>
      </c>
      <c r="AI11" s="114">
        <v>0</v>
      </c>
      <c r="AJ11" s="114">
        <v>0</v>
      </c>
      <c r="AK11" s="114">
        <v>0</v>
      </c>
      <c r="AL11" s="114">
        <v>1613.9999999999993</v>
      </c>
      <c r="AM11" s="114">
        <v>0</v>
      </c>
      <c r="AN11" s="115">
        <v>0</v>
      </c>
    </row>
    <row r="12" spans="1:40" x14ac:dyDescent="0.25">
      <c r="A12" s="257"/>
      <c r="B12" s="64"/>
      <c r="C12" s="65"/>
      <c r="D12" s="66"/>
      <c r="E12" s="66"/>
      <c r="F12" s="65"/>
      <c r="G12" s="66"/>
      <c r="H12" s="66"/>
      <c r="I12" s="65"/>
      <c r="J12" s="66"/>
      <c r="K12" s="66"/>
      <c r="L12" s="65"/>
      <c r="M12" s="70"/>
      <c r="N12" s="65"/>
      <c r="O12" s="103"/>
      <c r="P12" s="111">
        <f>P92</f>
        <v>1.0898522576911902</v>
      </c>
      <c r="Q12" s="111" t="s">
        <v>19</v>
      </c>
      <c r="S12" s="116">
        <v>1.0933999999999999</v>
      </c>
      <c r="T12" s="116">
        <v>1.0933999999999999</v>
      </c>
      <c r="U12" s="117">
        <v>1.0933999999999999</v>
      </c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</row>
    <row r="13" spans="1:40" ht="15.75" thickBot="1" x14ac:dyDescent="0.3">
      <c r="A13" s="257"/>
      <c r="B13" s="64" t="s">
        <v>75</v>
      </c>
      <c r="C13" s="65"/>
      <c r="D13" s="66">
        <f>D9-D11</f>
        <v>6418244.5655000005</v>
      </c>
      <c r="E13" s="66">
        <f>E9-E11</f>
        <v>6807994.2740999991</v>
      </c>
      <c r="F13" s="65"/>
      <c r="G13" s="66">
        <f>G9-G11</f>
        <v>1476034.1502900003</v>
      </c>
      <c r="H13" s="66">
        <f>H9-H11</f>
        <v>1603323.9062899994</v>
      </c>
      <c r="I13" s="65"/>
      <c r="J13" s="66">
        <f>J9-J11</f>
        <v>6824613.2801399995</v>
      </c>
      <c r="K13" s="66">
        <f>K9-K11</f>
        <v>7408266.2141400008</v>
      </c>
      <c r="L13" s="65"/>
      <c r="M13" s="70" t="e">
        <f>M5/12/K15</f>
        <v>#DIV/0!</v>
      </c>
      <c r="N13" s="65"/>
      <c r="O13" s="103"/>
      <c r="P13" s="110">
        <f>P11*P12</f>
        <v>21423.423390173863</v>
      </c>
      <c r="Q13" s="111" t="s">
        <v>18</v>
      </c>
      <c r="S13" s="118">
        <f t="shared" ref="S13" si="3">S11*S12</f>
        <v>2596.3596072244404</v>
      </c>
      <c r="T13" s="118">
        <f t="shared" ref="T13:U13" si="4">T11*T12</f>
        <v>20545.306608231698</v>
      </c>
      <c r="U13" s="119">
        <f t="shared" si="4"/>
        <v>947.39504816806698</v>
      </c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</row>
    <row r="14" spans="1:40" ht="15.75" thickBot="1" x14ac:dyDescent="0.3">
      <c r="A14" s="257"/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120"/>
      <c r="N14" s="65"/>
      <c r="O14" s="103"/>
      <c r="W14" s="121">
        <v>40</v>
      </c>
      <c r="X14" s="122">
        <f>W14*12*18</f>
        <v>8640</v>
      </c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</row>
    <row r="15" spans="1:40" x14ac:dyDescent="0.25">
      <c r="A15" s="257"/>
      <c r="B15" s="64" t="s">
        <v>11</v>
      </c>
      <c r="C15" s="65"/>
      <c r="D15" s="46">
        <v>60</v>
      </c>
      <c r="E15" s="46">
        <v>60</v>
      </c>
      <c r="F15" s="65"/>
      <c r="G15" s="46"/>
      <c r="H15" s="46"/>
      <c r="J15" s="123"/>
      <c r="K15" s="123"/>
      <c r="L15" s="49"/>
      <c r="M15" s="124"/>
      <c r="N15" s="124"/>
      <c r="O15" s="125"/>
      <c r="P15" s="110">
        <f t="shared" ref="P15:P16" si="5">S15*$P$13</f>
        <v>22716.070317735219</v>
      </c>
      <c r="Q15" s="126" t="s">
        <v>14</v>
      </c>
      <c r="S15" s="111">
        <f>$S$95</f>
        <v>1.060338019</v>
      </c>
      <c r="T15" s="111"/>
      <c r="U15" s="111"/>
      <c r="W15" s="121"/>
      <c r="X15" s="122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</row>
    <row r="16" spans="1:40" x14ac:dyDescent="0.25">
      <c r="A16" s="257"/>
      <c r="B16" s="64"/>
      <c r="C16" s="65"/>
      <c r="D16" s="46"/>
      <c r="E16" s="46"/>
      <c r="F16" s="65"/>
      <c r="G16" s="46"/>
      <c r="H16" s="46"/>
      <c r="J16" s="123"/>
      <c r="K16" s="123"/>
      <c r="L16" s="64"/>
      <c r="M16" s="66"/>
      <c r="N16" s="66"/>
      <c r="O16" s="127"/>
      <c r="P16" s="110">
        <f t="shared" si="5"/>
        <v>11974.846228748145</v>
      </c>
      <c r="Q16" s="126" t="s">
        <v>15</v>
      </c>
      <c r="S16" s="111">
        <f>$S$96</f>
        <v>0.55896044300000003</v>
      </c>
      <c r="T16" s="111"/>
      <c r="U16" s="111"/>
      <c r="W16" s="128">
        <v>9.6500000000000002E-2</v>
      </c>
      <c r="X16" s="122">
        <f>W16*X7</f>
        <v>278967.89350000001</v>
      </c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</row>
    <row r="17" spans="1:40" x14ac:dyDescent="0.25">
      <c r="A17" s="257"/>
      <c r="B17" s="64" t="s">
        <v>28</v>
      </c>
      <c r="C17" s="65"/>
      <c r="D17" s="46">
        <v>18</v>
      </c>
      <c r="E17" s="46">
        <v>18</v>
      </c>
      <c r="F17" s="65"/>
      <c r="G17" s="46"/>
      <c r="H17" s="46"/>
      <c r="J17" s="46"/>
      <c r="K17" s="46"/>
      <c r="L17" s="129"/>
      <c r="M17" s="66"/>
      <c r="N17" s="66"/>
      <c r="O17" s="127"/>
      <c r="P17" s="110">
        <f>S17*$P$13</f>
        <v>22716.070317735219</v>
      </c>
      <c r="Q17" s="126" t="s">
        <v>16</v>
      </c>
      <c r="S17" s="111">
        <f>$S$97</f>
        <v>1.060338019</v>
      </c>
      <c r="T17" s="111"/>
      <c r="U17" s="11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</row>
    <row r="18" spans="1:40" x14ac:dyDescent="0.25">
      <c r="A18" s="257"/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4"/>
      <c r="M18" s="66"/>
      <c r="N18" s="66"/>
      <c r="O18" s="127"/>
      <c r="X18" s="122">
        <f>SUM(X14:X17)</f>
        <v>287607.89350000001</v>
      </c>
      <c r="Y18" s="122">
        <f>W7-X18</f>
        <v>129.10649999999441</v>
      </c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</row>
    <row r="19" spans="1:40" ht="15.75" thickBot="1" x14ac:dyDescent="0.3">
      <c r="A19" s="257"/>
      <c r="B19" s="130" t="s">
        <v>12</v>
      </c>
      <c r="C19" s="131"/>
      <c r="D19" s="131">
        <f>D15-D17</f>
        <v>42</v>
      </c>
      <c r="E19" s="131">
        <f>E15-E17</f>
        <v>42</v>
      </c>
      <c r="F19" s="131"/>
      <c r="G19" s="131">
        <v>40</v>
      </c>
      <c r="H19" s="131"/>
      <c r="I19" s="131"/>
      <c r="J19" s="131">
        <v>2</v>
      </c>
      <c r="K19" s="131"/>
      <c r="L19" s="130"/>
      <c r="M19" s="132"/>
      <c r="N19" s="132"/>
      <c r="O19" s="133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</row>
    <row r="20" spans="1:40" ht="16.5" thickBot="1" x14ac:dyDescent="0.3">
      <c r="A20" s="134"/>
      <c r="Y20" s="17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</row>
    <row r="21" spans="1:40" ht="15.75" thickBot="1" x14ac:dyDescent="0.3">
      <c r="A21" s="257" t="s">
        <v>25</v>
      </c>
      <c r="B21" s="49" t="s">
        <v>10</v>
      </c>
      <c r="C21" s="50"/>
      <c r="D21" s="135">
        <v>2777949.9965000004</v>
      </c>
      <c r="E21" s="136">
        <v>2947585.4823000003</v>
      </c>
      <c r="F21" s="137"/>
      <c r="G21" s="135">
        <v>3052127.2017099988</v>
      </c>
      <c r="H21" s="136">
        <v>3307377.2957099997</v>
      </c>
      <c r="I21" s="137"/>
      <c r="J21" s="135">
        <v>3063978.5614899998</v>
      </c>
      <c r="K21" s="136">
        <v>3339734.2324900003</v>
      </c>
      <c r="L21" s="138"/>
      <c r="M21" s="139">
        <v>8894.0583333333343</v>
      </c>
      <c r="N21" s="136"/>
      <c r="O21" s="140">
        <v>28648601</v>
      </c>
      <c r="P21" s="57">
        <f>SUM(S22:U22)</f>
        <v>11772</v>
      </c>
      <c r="Q21" s="38" t="s">
        <v>13</v>
      </c>
      <c r="S21" s="58" t="s">
        <v>34</v>
      </c>
      <c r="T21" s="59" t="s">
        <v>35</v>
      </c>
      <c r="U21" s="60" t="s">
        <v>36</v>
      </c>
      <c r="X21" s="61">
        <v>0</v>
      </c>
      <c r="Y21" s="3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3"/>
    </row>
    <row r="22" spans="1:40" ht="15.75" thickBot="1" x14ac:dyDescent="0.3">
      <c r="A22" s="257"/>
      <c r="B22" s="64"/>
      <c r="C22" s="65"/>
      <c r="D22" s="66"/>
      <c r="E22" s="66"/>
      <c r="F22" s="67"/>
      <c r="G22" s="66"/>
      <c r="H22" s="66"/>
      <c r="I22" s="67"/>
      <c r="J22" s="66"/>
      <c r="K22" s="66"/>
      <c r="L22" s="67"/>
      <c r="M22" s="70"/>
      <c r="N22" s="65"/>
      <c r="O22" s="92"/>
      <c r="P22" s="93"/>
      <c r="S22" s="141">
        <v>3597</v>
      </c>
      <c r="T22" s="142">
        <v>8175</v>
      </c>
      <c r="U22" s="143">
        <v>0</v>
      </c>
      <c r="X22" s="61"/>
      <c r="Y22" s="76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8"/>
    </row>
    <row r="23" spans="1:40" x14ac:dyDescent="0.25">
      <c r="A23" s="257"/>
      <c r="B23" s="64" t="s">
        <v>28</v>
      </c>
      <c r="C23" s="65"/>
      <c r="D23" s="66">
        <v>849342.3</v>
      </c>
      <c r="E23" s="66">
        <v>901534.25999999989</v>
      </c>
      <c r="F23" s="144"/>
      <c r="G23" s="66">
        <v>2110614.0237099999</v>
      </c>
      <c r="H23" s="66">
        <v>2287086.2647100003</v>
      </c>
      <c r="I23" s="120"/>
      <c r="J23" s="69">
        <v>0</v>
      </c>
      <c r="K23" s="69">
        <v>0</v>
      </c>
      <c r="L23" s="67">
        <v>7.8725902889847335E-2</v>
      </c>
      <c r="M23" s="70">
        <v>2666</v>
      </c>
      <c r="N23" s="65"/>
      <c r="O23" s="92">
        <v>8742200</v>
      </c>
      <c r="P23" s="87">
        <f>S22</f>
        <v>3597</v>
      </c>
      <c r="W23" s="88">
        <v>849342</v>
      </c>
      <c r="X23" s="84">
        <v>8742200</v>
      </c>
      <c r="Y23" s="76" t="s">
        <v>34</v>
      </c>
      <c r="Z23" s="77">
        <v>31994.899999999994</v>
      </c>
      <c r="AA23" s="77">
        <v>31994.899999999994</v>
      </c>
      <c r="AB23" s="77">
        <v>31994.899999999994</v>
      </c>
      <c r="AC23" s="77">
        <v>15210.3</v>
      </c>
      <c r="AD23" s="77">
        <v>16784.599999999999</v>
      </c>
      <c r="AE23" s="77">
        <v>1633.6</v>
      </c>
      <c r="AF23" s="77">
        <v>1633.6</v>
      </c>
      <c r="AG23" s="77">
        <v>8216.4000000000015</v>
      </c>
      <c r="AH23" s="77">
        <v>255.8</v>
      </c>
      <c r="AI23" s="77">
        <v>1377.8000000000002</v>
      </c>
      <c r="AJ23" s="77">
        <v>1633.6000000000001</v>
      </c>
      <c r="AK23" s="77">
        <v>1633.6</v>
      </c>
      <c r="AL23" s="77">
        <v>13142.699999999999</v>
      </c>
      <c r="AM23" s="77">
        <v>255.80000000000004</v>
      </c>
      <c r="AN23" s="78">
        <v>1377.7999999999997</v>
      </c>
    </row>
    <row r="24" spans="1:40" ht="15.75" thickBot="1" x14ac:dyDescent="0.3">
      <c r="A24" s="257"/>
      <c r="B24" s="64"/>
      <c r="C24" s="65"/>
      <c r="D24" s="66"/>
      <c r="E24" s="66"/>
      <c r="F24" s="67"/>
      <c r="G24" s="66"/>
      <c r="H24" s="66"/>
      <c r="I24" s="67"/>
      <c r="J24" s="66"/>
      <c r="K24" s="66"/>
      <c r="L24" s="67"/>
      <c r="M24" s="70"/>
      <c r="N24" s="65"/>
      <c r="O24" s="92"/>
      <c r="P24" s="93"/>
      <c r="W24" s="94"/>
      <c r="X24" s="84"/>
      <c r="Y24" s="76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8"/>
    </row>
    <row r="25" spans="1:40" x14ac:dyDescent="0.25">
      <c r="A25" s="257"/>
      <c r="B25" s="64" t="s">
        <v>30</v>
      </c>
      <c r="C25" s="65"/>
      <c r="D25" s="66">
        <f>D21-D23</f>
        <v>1928607.6965000003</v>
      </c>
      <c r="E25" s="66">
        <f>E21-E23</f>
        <v>2046051.2223000005</v>
      </c>
      <c r="F25" s="67"/>
      <c r="G25" s="66">
        <f>G21-G23</f>
        <v>941513.17799999891</v>
      </c>
      <c r="H25" s="66">
        <f>H21-H23</f>
        <v>1020291.0309999995</v>
      </c>
      <c r="I25" s="96"/>
      <c r="J25" s="66">
        <f>J21-J23</f>
        <v>3063978.5614899998</v>
      </c>
      <c r="K25" s="66">
        <f>K21-K23</f>
        <v>3339734.2324900003</v>
      </c>
      <c r="L25" s="67"/>
      <c r="M25" s="70">
        <f>M21-M23</f>
        <v>6228.0583333333343</v>
      </c>
      <c r="N25" s="65"/>
      <c r="O25" s="92">
        <f t="shared" ref="O25" si="6">O21-O23</f>
        <v>19906401</v>
      </c>
      <c r="P25" s="93">
        <f>P21-P23</f>
        <v>8175</v>
      </c>
      <c r="Q25" s="38" t="s">
        <v>31</v>
      </c>
      <c r="R25" s="122"/>
      <c r="S25" s="145">
        <f>S22-S23</f>
        <v>3597</v>
      </c>
      <c r="T25" s="145">
        <f>T22-T23</f>
        <v>8175</v>
      </c>
      <c r="U25" s="146">
        <f>U22-U23</f>
        <v>0</v>
      </c>
      <c r="W25" s="99">
        <v>2110614</v>
      </c>
      <c r="X25" s="147">
        <v>19906401</v>
      </c>
      <c r="Y25" s="76" t="s">
        <v>35</v>
      </c>
      <c r="Z25" s="77">
        <v>74733.8</v>
      </c>
      <c r="AA25" s="77">
        <v>74733.8</v>
      </c>
      <c r="AB25" s="77">
        <v>74733.8</v>
      </c>
      <c r="AC25" s="77">
        <v>34965.700000000004</v>
      </c>
      <c r="AD25" s="77">
        <v>39768.100000000006</v>
      </c>
      <c r="AE25" s="77">
        <v>235.99999999999994</v>
      </c>
      <c r="AF25" s="77">
        <v>236.00000000000009</v>
      </c>
      <c r="AG25" s="77">
        <v>5214.9250000000002</v>
      </c>
      <c r="AH25" s="77">
        <v>0</v>
      </c>
      <c r="AI25" s="77">
        <v>235.99999999999991</v>
      </c>
      <c r="AJ25" s="77">
        <v>236.00000000000009</v>
      </c>
      <c r="AK25" s="77">
        <v>235.99999999999994</v>
      </c>
      <c r="AL25" s="77">
        <v>23085.8</v>
      </c>
      <c r="AM25" s="77">
        <v>0</v>
      </c>
      <c r="AN25" s="78">
        <v>235.99999999999997</v>
      </c>
    </row>
    <row r="26" spans="1:40" x14ac:dyDescent="0.25">
      <c r="A26" s="257"/>
      <c r="B26" s="64"/>
      <c r="C26" s="65"/>
      <c r="D26" s="101"/>
      <c r="E26" s="102"/>
      <c r="F26" s="102"/>
      <c r="G26" s="102"/>
      <c r="H26" s="102"/>
      <c r="I26" s="102"/>
      <c r="J26" s="102"/>
      <c r="K26" s="65"/>
      <c r="L26" s="65"/>
      <c r="M26" s="70"/>
      <c r="N26" s="65"/>
      <c r="O26" s="103"/>
      <c r="P26" s="148">
        <v>1.1875812547</v>
      </c>
      <c r="R26" s="122"/>
      <c r="S26" s="105">
        <v>1.1875812547</v>
      </c>
      <c r="T26" s="105">
        <v>1.1875812547</v>
      </c>
      <c r="U26" s="106">
        <v>1.1875812547</v>
      </c>
      <c r="W26" s="94"/>
      <c r="X26" s="84"/>
      <c r="Y26" s="76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8"/>
    </row>
    <row r="27" spans="1:40" ht="15.75" thickBot="1" x14ac:dyDescent="0.3">
      <c r="A27" s="257"/>
      <c r="B27" s="64"/>
      <c r="C27" s="65"/>
      <c r="D27" s="66"/>
      <c r="E27" s="66"/>
      <c r="F27" s="65"/>
      <c r="G27" s="66"/>
      <c r="H27" s="66"/>
      <c r="I27" s="65"/>
      <c r="J27" s="66"/>
      <c r="K27" s="66"/>
      <c r="L27" s="65"/>
      <c r="M27" s="70"/>
      <c r="N27" s="65"/>
      <c r="O27" s="103"/>
      <c r="P27" s="110">
        <f>P25/P26</f>
        <v>6883.7395063676058</v>
      </c>
      <c r="Q27" s="111" t="s">
        <v>17</v>
      </c>
      <c r="R27" s="122"/>
      <c r="S27" s="95">
        <f t="shared" ref="S27" si="7">S25/S26</f>
        <v>3028.8453828017468</v>
      </c>
      <c r="T27" s="95">
        <f t="shared" ref="T27:U27" si="8">T25/T26</f>
        <v>6883.7395063676058</v>
      </c>
      <c r="U27" s="78">
        <f t="shared" si="8"/>
        <v>0</v>
      </c>
      <c r="W27" s="149">
        <v>0</v>
      </c>
      <c r="X27" s="84"/>
      <c r="Y27" s="112" t="s">
        <v>36</v>
      </c>
      <c r="Z27" s="150">
        <v>0</v>
      </c>
      <c r="AA27" s="150">
        <v>0</v>
      </c>
      <c r="AB27" s="150">
        <v>0</v>
      </c>
      <c r="AC27" s="150">
        <v>0</v>
      </c>
      <c r="AD27" s="150">
        <v>0</v>
      </c>
      <c r="AE27" s="150">
        <v>0</v>
      </c>
      <c r="AF27" s="150">
        <v>0</v>
      </c>
      <c r="AG27" s="150">
        <v>0</v>
      </c>
      <c r="AH27" s="150">
        <v>0</v>
      </c>
      <c r="AI27" s="150">
        <v>0</v>
      </c>
      <c r="AJ27" s="150">
        <v>0</v>
      </c>
      <c r="AK27" s="150">
        <v>0</v>
      </c>
      <c r="AL27" s="150">
        <v>0</v>
      </c>
      <c r="AM27" s="150">
        <v>0</v>
      </c>
      <c r="AN27" s="119">
        <v>0</v>
      </c>
    </row>
    <row r="28" spans="1:40" x14ac:dyDescent="0.25">
      <c r="A28" s="257"/>
      <c r="B28" s="64"/>
      <c r="C28" s="65"/>
      <c r="D28" s="66"/>
      <c r="E28" s="66"/>
      <c r="F28" s="65"/>
      <c r="G28" s="66"/>
      <c r="H28" s="66"/>
      <c r="I28" s="65"/>
      <c r="J28" s="66"/>
      <c r="K28" s="66"/>
      <c r="L28" s="65"/>
      <c r="M28" s="70"/>
      <c r="N28" s="65"/>
      <c r="O28" s="103"/>
      <c r="P28" s="111">
        <f>P92</f>
        <v>1.0898522576911902</v>
      </c>
      <c r="Q28" s="111" t="s">
        <v>19</v>
      </c>
      <c r="R28" s="122"/>
      <c r="S28" s="116">
        <v>1.0933999999999999</v>
      </c>
      <c r="T28" s="116">
        <v>1.0933999999999999</v>
      </c>
      <c r="U28" s="117">
        <v>1.0933999999999999</v>
      </c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</row>
    <row r="29" spans="1:40" ht="15.75" thickBot="1" x14ac:dyDescent="0.3">
      <c r="A29" s="257"/>
      <c r="B29" s="64" t="s">
        <v>75</v>
      </c>
      <c r="C29" s="65"/>
      <c r="D29" s="66">
        <f>D25-D27</f>
        <v>1928607.6965000003</v>
      </c>
      <c r="E29" s="66">
        <f>E25-E27</f>
        <v>2046051.2223000005</v>
      </c>
      <c r="F29" s="65"/>
      <c r="G29" s="66">
        <f>G25-G27</f>
        <v>941513.17799999891</v>
      </c>
      <c r="H29" s="66">
        <f>H25-H27</f>
        <v>1020291.0309999995</v>
      </c>
      <c r="I29" s="65"/>
      <c r="J29" s="66">
        <f>J25-J27</f>
        <v>3063978.5614899998</v>
      </c>
      <c r="K29" s="66">
        <f>K25-K27</f>
        <v>3339734.2324900003</v>
      </c>
      <c r="L29" s="65"/>
      <c r="M29" s="70" t="e">
        <f>M21/12/K31</f>
        <v>#DIV/0!</v>
      </c>
      <c r="N29" s="65"/>
      <c r="O29" s="103"/>
      <c r="P29" s="151">
        <f>P27*P28</f>
        <v>7502.2590423727743</v>
      </c>
      <c r="Q29" s="111" t="s">
        <v>18</v>
      </c>
      <c r="R29" s="122"/>
      <c r="S29" s="118">
        <f t="shared" ref="S29" si="9">S27*S28</f>
        <v>3311.7395415554297</v>
      </c>
      <c r="T29" s="118">
        <f t="shared" ref="T29:U29" si="10">T27*T28</f>
        <v>7526.6807762623394</v>
      </c>
      <c r="U29" s="119">
        <f t="shared" si="10"/>
        <v>0</v>
      </c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</row>
    <row r="30" spans="1:40" ht="15.75" thickBot="1" x14ac:dyDescent="0.3">
      <c r="A30" s="257"/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103"/>
      <c r="P30" s="111"/>
      <c r="W30" s="121">
        <v>40</v>
      </c>
      <c r="X30" s="122">
        <f>W30*12*12</f>
        <v>5760</v>
      </c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</row>
    <row r="31" spans="1:40" x14ac:dyDescent="0.25">
      <c r="A31" s="257"/>
      <c r="B31" s="64" t="s">
        <v>11</v>
      </c>
      <c r="C31" s="65"/>
      <c r="D31" s="65">
        <v>28</v>
      </c>
      <c r="E31" s="65">
        <v>28</v>
      </c>
      <c r="F31" s="65"/>
      <c r="G31" s="65"/>
      <c r="H31" s="65"/>
      <c r="I31" s="120"/>
      <c r="J31" s="152"/>
      <c r="K31" s="152"/>
      <c r="L31" s="49"/>
      <c r="M31" s="124"/>
      <c r="N31" s="124"/>
      <c r="O31" s="125"/>
      <c r="P31" s="151">
        <f>S31*$P$29</f>
        <v>7954.9304910143846</v>
      </c>
      <c r="Q31" s="126" t="s">
        <v>14</v>
      </c>
      <c r="S31" s="111">
        <f>$S$95</f>
        <v>1.060338019</v>
      </c>
      <c r="T31" s="111"/>
      <c r="U31" s="111"/>
      <c r="W31" s="121"/>
      <c r="X31" s="122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</row>
    <row r="32" spans="1:40" x14ac:dyDescent="0.25">
      <c r="A32" s="257"/>
      <c r="B32" s="64"/>
      <c r="C32" s="65"/>
      <c r="D32" s="65"/>
      <c r="E32" s="65"/>
      <c r="F32" s="65"/>
      <c r="G32" s="65"/>
      <c r="H32" s="65"/>
      <c r="I32" s="120"/>
      <c r="J32" s="152"/>
      <c r="K32" s="152"/>
      <c r="L32" s="64"/>
      <c r="M32" s="66"/>
      <c r="N32" s="66"/>
      <c r="O32" s="127"/>
      <c r="P32" s="151">
        <f t="shared" ref="P32:P33" si="11">S32*$P$29</f>
        <v>4193.4660378254421</v>
      </c>
      <c r="Q32" s="126" t="s">
        <v>15</v>
      </c>
      <c r="S32" s="111">
        <f>$S$96</f>
        <v>0.55896044300000003</v>
      </c>
      <c r="T32" s="111"/>
      <c r="U32" s="111"/>
      <c r="W32" s="128">
        <v>9.6500000000000002E-2</v>
      </c>
      <c r="X32" s="122">
        <f>W32*X23</f>
        <v>843622.3</v>
      </c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</row>
    <row r="33" spans="1:40" x14ac:dyDescent="0.25">
      <c r="A33" s="257"/>
      <c r="B33" s="64" t="s">
        <v>28</v>
      </c>
      <c r="C33" s="65"/>
      <c r="D33" s="65">
        <v>12</v>
      </c>
      <c r="E33" s="65">
        <v>12</v>
      </c>
      <c r="F33" s="65"/>
      <c r="G33" s="65"/>
      <c r="H33" s="65"/>
      <c r="I33" s="120"/>
      <c r="J33" s="65"/>
      <c r="K33" s="65"/>
      <c r="L33" s="129"/>
      <c r="M33" s="66"/>
      <c r="N33" s="66"/>
      <c r="O33" s="127"/>
      <c r="P33" s="151">
        <f t="shared" si="11"/>
        <v>7954.9304910143846</v>
      </c>
      <c r="Q33" s="126" t="s">
        <v>16</v>
      </c>
      <c r="S33" s="111">
        <f>$S$97</f>
        <v>1.060338019</v>
      </c>
      <c r="T33" s="111"/>
      <c r="U33" s="11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</row>
    <row r="34" spans="1:40" x14ac:dyDescent="0.25">
      <c r="A34" s="257"/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4"/>
      <c r="M34" s="66"/>
      <c r="N34" s="66"/>
      <c r="O34" s="127"/>
      <c r="X34" s="122">
        <f>SUM(X30:X33)</f>
        <v>849382.3</v>
      </c>
      <c r="Y34" s="122">
        <f>W23-X34</f>
        <v>-40.300000000046566</v>
      </c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</row>
    <row r="35" spans="1:40" ht="15.75" thickBot="1" x14ac:dyDescent="0.3">
      <c r="A35" s="257"/>
      <c r="B35" s="130" t="s">
        <v>12</v>
      </c>
      <c r="C35" s="131"/>
      <c r="D35" s="131">
        <f>D31-D33</f>
        <v>16</v>
      </c>
      <c r="E35" s="131">
        <f>E31-E33</f>
        <v>16</v>
      </c>
      <c r="F35" s="131"/>
      <c r="G35" s="131">
        <v>16</v>
      </c>
      <c r="H35" s="131"/>
      <c r="I35" s="131"/>
      <c r="J35" s="131"/>
      <c r="K35" s="131"/>
      <c r="L35" s="130"/>
      <c r="M35" s="132"/>
      <c r="N35" s="132"/>
      <c r="O35" s="133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</row>
    <row r="36" spans="1:40" ht="15.75" thickBot="1" x14ac:dyDescent="0.3"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</row>
    <row r="37" spans="1:40" ht="15.75" thickBot="1" x14ac:dyDescent="0.3">
      <c r="A37" s="259" t="s">
        <v>27</v>
      </c>
      <c r="B37" s="49" t="s">
        <v>10</v>
      </c>
      <c r="C37" s="50"/>
      <c r="D37" s="124">
        <v>3526887.2145000002</v>
      </c>
      <c r="E37" s="124">
        <v>3744047.2419000007</v>
      </c>
      <c r="F37" s="153"/>
      <c r="G37" s="124">
        <v>3901247.7856299994</v>
      </c>
      <c r="H37" s="124">
        <v>4226672.5171299996</v>
      </c>
      <c r="I37" s="153"/>
      <c r="J37" s="124">
        <v>4045953.7979699993</v>
      </c>
      <c r="K37" s="124">
        <v>4348576.1889699996</v>
      </c>
      <c r="L37" s="153"/>
      <c r="M37" s="90">
        <v>11368.083333333332</v>
      </c>
      <c r="N37" s="154"/>
      <c r="O37" s="91">
        <v>36265053</v>
      </c>
      <c r="P37" s="93">
        <f>SUM(S38:U38)</f>
        <v>15123</v>
      </c>
      <c r="Q37" s="38" t="s">
        <v>13</v>
      </c>
      <c r="S37" s="58" t="s">
        <v>34</v>
      </c>
      <c r="T37" s="59" t="s">
        <v>35</v>
      </c>
      <c r="U37" s="60" t="s">
        <v>36</v>
      </c>
      <c r="W37" s="94"/>
      <c r="X37" s="155"/>
      <c r="Y37" s="3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</row>
    <row r="38" spans="1:40" ht="15.75" thickBot="1" x14ac:dyDescent="0.3">
      <c r="A38" s="259"/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103"/>
      <c r="P38" s="111"/>
      <c r="S38" s="141">
        <v>631</v>
      </c>
      <c r="T38" s="142">
        <v>14161</v>
      </c>
      <c r="U38" s="143">
        <v>331</v>
      </c>
      <c r="W38" s="94"/>
      <c r="X38" s="155"/>
      <c r="Y38" s="76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8"/>
    </row>
    <row r="39" spans="1:40" x14ac:dyDescent="0.25">
      <c r="A39" s="259"/>
      <c r="B39" s="64" t="s">
        <v>28</v>
      </c>
      <c r="C39" s="65"/>
      <c r="D39" s="66"/>
      <c r="E39" s="66"/>
      <c r="F39" s="67"/>
      <c r="G39" s="66">
        <v>142399.46580000001</v>
      </c>
      <c r="H39" s="66">
        <v>154979.92379999999</v>
      </c>
      <c r="I39" s="67">
        <v>8.8346244343846289E-2</v>
      </c>
      <c r="J39" s="66">
        <v>145559.8872</v>
      </c>
      <c r="K39" s="66">
        <v>159999.0252</v>
      </c>
      <c r="L39" s="67">
        <v>9.9197232683758269E-2</v>
      </c>
      <c r="M39" s="70">
        <v>444</v>
      </c>
      <c r="N39" s="65"/>
      <c r="O39" s="92">
        <v>1198080</v>
      </c>
      <c r="P39" s="87">
        <f>S38</f>
        <v>631</v>
      </c>
      <c r="W39" s="88">
        <v>116575</v>
      </c>
      <c r="X39" s="86">
        <v>1198080</v>
      </c>
      <c r="Y39" s="76" t="s">
        <v>34</v>
      </c>
      <c r="Z39" s="70">
        <v>5330.7000000000007</v>
      </c>
      <c r="AA39" s="70">
        <v>5330.7000000000007</v>
      </c>
      <c r="AB39" s="70">
        <v>5330.7000000000007</v>
      </c>
      <c r="AC39" s="70">
        <v>2484.6</v>
      </c>
      <c r="AD39" s="70">
        <v>2846.1</v>
      </c>
      <c r="AE39" s="70">
        <v>15.000000000000121</v>
      </c>
      <c r="AF39" s="70">
        <v>15.000000000000002</v>
      </c>
      <c r="AG39" s="70">
        <v>964.20000000000027</v>
      </c>
      <c r="AH39" s="70">
        <v>0</v>
      </c>
      <c r="AI39" s="70">
        <v>15.000000000000052</v>
      </c>
      <c r="AJ39" s="70">
        <v>15.000000000000073</v>
      </c>
      <c r="AK39" s="70">
        <v>15.000000000000085</v>
      </c>
      <c r="AL39" s="70">
        <v>2243.7000000000007</v>
      </c>
      <c r="AM39" s="70">
        <v>0</v>
      </c>
      <c r="AN39" s="92">
        <v>15.000000000000068</v>
      </c>
    </row>
    <row r="40" spans="1:40" ht="15.75" thickBot="1" x14ac:dyDescent="0.3">
      <c r="A40" s="259"/>
      <c r="B40" s="64"/>
      <c r="C40" s="65"/>
      <c r="D40" s="66"/>
      <c r="E40" s="66"/>
      <c r="F40" s="67"/>
      <c r="G40" s="66"/>
      <c r="H40" s="66"/>
      <c r="I40" s="96"/>
      <c r="J40" s="66"/>
      <c r="K40" s="66"/>
      <c r="L40" s="67"/>
      <c r="M40" s="70"/>
      <c r="N40" s="65"/>
      <c r="O40" s="156"/>
      <c r="P40" s="93"/>
      <c r="W40" s="94"/>
      <c r="X40" s="86"/>
      <c r="Y40" s="76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8"/>
    </row>
    <row r="41" spans="1:40" x14ac:dyDescent="0.25">
      <c r="A41" s="259"/>
      <c r="B41" s="64" t="s">
        <v>30</v>
      </c>
      <c r="C41" s="65"/>
      <c r="D41" s="66">
        <f>D37-D39</f>
        <v>3526887.2145000002</v>
      </c>
      <c r="E41" s="66">
        <f>E37-E39</f>
        <v>3744047.2419000007</v>
      </c>
      <c r="F41" s="67"/>
      <c r="G41" s="66">
        <f>G37-G39</f>
        <v>3758848.3198299995</v>
      </c>
      <c r="H41" s="66">
        <f>H37-H39</f>
        <v>4071692.5933299996</v>
      </c>
      <c r="I41" s="96"/>
      <c r="J41" s="66">
        <f>J37-J39</f>
        <v>3900393.910769999</v>
      </c>
      <c r="K41" s="66">
        <f>K37-K39</f>
        <v>4188577.1637699995</v>
      </c>
      <c r="L41" s="67"/>
      <c r="M41" s="70">
        <f>M37-M39</f>
        <v>10924.083333333332</v>
      </c>
      <c r="N41" s="65"/>
      <c r="O41" s="92">
        <f t="shared" ref="O41" si="12">O37-O39</f>
        <v>35066973</v>
      </c>
      <c r="P41" s="93">
        <f>P37-P39</f>
        <v>14492</v>
      </c>
      <c r="Q41" s="38" t="s">
        <v>31</v>
      </c>
      <c r="S41" s="97">
        <f>S38-S39</f>
        <v>631</v>
      </c>
      <c r="T41" s="97">
        <f>T38-T39</f>
        <v>14161</v>
      </c>
      <c r="U41" s="98">
        <f>U38-U39</f>
        <v>331</v>
      </c>
      <c r="W41" s="149">
        <v>3681388</v>
      </c>
      <c r="X41" s="86">
        <v>34416813</v>
      </c>
      <c r="Y41" s="76" t="s">
        <v>35</v>
      </c>
      <c r="Z41" s="70">
        <v>128415.90000000001</v>
      </c>
      <c r="AA41" s="70">
        <v>128415.90000000001</v>
      </c>
      <c r="AB41" s="70">
        <v>128415.90000000001</v>
      </c>
      <c r="AC41" s="70">
        <v>60742.100000000006</v>
      </c>
      <c r="AD41" s="70">
        <v>67673.8</v>
      </c>
      <c r="AE41" s="70">
        <v>1594.2999999999997</v>
      </c>
      <c r="AF41" s="70">
        <v>1594.3000000000002</v>
      </c>
      <c r="AG41" s="70">
        <v>38180.35</v>
      </c>
      <c r="AH41" s="70">
        <v>187.95</v>
      </c>
      <c r="AI41" s="70">
        <v>1406.35</v>
      </c>
      <c r="AJ41" s="70">
        <v>1594.3</v>
      </c>
      <c r="AK41" s="70">
        <v>1594.3</v>
      </c>
      <c r="AL41" s="70">
        <v>54174.899999999987</v>
      </c>
      <c r="AM41" s="70">
        <v>187.95</v>
      </c>
      <c r="AN41" s="92">
        <v>1406.35</v>
      </c>
    </row>
    <row r="42" spans="1:40" x14ac:dyDescent="0.25">
      <c r="A42" s="259"/>
      <c r="B42" s="64"/>
      <c r="C42" s="65"/>
      <c r="D42" s="101"/>
      <c r="E42" s="102"/>
      <c r="F42" s="102"/>
      <c r="G42" s="102"/>
      <c r="H42" s="102"/>
      <c r="I42" s="102"/>
      <c r="J42" s="102"/>
      <c r="K42" s="65"/>
      <c r="L42" s="65"/>
      <c r="M42" s="70"/>
      <c r="N42" s="65"/>
      <c r="O42" s="103"/>
      <c r="P42" s="148">
        <v>1.1875812547</v>
      </c>
      <c r="S42" s="105">
        <v>1.1875812547</v>
      </c>
      <c r="T42" s="105">
        <v>1.1875812547</v>
      </c>
      <c r="U42" s="106">
        <v>1.1875812547</v>
      </c>
      <c r="W42" s="99"/>
      <c r="X42" s="86"/>
      <c r="Y42" s="76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9"/>
    </row>
    <row r="43" spans="1:40" ht="15.75" thickBot="1" x14ac:dyDescent="0.3">
      <c r="A43" s="259"/>
      <c r="B43" s="64"/>
      <c r="C43" s="65"/>
      <c r="D43" s="66"/>
      <c r="E43" s="66"/>
      <c r="F43" s="65"/>
      <c r="G43" s="66"/>
      <c r="H43" s="66"/>
      <c r="I43" s="65"/>
      <c r="J43" s="66"/>
      <c r="K43" s="66"/>
      <c r="L43" s="65"/>
      <c r="M43" s="70"/>
      <c r="N43" s="65"/>
      <c r="O43" s="103"/>
      <c r="P43" s="110">
        <f>P41/P42</f>
        <v>12202.954486395027</v>
      </c>
      <c r="Q43" s="111" t="s">
        <v>17</v>
      </c>
      <c r="S43" s="95">
        <f>S38/S42</f>
        <v>531.33206465051489</v>
      </c>
      <c r="T43" s="95">
        <f>T38/T42</f>
        <v>11924.236715556168</v>
      </c>
      <c r="U43" s="78">
        <f>U38/U42</f>
        <v>278.71777083885962</v>
      </c>
      <c r="W43" s="99">
        <v>78394</v>
      </c>
      <c r="X43" s="86">
        <v>650160</v>
      </c>
      <c r="Y43" s="112" t="s">
        <v>36</v>
      </c>
      <c r="Z43" s="114">
        <v>2670.4</v>
      </c>
      <c r="AA43" s="114">
        <v>2670.4</v>
      </c>
      <c r="AB43" s="114">
        <v>2670.4</v>
      </c>
      <c r="AC43" s="114">
        <v>1447.9</v>
      </c>
      <c r="AD43" s="114">
        <v>1222.5</v>
      </c>
      <c r="AE43" s="114">
        <v>232.84999999999997</v>
      </c>
      <c r="AF43" s="114">
        <v>232.85</v>
      </c>
      <c r="AG43" s="114">
        <v>654.6</v>
      </c>
      <c r="AH43" s="114">
        <v>0</v>
      </c>
      <c r="AI43" s="114">
        <v>232.85</v>
      </c>
      <c r="AJ43" s="114">
        <v>232.85000000000008</v>
      </c>
      <c r="AK43" s="114">
        <v>232.85</v>
      </c>
      <c r="AL43" s="114">
        <v>1305.2</v>
      </c>
      <c r="AM43" s="114">
        <v>0</v>
      </c>
      <c r="AN43" s="115">
        <v>232.85000000000005</v>
      </c>
    </row>
    <row r="44" spans="1:40" x14ac:dyDescent="0.25">
      <c r="A44" s="259"/>
      <c r="B44" s="64"/>
      <c r="C44" s="65"/>
      <c r="D44" s="66"/>
      <c r="E44" s="66"/>
      <c r="F44" s="65"/>
      <c r="G44" s="66"/>
      <c r="H44" s="66"/>
      <c r="I44" s="65"/>
      <c r="J44" s="66"/>
      <c r="K44" s="66"/>
      <c r="L44" s="65"/>
      <c r="M44" s="70"/>
      <c r="N44" s="65"/>
      <c r="O44" s="103"/>
      <c r="P44" s="111">
        <f>P92</f>
        <v>1.0898522576911902</v>
      </c>
      <c r="Q44" s="111" t="s">
        <v>19</v>
      </c>
      <c r="S44" s="116">
        <v>1.0933999999999999</v>
      </c>
      <c r="T44" s="116">
        <v>1.0933999999999999</v>
      </c>
      <c r="U44" s="117">
        <v>1.0933999999999999</v>
      </c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</row>
    <row r="45" spans="1:40" ht="15.75" thickBot="1" x14ac:dyDescent="0.3">
      <c r="A45" s="259"/>
      <c r="B45" s="64" t="s">
        <v>75</v>
      </c>
      <c r="C45" s="65"/>
      <c r="D45" s="66">
        <f>D41-D43</f>
        <v>3526887.2145000002</v>
      </c>
      <c r="E45" s="66">
        <f>E41-E43</f>
        <v>3744047.2419000007</v>
      </c>
      <c r="F45" s="65"/>
      <c r="G45" s="66">
        <f t="shared" ref="G45:H45" si="13">G41-G43</f>
        <v>3758848.3198299995</v>
      </c>
      <c r="H45" s="66">
        <f t="shared" si="13"/>
        <v>4071692.5933299996</v>
      </c>
      <c r="I45" s="65"/>
      <c r="J45" s="66">
        <f t="shared" ref="J45:K45" si="14">J41-J43</f>
        <v>3900393.910769999</v>
      </c>
      <c r="K45" s="66">
        <f t="shared" si="14"/>
        <v>4188577.1637699995</v>
      </c>
      <c r="L45" s="65"/>
      <c r="M45" s="70" t="e">
        <f>M37/12/K47</f>
        <v>#DIV/0!</v>
      </c>
      <c r="N45" s="65"/>
      <c r="O45" s="103"/>
      <c r="P45" s="151">
        <f>P43*P44</f>
        <v>13299.417497500459</v>
      </c>
      <c r="Q45" s="111" t="s">
        <v>18</v>
      </c>
      <c r="S45" s="118">
        <f t="shared" ref="S45" si="15">S43*S44</f>
        <v>580.95847948887297</v>
      </c>
      <c r="T45" s="118">
        <f t="shared" ref="T45:U45" si="16">T43*T44</f>
        <v>13037.960424789113</v>
      </c>
      <c r="U45" s="119">
        <f t="shared" si="16"/>
        <v>304.75001063520909</v>
      </c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</row>
    <row r="46" spans="1:40" ht="15.75" thickBot="1" x14ac:dyDescent="0.3">
      <c r="A46" s="259"/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103"/>
      <c r="W46" s="121">
        <v>40</v>
      </c>
      <c r="X46" s="122">
        <f>W46*12*2</f>
        <v>960</v>
      </c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</row>
    <row r="47" spans="1:40" x14ac:dyDescent="0.25">
      <c r="A47" s="259"/>
      <c r="B47" s="64" t="s">
        <v>11</v>
      </c>
      <c r="C47" s="65"/>
      <c r="D47" s="65">
        <v>54</v>
      </c>
      <c r="E47" s="65">
        <v>54</v>
      </c>
      <c r="F47" s="65"/>
      <c r="G47" s="65"/>
      <c r="H47" s="65"/>
      <c r="I47" s="120"/>
      <c r="J47" s="152"/>
      <c r="K47" s="152"/>
      <c r="L47" s="49"/>
      <c r="M47" s="124"/>
      <c r="N47" s="124"/>
      <c r="O47" s="125"/>
      <c r="P47" s="151">
        <f>S47*$P$45</f>
        <v>14101.878003153573</v>
      </c>
      <c r="Q47" s="126" t="s">
        <v>14</v>
      </c>
      <c r="S47" s="111">
        <f>$S$95</f>
        <v>1.060338019</v>
      </c>
      <c r="T47" s="111"/>
      <c r="U47" s="111"/>
      <c r="W47" s="121"/>
      <c r="X47" s="122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</row>
    <row r="48" spans="1:40" x14ac:dyDescent="0.25">
      <c r="A48" s="259"/>
      <c r="B48" s="64"/>
      <c r="C48" s="65"/>
      <c r="D48" s="65"/>
      <c r="E48" s="65"/>
      <c r="F48" s="65"/>
      <c r="G48" s="65"/>
      <c r="H48" s="65"/>
      <c r="I48" s="120"/>
      <c r="J48" s="152"/>
      <c r="K48" s="152"/>
      <c r="L48" s="64"/>
      <c r="M48" s="66"/>
      <c r="N48" s="66"/>
      <c r="O48" s="127"/>
      <c r="P48" s="151">
        <f t="shared" ref="P48:P49" si="17">S48*$P$45</f>
        <v>7433.8482960448082</v>
      </c>
      <c r="Q48" s="126" t="s">
        <v>15</v>
      </c>
      <c r="S48" s="111">
        <f>$S$96</f>
        <v>0.55896044300000003</v>
      </c>
      <c r="T48" s="111"/>
      <c r="U48" s="111"/>
      <c r="W48" s="128">
        <v>9.6500000000000002E-2</v>
      </c>
      <c r="X48" s="122">
        <f>W48*X39</f>
        <v>115614.72</v>
      </c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</row>
    <row r="49" spans="1:40" x14ac:dyDescent="0.25">
      <c r="A49" s="259"/>
      <c r="B49" s="64" t="s">
        <v>28</v>
      </c>
      <c r="C49" s="65"/>
      <c r="D49" s="65">
        <v>2</v>
      </c>
      <c r="E49" s="65">
        <v>2</v>
      </c>
      <c r="F49" s="65"/>
      <c r="G49" s="65"/>
      <c r="H49" s="65"/>
      <c r="I49" s="120"/>
      <c r="J49" s="152"/>
      <c r="K49" s="152"/>
      <c r="L49" s="129"/>
      <c r="M49" s="66"/>
      <c r="N49" s="66"/>
      <c r="O49" s="127"/>
      <c r="P49" s="151">
        <f t="shared" si="17"/>
        <v>14101.878003153573</v>
      </c>
      <c r="Q49" s="126" t="s">
        <v>16</v>
      </c>
      <c r="S49" s="111">
        <f>$S$97</f>
        <v>1.060338019</v>
      </c>
      <c r="T49" s="111"/>
      <c r="U49" s="11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</row>
    <row r="50" spans="1:40" x14ac:dyDescent="0.25">
      <c r="A50" s="259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4"/>
      <c r="M50" s="66"/>
      <c r="N50" s="66"/>
      <c r="O50" s="127"/>
      <c r="X50" s="122">
        <f>SUM(X46:X49)</f>
        <v>116574.72</v>
      </c>
      <c r="Y50" s="122">
        <f>W39-X50</f>
        <v>0.27999999999883585</v>
      </c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</row>
    <row r="51" spans="1:40" ht="15.75" thickBot="1" x14ac:dyDescent="0.3">
      <c r="A51" s="259"/>
      <c r="B51" s="130" t="s">
        <v>12</v>
      </c>
      <c r="C51" s="131"/>
      <c r="D51" s="131">
        <f>D47-D49</f>
        <v>52</v>
      </c>
      <c r="E51" s="131">
        <f>E47-E49</f>
        <v>52</v>
      </c>
      <c r="F51" s="131"/>
      <c r="G51" s="131">
        <v>51</v>
      </c>
      <c r="H51" s="131"/>
      <c r="I51" s="131"/>
      <c r="J51" s="131">
        <v>1</v>
      </c>
      <c r="K51" s="131"/>
      <c r="L51" s="130"/>
      <c r="M51" s="132"/>
      <c r="N51" s="132"/>
      <c r="O51" s="133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</row>
    <row r="52" spans="1:40" ht="15.75" thickBot="1" x14ac:dyDescent="0.3">
      <c r="A52" s="157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158"/>
      <c r="N52" s="158"/>
      <c r="O52" s="158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</row>
    <row r="53" spans="1:40" ht="15.75" thickBot="1" x14ac:dyDescent="0.3">
      <c r="A53" s="258" t="s">
        <v>32</v>
      </c>
      <c r="B53" s="49" t="s">
        <v>10</v>
      </c>
      <c r="C53" s="50"/>
      <c r="D53" s="124">
        <v>2465537.7250000001</v>
      </c>
      <c r="E53" s="124">
        <v>2617563.4949999992</v>
      </c>
      <c r="F53" s="153"/>
      <c r="G53" s="124">
        <v>3001458.8614999992</v>
      </c>
      <c r="H53" s="124">
        <v>3266405.2685000007</v>
      </c>
      <c r="I53" s="153"/>
      <c r="J53" s="124">
        <v>3148086.3344999989</v>
      </c>
      <c r="K53" s="124">
        <v>3444319.2005000007</v>
      </c>
      <c r="L53" s="153"/>
      <c r="M53" s="90">
        <v>9319.6166666666686</v>
      </c>
      <c r="N53" s="154"/>
      <c r="O53" s="91">
        <v>25336730</v>
      </c>
      <c r="P53" s="93">
        <f>SUM(S54:U54)</f>
        <v>12238</v>
      </c>
      <c r="Q53" s="38" t="s">
        <v>13</v>
      </c>
      <c r="S53" s="58" t="s">
        <v>34</v>
      </c>
      <c r="T53" s="59" t="s">
        <v>35</v>
      </c>
      <c r="U53" s="60" t="s">
        <v>36</v>
      </c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</row>
    <row r="54" spans="1:40" ht="15.75" thickBot="1" x14ac:dyDescent="0.3">
      <c r="A54" s="258"/>
      <c r="B54" s="64"/>
      <c r="C54" s="65"/>
      <c r="D54" s="65">
        <v>22</v>
      </c>
      <c r="E54" s="65"/>
      <c r="F54" s="65"/>
      <c r="G54" s="65">
        <v>16</v>
      </c>
      <c r="H54" s="65"/>
      <c r="I54" s="65"/>
      <c r="J54" s="65">
        <v>2</v>
      </c>
      <c r="K54" s="65"/>
      <c r="L54" s="65"/>
      <c r="M54" s="65"/>
      <c r="N54" s="65"/>
      <c r="O54" s="103"/>
      <c r="P54" s="111"/>
      <c r="S54" s="141">
        <v>5600</v>
      </c>
      <c r="T54" s="142">
        <v>5812</v>
      </c>
      <c r="U54" s="142">
        <v>826</v>
      </c>
      <c r="V54" s="265"/>
      <c r="W54" s="159"/>
      <c r="X54" s="86"/>
      <c r="Y54" s="3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3"/>
    </row>
    <row r="55" spans="1:40" x14ac:dyDescent="0.25">
      <c r="A55" s="258"/>
      <c r="B55" s="64" t="s">
        <v>28</v>
      </c>
      <c r="C55" s="65"/>
      <c r="D55" s="66">
        <v>1185026.5669999996</v>
      </c>
      <c r="E55" s="66">
        <v>1258361.8673999999</v>
      </c>
      <c r="F55" s="67"/>
      <c r="G55" s="66">
        <v>1427955.8234300001</v>
      </c>
      <c r="H55" s="66">
        <v>1555566.1744300004</v>
      </c>
      <c r="I55" s="67"/>
      <c r="J55" s="66">
        <v>190447.74871000001</v>
      </c>
      <c r="K55" s="66">
        <v>210334.66470999998</v>
      </c>
      <c r="L55" s="67"/>
      <c r="M55" s="70">
        <v>9319.6166666666686</v>
      </c>
      <c r="N55" s="65"/>
      <c r="O55" s="92">
        <v>12170638</v>
      </c>
      <c r="P55" s="87">
        <f>S54</f>
        <v>5600</v>
      </c>
      <c r="V55" s="265"/>
      <c r="W55" s="160"/>
      <c r="X55" s="86"/>
      <c r="Y55" s="76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8"/>
    </row>
    <row r="56" spans="1:40" ht="15.75" thickBot="1" x14ac:dyDescent="0.3">
      <c r="A56" s="258"/>
      <c r="B56" s="64"/>
      <c r="C56" s="65"/>
      <c r="D56" s="66"/>
      <c r="E56" s="66"/>
      <c r="F56" s="67"/>
      <c r="G56" s="66"/>
      <c r="H56" s="66"/>
      <c r="I56" s="96"/>
      <c r="J56" s="66"/>
      <c r="K56" s="66"/>
      <c r="L56" s="67"/>
      <c r="M56" s="70"/>
      <c r="N56" s="65"/>
      <c r="O56" s="156"/>
      <c r="P56" s="93"/>
      <c r="W56" s="159">
        <v>1185027</v>
      </c>
      <c r="X56" s="86">
        <v>12170638</v>
      </c>
      <c r="Y56" s="76" t="s">
        <v>34</v>
      </c>
      <c r="Z56" s="77">
        <v>49722.5</v>
      </c>
      <c r="AA56" s="77">
        <v>49722.5</v>
      </c>
      <c r="AB56" s="77">
        <v>49722.5</v>
      </c>
      <c r="AC56" s="77">
        <v>20666.599999999999</v>
      </c>
      <c r="AD56" s="77">
        <v>29055.9</v>
      </c>
      <c r="AE56" s="77">
        <v>1305.8999999999999</v>
      </c>
      <c r="AF56" s="77">
        <v>1305.8999999999996</v>
      </c>
      <c r="AG56" s="77">
        <v>26528.100000000002</v>
      </c>
      <c r="AH56" s="77">
        <v>745.09999999999991</v>
      </c>
      <c r="AI56" s="77">
        <v>560.80000000000007</v>
      </c>
      <c r="AJ56" s="77">
        <v>1305.8999999999996</v>
      </c>
      <c r="AK56" s="77">
        <v>1305.8999999999996</v>
      </c>
      <c r="AL56" s="77">
        <v>38565.1</v>
      </c>
      <c r="AM56" s="77">
        <v>745.0999999999998</v>
      </c>
      <c r="AN56" s="78">
        <v>560.80000000000007</v>
      </c>
    </row>
    <row r="57" spans="1:40" ht="15.75" thickBot="1" x14ac:dyDescent="0.3">
      <c r="A57" s="258"/>
      <c r="B57" s="64" t="s">
        <v>30</v>
      </c>
      <c r="C57" s="65"/>
      <c r="D57" s="66">
        <f>D53-D55</f>
        <v>1280511.1580000005</v>
      </c>
      <c r="E57" s="66">
        <f>E53-E55</f>
        <v>1359201.6275999993</v>
      </c>
      <c r="F57" s="67"/>
      <c r="G57" s="66">
        <f>G53-G55</f>
        <v>1573503.0380699991</v>
      </c>
      <c r="H57" s="66">
        <f>H53-H55</f>
        <v>1710839.0940700003</v>
      </c>
      <c r="I57" s="96"/>
      <c r="J57" s="66">
        <f>J53-J55</f>
        <v>2957638.585789999</v>
      </c>
      <c r="K57" s="66">
        <f>K53-K55</f>
        <v>3233984.5357900006</v>
      </c>
      <c r="L57" s="67"/>
      <c r="M57" s="70">
        <f>M53-M55</f>
        <v>0</v>
      </c>
      <c r="N57" s="65"/>
      <c r="O57" s="92">
        <f t="shared" ref="O57" si="18">O53-O55</f>
        <v>13166092</v>
      </c>
      <c r="P57" s="93">
        <f>P53-P55</f>
        <v>6638</v>
      </c>
      <c r="Q57" s="38" t="s">
        <v>31</v>
      </c>
      <c r="S57" s="161">
        <f>S54-S56</f>
        <v>5600</v>
      </c>
      <c r="T57" s="161">
        <f>T54-T56</f>
        <v>5812</v>
      </c>
      <c r="U57" s="161">
        <f>U54-U56</f>
        <v>826</v>
      </c>
      <c r="W57" s="83"/>
      <c r="X57" s="86"/>
      <c r="Y57" s="76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8"/>
    </row>
    <row r="58" spans="1:40" x14ac:dyDescent="0.25">
      <c r="A58" s="258"/>
      <c r="B58" s="64"/>
      <c r="C58" s="65"/>
      <c r="D58" s="101"/>
      <c r="E58" s="102"/>
      <c r="F58" s="102"/>
      <c r="G58" s="102"/>
      <c r="H58" s="102"/>
      <c r="I58" s="102"/>
      <c r="J58" s="102"/>
      <c r="K58" s="65"/>
      <c r="L58" s="65"/>
      <c r="M58" s="70"/>
      <c r="N58" s="65"/>
      <c r="O58" s="103"/>
      <c r="P58" s="148">
        <v>1.1875812547</v>
      </c>
      <c r="S58" s="162">
        <v>1.1875812547</v>
      </c>
      <c r="T58" s="162">
        <v>1.1875812547</v>
      </c>
      <c r="U58" s="163">
        <v>1.1875812547</v>
      </c>
      <c r="V58" s="61"/>
      <c r="W58" s="159">
        <v>1427956</v>
      </c>
      <c r="X58" s="86">
        <v>11848213</v>
      </c>
      <c r="Y58" s="76" t="s">
        <v>35</v>
      </c>
      <c r="Z58" s="77">
        <v>54340.3</v>
      </c>
      <c r="AA58" s="77">
        <v>54340.3</v>
      </c>
      <c r="AB58" s="77">
        <v>54340.3</v>
      </c>
      <c r="AC58" s="77">
        <v>23732.7</v>
      </c>
      <c r="AD58" s="77">
        <v>30607.599999999999</v>
      </c>
      <c r="AE58" s="77">
        <v>94.500000000000057</v>
      </c>
      <c r="AF58" s="77">
        <v>94.500000000000114</v>
      </c>
      <c r="AG58" s="77">
        <v>9685.0000000000018</v>
      </c>
      <c r="AH58" s="77">
        <v>19.999999999999989</v>
      </c>
      <c r="AI58" s="77">
        <v>74.500000000000043</v>
      </c>
      <c r="AJ58" s="77">
        <v>94.499999999999972</v>
      </c>
      <c r="AK58" s="77">
        <v>94.500000000000028</v>
      </c>
      <c r="AL58" s="77">
        <v>20429.3</v>
      </c>
      <c r="AM58" s="77">
        <v>19.999999999999996</v>
      </c>
      <c r="AN58" s="78">
        <v>74.499999999999957</v>
      </c>
    </row>
    <row r="59" spans="1:40" x14ac:dyDescent="0.25">
      <c r="A59" s="258"/>
      <c r="B59" s="64"/>
      <c r="C59" s="65"/>
      <c r="D59" s="66"/>
      <c r="E59" s="66"/>
      <c r="F59" s="65"/>
      <c r="G59" s="66"/>
      <c r="H59" s="66"/>
      <c r="I59" s="65"/>
      <c r="J59" s="66"/>
      <c r="K59" s="66"/>
      <c r="L59" s="65"/>
      <c r="M59" s="70"/>
      <c r="N59" s="65"/>
      <c r="O59" s="103"/>
      <c r="P59" s="110">
        <f>P57/P58</f>
        <v>5589.5122744058917</v>
      </c>
      <c r="Q59" s="111" t="s">
        <v>17</v>
      </c>
      <c r="S59" s="164">
        <f t="shared" ref="S59" si="19">S57/S58</f>
        <v>4715.4668178175652</v>
      </c>
      <c r="T59" s="164">
        <f t="shared" ref="T59:U59" si="20">T57/T58</f>
        <v>4893.980918777801</v>
      </c>
      <c r="U59" s="165">
        <f t="shared" si="20"/>
        <v>695.53135562809086</v>
      </c>
      <c r="V59" s="148"/>
      <c r="W59" s="166"/>
      <c r="X59" s="86"/>
      <c r="Y59" s="76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8"/>
    </row>
    <row r="60" spans="1:40" ht="15.75" thickBot="1" x14ac:dyDescent="0.3">
      <c r="A60" s="258"/>
      <c r="B60" s="64"/>
      <c r="C60" s="65"/>
      <c r="D60" s="66"/>
      <c r="E60" s="66"/>
      <c r="F60" s="65"/>
      <c r="G60" s="66"/>
      <c r="H60" s="66"/>
      <c r="I60" s="65"/>
      <c r="J60" s="66"/>
      <c r="K60" s="66"/>
      <c r="L60" s="65"/>
      <c r="M60" s="70"/>
      <c r="N60" s="65"/>
      <c r="O60" s="103"/>
      <c r="P60" s="111">
        <f>P92</f>
        <v>1.0898522576911902</v>
      </c>
      <c r="Q60" s="111" t="s">
        <v>19</v>
      </c>
      <c r="S60" s="167">
        <v>1.0933999999999999</v>
      </c>
      <c r="T60" s="167">
        <v>1.0933999999999999</v>
      </c>
      <c r="U60" s="168">
        <v>1.0933999999999999</v>
      </c>
      <c r="V60" s="61"/>
      <c r="W60" s="159">
        <v>190448</v>
      </c>
      <c r="X60" s="86">
        <v>1317879</v>
      </c>
      <c r="Y60" s="112" t="s">
        <v>36</v>
      </c>
      <c r="Z60" s="150">
        <v>7772.6</v>
      </c>
      <c r="AA60" s="150">
        <v>8141</v>
      </c>
      <c r="AB60" s="150">
        <v>8242.8000000000011</v>
      </c>
      <c r="AC60" s="150">
        <v>3172.4</v>
      </c>
      <c r="AD60" s="150">
        <v>4600.2</v>
      </c>
      <c r="AE60" s="150">
        <v>30.599999999999987</v>
      </c>
      <c r="AF60" s="150">
        <v>15.000000000000002</v>
      </c>
      <c r="AG60" s="150">
        <v>39.299999999999699</v>
      </c>
      <c r="AH60" s="150">
        <v>30.6</v>
      </c>
      <c r="AI60" s="150">
        <v>0</v>
      </c>
      <c r="AJ60" s="150">
        <v>30.600000000000005</v>
      </c>
      <c r="AK60" s="150">
        <v>15.000000000000004</v>
      </c>
      <c r="AL60" s="150">
        <v>1674</v>
      </c>
      <c r="AM60" s="150">
        <v>30.600000000000005</v>
      </c>
      <c r="AN60" s="119">
        <v>0</v>
      </c>
    </row>
    <row r="61" spans="1:40" ht="15.75" thickBot="1" x14ac:dyDescent="0.3">
      <c r="A61" s="258"/>
      <c r="B61" s="64" t="s">
        <v>75</v>
      </c>
      <c r="C61" s="65"/>
      <c r="D61" s="66">
        <f>D57-D59</f>
        <v>1280511.1580000005</v>
      </c>
      <c r="E61" s="66">
        <f>E57-E59</f>
        <v>1359201.6275999993</v>
      </c>
      <c r="F61" s="65"/>
      <c r="G61" s="66">
        <f t="shared" ref="G61:H61" si="21">G57-G59</f>
        <v>1573503.0380699991</v>
      </c>
      <c r="H61" s="66">
        <f t="shared" si="21"/>
        <v>1710839.0940700003</v>
      </c>
      <c r="I61" s="65"/>
      <c r="J61" s="66">
        <f t="shared" ref="J61:K61" si="22">J57-J59</f>
        <v>2957638.585789999</v>
      </c>
      <c r="K61" s="66">
        <f t="shared" si="22"/>
        <v>3233984.5357900006</v>
      </c>
      <c r="L61" s="65"/>
      <c r="M61" s="70" t="e">
        <f>M53/12/K63</f>
        <v>#DIV/0!</v>
      </c>
      <c r="N61" s="65"/>
      <c r="O61" s="103"/>
      <c r="P61" s="151">
        <f>P59*P60</f>
        <v>6091.742571653881</v>
      </c>
      <c r="Q61" s="111" t="s">
        <v>18</v>
      </c>
      <c r="S61" s="169">
        <f t="shared" ref="S61" si="23">S59*S60</f>
        <v>5155.8914186017255</v>
      </c>
      <c r="T61" s="169">
        <f t="shared" ref="T61:U61" si="24">T59*T60</f>
        <v>5351.0787365916476</v>
      </c>
      <c r="U61" s="169">
        <f t="shared" si="24"/>
        <v>760.49398424375454</v>
      </c>
      <c r="V61" s="111"/>
      <c r="W61" s="111"/>
    </row>
    <row r="62" spans="1:40" ht="15.75" thickBot="1" x14ac:dyDescent="0.3">
      <c r="A62" s="258"/>
      <c r="B62" s="64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103"/>
      <c r="V62" s="93"/>
      <c r="W62" s="93"/>
    </row>
    <row r="63" spans="1:40" x14ac:dyDescent="0.25">
      <c r="A63" s="258"/>
      <c r="B63" s="64" t="s">
        <v>11</v>
      </c>
      <c r="C63" s="65"/>
      <c r="D63" s="65">
        <v>40</v>
      </c>
      <c r="E63" s="65">
        <v>40</v>
      </c>
      <c r="F63" s="65"/>
      <c r="G63" s="65"/>
      <c r="H63" s="65"/>
      <c r="I63" s="120"/>
      <c r="J63" s="152"/>
      <c r="K63" s="152"/>
      <c r="L63" s="49"/>
      <c r="M63" s="124"/>
      <c r="N63" s="124"/>
      <c r="O63" s="125"/>
      <c r="P63" s="151">
        <f>S63*$P$61</f>
        <v>6459.3062506854421</v>
      </c>
      <c r="Q63" s="126" t="s">
        <v>14</v>
      </c>
      <c r="S63" s="111">
        <f>$S$95</f>
        <v>1.060338019</v>
      </c>
      <c r="W63" s="121">
        <v>40</v>
      </c>
      <c r="X63" s="122">
        <f>W63*12*22</f>
        <v>10560</v>
      </c>
    </row>
    <row r="64" spans="1:40" x14ac:dyDescent="0.25">
      <c r="A64" s="258"/>
      <c r="B64" s="64"/>
      <c r="C64" s="65"/>
      <c r="D64" s="65"/>
      <c r="E64" s="65"/>
      <c r="F64" s="65"/>
      <c r="G64" s="65"/>
      <c r="H64" s="65"/>
      <c r="I64" s="120"/>
      <c r="J64" s="152"/>
      <c r="K64" s="152"/>
      <c r="L64" s="64"/>
      <c r="M64" s="66"/>
      <c r="N64" s="66"/>
      <c r="O64" s="127"/>
      <c r="P64" s="151">
        <f t="shared" ref="P64:P65" si="25">S64*$P$61</f>
        <v>3405.0431264936128</v>
      </c>
      <c r="Q64" s="126" t="s">
        <v>15</v>
      </c>
      <c r="S64" s="111">
        <f>$S$96</f>
        <v>0.55896044300000003</v>
      </c>
      <c r="T64" s="111"/>
      <c r="U64" s="111"/>
      <c r="V64" s="61"/>
      <c r="W64" s="121"/>
      <c r="X64" s="122"/>
    </row>
    <row r="65" spans="1:40" x14ac:dyDescent="0.25">
      <c r="A65" s="258"/>
      <c r="B65" s="64" t="s">
        <v>28</v>
      </c>
      <c r="C65" s="65"/>
      <c r="D65" s="65">
        <v>22</v>
      </c>
      <c r="E65" s="65">
        <v>22</v>
      </c>
      <c r="F65" s="65"/>
      <c r="G65" s="65"/>
      <c r="H65" s="65"/>
      <c r="I65" s="120"/>
      <c r="J65" s="152"/>
      <c r="K65" s="152"/>
      <c r="L65" s="129"/>
      <c r="M65" s="66"/>
      <c r="N65" s="66"/>
      <c r="O65" s="127"/>
      <c r="P65" s="151">
        <f t="shared" si="25"/>
        <v>6459.3062506854421</v>
      </c>
      <c r="Q65" s="126" t="s">
        <v>16</v>
      </c>
      <c r="S65" s="111">
        <f>$S$97</f>
        <v>1.060338019</v>
      </c>
      <c r="T65" s="111"/>
      <c r="U65" s="111"/>
      <c r="V65" s="61"/>
      <c r="W65" s="128">
        <v>9.6500000000000002E-2</v>
      </c>
      <c r="X65" s="122">
        <f>W65*X56</f>
        <v>1174466.567</v>
      </c>
    </row>
    <row r="66" spans="1:40" x14ac:dyDescent="0.25">
      <c r="A66" s="258"/>
      <c r="B66" s="64"/>
      <c r="C66" s="65"/>
      <c r="D66" s="65"/>
      <c r="E66" s="65"/>
      <c r="F66" s="65"/>
      <c r="G66" s="65"/>
      <c r="H66" s="65"/>
      <c r="I66" s="65"/>
      <c r="J66" s="65"/>
      <c r="K66" s="65"/>
      <c r="L66" s="64"/>
      <c r="M66" s="66"/>
      <c r="N66" s="66"/>
      <c r="O66" s="127"/>
      <c r="T66" s="111"/>
      <c r="U66" s="111"/>
      <c r="V66" s="61"/>
    </row>
    <row r="67" spans="1:40" ht="15.75" thickBot="1" x14ac:dyDescent="0.3">
      <c r="A67" s="258"/>
      <c r="B67" s="130" t="s">
        <v>12</v>
      </c>
      <c r="C67" s="131"/>
      <c r="D67" s="131">
        <f>D63-D65</f>
        <v>18</v>
      </c>
      <c r="E67" s="131">
        <f>E63-E65</f>
        <v>18</v>
      </c>
      <c r="F67" s="131"/>
      <c r="G67" s="131">
        <v>16</v>
      </c>
      <c r="H67" s="131"/>
      <c r="I67" s="131"/>
      <c r="J67" s="131">
        <v>2</v>
      </c>
      <c r="K67" s="131"/>
      <c r="L67" s="130"/>
      <c r="M67" s="132"/>
      <c r="N67" s="132"/>
      <c r="O67" s="133"/>
      <c r="X67" s="122">
        <f>SUM(X63:X66)</f>
        <v>1185026.567</v>
      </c>
      <c r="Y67" s="122">
        <f>W56-X67</f>
        <v>0.43299999996088445</v>
      </c>
    </row>
    <row r="68" spans="1:40" ht="15.75" thickBot="1" x14ac:dyDescent="0.3">
      <c r="A68" s="157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158"/>
      <c r="N68" s="158"/>
      <c r="O68" s="158"/>
      <c r="V68" s="61"/>
      <c r="W68" s="61"/>
    </row>
    <row r="69" spans="1:40" ht="15.75" thickBot="1" x14ac:dyDescent="0.3">
      <c r="A69" s="258" t="s">
        <v>33</v>
      </c>
      <c r="B69" s="49" t="s">
        <v>10</v>
      </c>
      <c r="C69" s="50"/>
      <c r="D69" s="124">
        <v>1682321.14</v>
      </c>
      <c r="E69" s="124">
        <v>1786201.3079999997</v>
      </c>
      <c r="F69" s="153"/>
      <c r="G69" s="124">
        <v>1926184.6690999998</v>
      </c>
      <c r="H69" s="124">
        <v>2090020.2091000006</v>
      </c>
      <c r="I69" s="153"/>
      <c r="J69" s="124">
        <v>2013610.5703999994</v>
      </c>
      <c r="K69" s="124">
        <v>2165835.2313999999</v>
      </c>
      <c r="L69" s="153"/>
      <c r="M69" s="90">
        <v>5650.2166666666644</v>
      </c>
      <c r="N69" s="154"/>
      <c r="O69" s="91">
        <v>17289960</v>
      </c>
      <c r="P69" s="93">
        <f>SUM(S70:U70)</f>
        <v>7852</v>
      </c>
      <c r="Q69" s="38" t="s">
        <v>13</v>
      </c>
      <c r="S69" s="58" t="s">
        <v>34</v>
      </c>
      <c r="T69" s="59" t="s">
        <v>35</v>
      </c>
      <c r="U69" s="60" t="s">
        <v>36</v>
      </c>
    </row>
    <row r="70" spans="1:40" ht="15.75" thickBot="1" x14ac:dyDescent="0.3">
      <c r="A70" s="258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103"/>
      <c r="P70" s="111"/>
      <c r="S70" s="141">
        <v>7852</v>
      </c>
      <c r="T70" s="142">
        <v>0</v>
      </c>
      <c r="U70" s="142">
        <v>0</v>
      </c>
      <c r="W70" s="88">
        <v>1682321</v>
      </c>
      <c r="X70" s="84">
        <v>17289960</v>
      </c>
      <c r="Y70" s="32" t="s">
        <v>34</v>
      </c>
      <c r="Z70" s="89">
        <v>67802.599999999991</v>
      </c>
      <c r="AA70" s="90">
        <v>67802.599999999991</v>
      </c>
      <c r="AB70" s="90">
        <v>67802.599999999991</v>
      </c>
      <c r="AC70" s="90">
        <v>33235.599999999991</v>
      </c>
      <c r="AD70" s="90">
        <v>34567</v>
      </c>
      <c r="AE70" s="90">
        <v>1795.2499999999995</v>
      </c>
      <c r="AF70" s="90">
        <v>1795.2499999999998</v>
      </c>
      <c r="AG70" s="90">
        <v>23913.75</v>
      </c>
      <c r="AH70" s="90">
        <v>282</v>
      </c>
      <c r="AI70" s="90">
        <v>1513.25</v>
      </c>
      <c r="AJ70" s="90">
        <v>1795.2499999999995</v>
      </c>
      <c r="AK70" s="90">
        <v>1795.25</v>
      </c>
      <c r="AL70" s="90">
        <v>32733.800000000003</v>
      </c>
      <c r="AM70" s="90">
        <v>282</v>
      </c>
      <c r="AN70" s="91">
        <v>1513.25</v>
      </c>
    </row>
    <row r="71" spans="1:40" ht="15.75" thickBot="1" x14ac:dyDescent="0.3">
      <c r="A71" s="258"/>
      <c r="B71" s="64" t="s">
        <v>28</v>
      </c>
      <c r="C71" s="65"/>
      <c r="D71" s="124">
        <f>SUMIF($U$6:$U$67,"GS 3-P",D$5:D$67)</f>
        <v>0</v>
      </c>
      <c r="E71" s="124">
        <f>SUMIF($U$6:$U$67,"GS 3-P",E$5:E$67)</f>
        <v>0</v>
      </c>
      <c r="F71" s="170"/>
      <c r="G71" s="124">
        <f>SUMIF($U$6:$U$67,"PS",G$5:G$67)</f>
        <v>0</v>
      </c>
      <c r="H71" s="124">
        <f>SUMIF($U$6:$U$67,"PS",H$5:H$67)</f>
        <v>0</v>
      </c>
      <c r="I71" s="171"/>
      <c r="J71" s="172">
        <f>SUMIF($U$6:$U$67,"TODS",J$5:J$67)</f>
        <v>0</v>
      </c>
      <c r="K71" s="172">
        <f>SUMIF($U$6:$U$67,"TODS",K$5:K$67)</f>
        <v>0</v>
      </c>
      <c r="L71" s="67">
        <v>7.5704786179365893E-2</v>
      </c>
      <c r="M71" s="70">
        <v>5650</v>
      </c>
      <c r="N71" s="65"/>
      <c r="O71" s="92">
        <v>17289960</v>
      </c>
      <c r="P71" s="87">
        <f>S70</f>
        <v>7852</v>
      </c>
      <c r="W71" s="94"/>
      <c r="X71" s="94"/>
      <c r="Y71" s="76"/>
      <c r="Z71" s="95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8"/>
    </row>
    <row r="72" spans="1:40" ht="15.75" thickBot="1" x14ac:dyDescent="0.3">
      <c r="A72" s="258"/>
      <c r="B72" s="64"/>
      <c r="C72" s="65"/>
      <c r="D72" s="66"/>
      <c r="E72" s="66"/>
      <c r="F72" s="67"/>
      <c r="G72" s="66"/>
      <c r="H72" s="66"/>
      <c r="I72" s="96"/>
      <c r="J72" s="66"/>
      <c r="K72" s="66"/>
      <c r="L72" s="67"/>
      <c r="M72" s="70"/>
      <c r="N72" s="65"/>
      <c r="O72" s="156"/>
      <c r="P72" s="93"/>
      <c r="W72" s="94"/>
      <c r="X72" s="94"/>
      <c r="Y72" s="76" t="s">
        <v>35</v>
      </c>
      <c r="Z72" s="89"/>
      <c r="AA72" s="70">
        <v>0</v>
      </c>
      <c r="AB72" s="70">
        <v>0</v>
      </c>
      <c r="AC72" s="70">
        <v>0</v>
      </c>
      <c r="AD72" s="70">
        <v>0</v>
      </c>
      <c r="AE72" s="70">
        <v>0</v>
      </c>
      <c r="AF72" s="70">
        <v>0</v>
      </c>
      <c r="AG72" s="70">
        <v>0</v>
      </c>
      <c r="AH72" s="70">
        <v>0</v>
      </c>
      <c r="AI72" s="70">
        <v>0</v>
      </c>
      <c r="AJ72" s="70">
        <v>0</v>
      </c>
      <c r="AK72" s="70">
        <v>0</v>
      </c>
      <c r="AL72" s="70">
        <v>0</v>
      </c>
      <c r="AM72" s="70">
        <v>0</v>
      </c>
      <c r="AN72" s="92">
        <v>0</v>
      </c>
    </row>
    <row r="73" spans="1:40" ht="15.75" thickBot="1" x14ac:dyDescent="0.3">
      <c r="A73" s="258"/>
      <c r="B73" s="64" t="s">
        <v>30</v>
      </c>
      <c r="C73" s="65"/>
      <c r="D73" s="66">
        <f>D69-D71</f>
        <v>1682321.14</v>
      </c>
      <c r="E73" s="66">
        <f>E69-E71</f>
        <v>1786201.3079999997</v>
      </c>
      <c r="F73" s="67"/>
      <c r="G73" s="66">
        <f>G69-G71</f>
        <v>1926184.6690999998</v>
      </c>
      <c r="H73" s="66">
        <f>H69-H71</f>
        <v>2090020.2091000006</v>
      </c>
      <c r="I73" s="96"/>
      <c r="J73" s="66">
        <f>J69-J71</f>
        <v>2013610.5703999994</v>
      </c>
      <c r="K73" s="66">
        <f>K69-K71</f>
        <v>2165835.2313999999</v>
      </c>
      <c r="L73" s="67"/>
      <c r="M73" s="70">
        <f>M69-M71</f>
        <v>0.21666666666442325</v>
      </c>
      <c r="N73" s="65"/>
      <c r="O73" s="92">
        <f t="shared" ref="O73" si="26">O69-O71</f>
        <v>0</v>
      </c>
      <c r="P73" s="93">
        <f>P69-P71</f>
        <v>0</v>
      </c>
      <c r="Q73" s="38" t="s">
        <v>31</v>
      </c>
      <c r="S73" s="161">
        <f>S70-S72</f>
        <v>7852</v>
      </c>
      <c r="T73" s="161">
        <f>T70-T72</f>
        <v>0</v>
      </c>
      <c r="U73" s="161">
        <f>U70-U72</f>
        <v>0</v>
      </c>
      <c r="W73" s="94"/>
      <c r="X73" s="94"/>
      <c r="Y73" s="76"/>
      <c r="Z73" s="107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9"/>
    </row>
    <row r="74" spans="1:40" ht="15.75" thickBot="1" x14ac:dyDescent="0.3">
      <c r="A74" s="258"/>
      <c r="B74" s="64"/>
      <c r="C74" s="65"/>
      <c r="D74" s="101"/>
      <c r="E74" s="102"/>
      <c r="F74" s="102"/>
      <c r="G74" s="102"/>
      <c r="H74" s="102"/>
      <c r="I74" s="102"/>
      <c r="J74" s="102"/>
      <c r="K74" s="65"/>
      <c r="L74" s="65"/>
      <c r="M74" s="70"/>
      <c r="N74" s="65"/>
      <c r="O74" s="103"/>
      <c r="P74" s="148">
        <v>1.1875812547</v>
      </c>
      <c r="S74" s="162">
        <v>1.1875812547</v>
      </c>
      <c r="T74" s="162">
        <v>1.1875812547</v>
      </c>
      <c r="U74" s="163">
        <v>1.1875812547</v>
      </c>
      <c r="W74" s="94"/>
      <c r="X74" s="94"/>
      <c r="Y74" s="112" t="s">
        <v>36</v>
      </c>
      <c r="Z74" s="113">
        <v>0</v>
      </c>
      <c r="AA74" s="114">
        <v>0</v>
      </c>
      <c r="AB74" s="114">
        <v>0</v>
      </c>
      <c r="AC74" s="114">
        <v>0</v>
      </c>
      <c r="AD74" s="114">
        <v>0</v>
      </c>
      <c r="AE74" s="114">
        <v>0</v>
      </c>
      <c r="AF74" s="114">
        <v>0</v>
      </c>
      <c r="AG74" s="114">
        <v>0</v>
      </c>
      <c r="AH74" s="114">
        <v>0</v>
      </c>
      <c r="AI74" s="114">
        <v>0</v>
      </c>
      <c r="AJ74" s="114">
        <v>0</v>
      </c>
      <c r="AK74" s="114">
        <v>0</v>
      </c>
      <c r="AL74" s="114">
        <v>0</v>
      </c>
      <c r="AM74" s="114">
        <v>0</v>
      </c>
      <c r="AN74" s="115">
        <v>0</v>
      </c>
    </row>
    <row r="75" spans="1:40" x14ac:dyDescent="0.25">
      <c r="A75" s="258"/>
      <c r="B75" s="64"/>
      <c r="C75" s="65"/>
      <c r="D75" s="66"/>
      <c r="E75" s="66"/>
      <c r="F75" s="65"/>
      <c r="G75" s="66"/>
      <c r="H75" s="66"/>
      <c r="I75" s="65"/>
      <c r="J75" s="66"/>
      <c r="K75" s="66"/>
      <c r="L75" s="65"/>
      <c r="M75" s="70"/>
      <c r="N75" s="65"/>
      <c r="O75" s="103"/>
      <c r="P75" s="110">
        <f>P73/P74</f>
        <v>0</v>
      </c>
      <c r="Q75" s="111" t="s">
        <v>17</v>
      </c>
      <c r="S75" s="164">
        <f t="shared" ref="S75" si="27">S73/S74</f>
        <v>6611.7581166970567</v>
      </c>
      <c r="T75" s="164">
        <f t="shared" ref="T75:U75" si="28">T73/T74</f>
        <v>0</v>
      </c>
      <c r="U75" s="165">
        <f t="shared" si="28"/>
        <v>0</v>
      </c>
    </row>
    <row r="76" spans="1:40" ht="15.75" thickBot="1" x14ac:dyDescent="0.3">
      <c r="A76" s="258"/>
      <c r="B76" s="64"/>
      <c r="C76" s="65"/>
      <c r="D76" s="66"/>
      <c r="E76" s="66"/>
      <c r="F76" s="65"/>
      <c r="G76" s="66"/>
      <c r="H76" s="66"/>
      <c r="I76" s="65"/>
      <c r="J76" s="66"/>
      <c r="K76" s="66"/>
      <c r="L76" s="65"/>
      <c r="M76" s="70"/>
      <c r="N76" s="65"/>
      <c r="O76" s="103"/>
      <c r="P76" s="111">
        <v>1.0933999999999999</v>
      </c>
      <c r="Q76" s="111" t="s">
        <v>19</v>
      </c>
      <c r="S76" s="167">
        <v>1.0933999999999999</v>
      </c>
      <c r="T76" s="167">
        <v>1.0933999999999999</v>
      </c>
      <c r="U76" s="168">
        <v>1.0933999999999999</v>
      </c>
    </row>
    <row r="77" spans="1:40" ht="15.75" thickBot="1" x14ac:dyDescent="0.3">
      <c r="A77" s="258"/>
      <c r="B77" s="64" t="s">
        <v>75</v>
      </c>
      <c r="C77" s="65"/>
      <c r="D77" s="66">
        <f>D73-D75</f>
        <v>1682321.14</v>
      </c>
      <c r="E77" s="66">
        <f>E73-E75</f>
        <v>1786201.3079999997</v>
      </c>
      <c r="F77" s="65"/>
      <c r="G77" s="66">
        <f t="shared" ref="G77:H77" si="29">G73-G75</f>
        <v>1926184.6690999998</v>
      </c>
      <c r="H77" s="66">
        <f t="shared" si="29"/>
        <v>2090020.2091000006</v>
      </c>
      <c r="I77" s="65"/>
      <c r="J77" s="66">
        <f t="shared" ref="J77:K77" si="30">J73-J75</f>
        <v>2013610.5703999994</v>
      </c>
      <c r="K77" s="66">
        <f t="shared" si="30"/>
        <v>2165835.2313999999</v>
      </c>
      <c r="L77" s="65"/>
      <c r="M77" s="70" t="e">
        <f>M69/12/K79</f>
        <v>#DIV/0!</v>
      </c>
      <c r="N77" s="65"/>
      <c r="O77" s="103"/>
      <c r="P77" s="151">
        <f>P75*P76</f>
        <v>0</v>
      </c>
      <c r="Q77" s="111" t="s">
        <v>18</v>
      </c>
      <c r="S77" s="169">
        <f t="shared" ref="S77" si="31">S75*S76</f>
        <v>7229.2963247965617</v>
      </c>
      <c r="T77" s="169">
        <f t="shared" ref="T77:U77" si="32">T75*T76</f>
        <v>0</v>
      </c>
      <c r="U77" s="169">
        <f t="shared" si="32"/>
        <v>0</v>
      </c>
    </row>
    <row r="78" spans="1:40" ht="15.75" thickBot="1" x14ac:dyDescent="0.3">
      <c r="A78" s="258"/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103"/>
    </row>
    <row r="79" spans="1:40" x14ac:dyDescent="0.25">
      <c r="A79" s="258"/>
      <c r="B79" s="64" t="s">
        <v>11</v>
      </c>
      <c r="C79" s="65"/>
      <c r="D79" s="65">
        <v>29</v>
      </c>
      <c r="E79" s="65">
        <v>29</v>
      </c>
      <c r="F79" s="65"/>
      <c r="G79" s="65"/>
      <c r="H79" s="65"/>
      <c r="I79" s="120"/>
      <c r="J79" s="152"/>
      <c r="K79" s="152"/>
      <c r="L79" s="49"/>
      <c r="M79" s="124"/>
      <c r="N79" s="124"/>
      <c r="O79" s="125"/>
      <c r="P79" s="151">
        <f>S79*$P$77</f>
        <v>0</v>
      </c>
      <c r="Q79" s="126" t="s">
        <v>14</v>
      </c>
      <c r="S79" s="111">
        <f>$S$95</f>
        <v>1.060338019</v>
      </c>
      <c r="W79" s="121">
        <v>40</v>
      </c>
      <c r="X79" s="122">
        <f>W79*12*29</f>
        <v>13920</v>
      </c>
    </row>
    <row r="80" spans="1:40" x14ac:dyDescent="0.25">
      <c r="A80" s="258"/>
      <c r="B80" s="64"/>
      <c r="C80" s="65"/>
      <c r="D80" s="65"/>
      <c r="E80" s="65"/>
      <c r="F80" s="65"/>
      <c r="G80" s="65"/>
      <c r="H80" s="65"/>
      <c r="I80" s="120"/>
      <c r="J80" s="152"/>
      <c r="K80" s="152"/>
      <c r="L80" s="64"/>
      <c r="M80" s="66"/>
      <c r="N80" s="66"/>
      <c r="O80" s="127"/>
      <c r="P80" s="151">
        <f t="shared" ref="P80:P81" si="33">S80*$P$77</f>
        <v>0</v>
      </c>
      <c r="Q80" s="126" t="s">
        <v>15</v>
      </c>
      <c r="S80" s="111">
        <f>$S$96</f>
        <v>0.55896044300000003</v>
      </c>
      <c r="W80" s="121"/>
      <c r="X80" s="122"/>
    </row>
    <row r="81" spans="1:40" x14ac:dyDescent="0.25">
      <c r="A81" s="258"/>
      <c r="B81" s="64" t="s">
        <v>28</v>
      </c>
      <c r="C81" s="65"/>
      <c r="D81" s="65">
        <v>29</v>
      </c>
      <c r="E81" s="65">
        <v>29</v>
      </c>
      <c r="F81" s="65"/>
      <c r="G81" s="65"/>
      <c r="H81" s="65"/>
      <c r="I81" s="120"/>
      <c r="J81" s="152"/>
      <c r="K81" s="152"/>
      <c r="L81" s="129"/>
      <c r="M81" s="66"/>
      <c r="N81" s="66"/>
      <c r="O81" s="127"/>
      <c r="P81" s="151">
        <f t="shared" si="33"/>
        <v>0</v>
      </c>
      <c r="Q81" s="126" t="s">
        <v>16</v>
      </c>
      <c r="S81" s="111">
        <f>$S$97</f>
        <v>1.060338019</v>
      </c>
      <c r="W81" s="128">
        <v>9.6500000000000002E-2</v>
      </c>
      <c r="X81" s="122">
        <f>W81*X70</f>
        <v>1668481.1400000001</v>
      </c>
    </row>
    <row r="82" spans="1:40" x14ac:dyDescent="0.25">
      <c r="A82" s="258"/>
      <c r="B82" s="64"/>
      <c r="C82" s="65"/>
      <c r="D82" s="65"/>
      <c r="E82" s="65"/>
      <c r="F82" s="65"/>
      <c r="G82" s="65"/>
      <c r="H82" s="65"/>
      <c r="I82" s="65"/>
      <c r="J82" s="65"/>
      <c r="K82" s="65"/>
      <c r="L82" s="64"/>
      <c r="M82" s="66"/>
      <c r="N82" s="66"/>
      <c r="O82" s="127"/>
    </row>
    <row r="83" spans="1:40" ht="15.75" thickBot="1" x14ac:dyDescent="0.3">
      <c r="A83" s="258"/>
      <c r="B83" s="130" t="s">
        <v>12</v>
      </c>
      <c r="C83" s="131"/>
      <c r="D83" s="131">
        <f>D79-D81</f>
        <v>0</v>
      </c>
      <c r="E83" s="131">
        <f>E79-E81</f>
        <v>0</v>
      </c>
      <c r="F83" s="131"/>
      <c r="G83" s="131">
        <f>G79-G81</f>
        <v>0</v>
      </c>
      <c r="H83" s="131"/>
      <c r="I83" s="131"/>
      <c r="J83" s="131">
        <f>J79-J81</f>
        <v>0</v>
      </c>
      <c r="K83" s="131"/>
      <c r="L83" s="130"/>
      <c r="M83" s="132"/>
      <c r="N83" s="132"/>
      <c r="O83" s="133"/>
      <c r="X83" s="122">
        <f>SUM(X79:X82)</f>
        <v>1682401.1400000001</v>
      </c>
      <c r="Y83" s="122">
        <f>W70-X83</f>
        <v>-80.140000000130385</v>
      </c>
      <c r="AA83" s="122">
        <f>Y83+Y67+Y50+Y34+Y18</f>
        <v>9.3794999997771811</v>
      </c>
    </row>
    <row r="84" spans="1:40" ht="15.75" thickBot="1" x14ac:dyDescent="0.3"/>
    <row r="85" spans="1:40" ht="15" customHeight="1" thickBot="1" x14ac:dyDescent="0.3">
      <c r="A85" s="259" t="s">
        <v>20</v>
      </c>
      <c r="B85" s="49" t="s">
        <v>10</v>
      </c>
      <c r="C85" s="50"/>
      <c r="D85" s="124">
        <f>D5+D21+D37+D53+D69</f>
        <v>17158678.075000003</v>
      </c>
      <c r="E85" s="124">
        <f>E5+E21+E37+E53+E69</f>
        <v>18210030.465</v>
      </c>
      <c r="F85" s="153">
        <f>(E85-D85)/D85</f>
        <v>6.1272341925442682E-2</v>
      </c>
      <c r="G85" s="124">
        <f>G5+G21+G37+G53+G69</f>
        <v>18809567.804999996</v>
      </c>
      <c r="H85" s="124">
        <f>H5+H21+H37+H53+H69</f>
        <v>20375845.402500004</v>
      </c>
      <c r="I85" s="153">
        <f>(H85-G85)/G85</f>
        <v>8.3270259781495701E-2</v>
      </c>
      <c r="J85" s="124">
        <f>J5+J21+J37+J53+J69</f>
        <v>19359795.156499997</v>
      </c>
      <c r="K85" s="124">
        <f>K5+K21+K37+K53+K69</f>
        <v>20986011.359499998</v>
      </c>
      <c r="L85" s="153">
        <f>(K85-J85)/J85</f>
        <v>8.3999659596295059E-2</v>
      </c>
      <c r="M85" s="90">
        <f>M5+M21+M37+M53+M69</f>
        <v>54364.254166666673</v>
      </c>
      <c r="N85" s="90"/>
      <c r="O85" s="91">
        <f>O5+O21+O37+O53+O69</f>
        <v>176734670</v>
      </c>
      <c r="P85" s="70">
        <f>P5+P21+P37+P53+P69</f>
        <v>73149.500000000015</v>
      </c>
      <c r="Q85" s="38" t="s">
        <v>13</v>
      </c>
      <c r="S85" s="58" t="s">
        <v>34</v>
      </c>
      <c r="T85" s="58" t="s">
        <v>35</v>
      </c>
      <c r="U85" s="58" t="s">
        <v>36</v>
      </c>
      <c r="W85" s="173">
        <f>W7+W23+W39+W56+W70</f>
        <v>4121002</v>
      </c>
      <c r="X85" s="174">
        <f>X7+X23+X39+X56+X70</f>
        <v>42291737</v>
      </c>
      <c r="Y85" s="32" t="s">
        <v>34</v>
      </c>
      <c r="Z85" s="161">
        <f t="shared" ref="Z85:AN85" si="34">Z7+Z23+Z39+Z56+Z70</f>
        <v>175581.19999999998</v>
      </c>
      <c r="AA85" s="161">
        <f t="shared" si="34"/>
        <v>175581.19999999998</v>
      </c>
      <c r="AB85" s="161">
        <f t="shared" si="34"/>
        <v>175581.19999999998</v>
      </c>
      <c r="AC85" s="161">
        <f t="shared" si="34"/>
        <v>82141.599999999991</v>
      </c>
      <c r="AD85" s="161">
        <f t="shared" si="34"/>
        <v>93439.6</v>
      </c>
      <c r="AE85" s="161">
        <f t="shared" si="34"/>
        <v>9243.3499999999985</v>
      </c>
      <c r="AF85" s="161">
        <f t="shared" si="34"/>
        <v>9258.9499999999989</v>
      </c>
      <c r="AG85" s="161">
        <f t="shared" si="34"/>
        <v>91314.250000000015</v>
      </c>
      <c r="AH85" s="161">
        <f t="shared" si="34"/>
        <v>2366.1</v>
      </c>
      <c r="AI85" s="161">
        <f t="shared" si="34"/>
        <v>6877.25</v>
      </c>
      <c r="AJ85" s="161">
        <f t="shared" si="34"/>
        <v>9243.35</v>
      </c>
      <c r="AK85" s="161">
        <f t="shared" si="34"/>
        <v>9258.9499999999989</v>
      </c>
      <c r="AL85" s="161">
        <f t="shared" si="34"/>
        <v>120716.09999999999</v>
      </c>
      <c r="AM85" s="161">
        <f t="shared" si="34"/>
        <v>2366.1</v>
      </c>
      <c r="AN85" s="161">
        <f t="shared" si="34"/>
        <v>6877.2499999999991</v>
      </c>
    </row>
    <row r="86" spans="1:40" ht="15.75" thickBot="1" x14ac:dyDescent="0.3">
      <c r="A86" s="259"/>
      <c r="B86" s="64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103"/>
      <c r="P86" s="120"/>
      <c r="S86" s="161">
        <f>S6+S22+S38+S54+S70</f>
        <v>20500</v>
      </c>
      <c r="T86" s="161">
        <f>T6+T22+T38+T54+T70</f>
        <v>50463</v>
      </c>
      <c r="U86" s="161">
        <f>U6+U22+U38+U54+U70</f>
        <v>2186</v>
      </c>
      <c r="X86" s="61"/>
      <c r="Y86" s="76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</row>
    <row r="87" spans="1:40" ht="15.75" thickBot="1" x14ac:dyDescent="0.3">
      <c r="A87" s="259"/>
      <c r="B87" s="64" t="s">
        <v>28</v>
      </c>
      <c r="C87" s="65"/>
      <c r="D87" s="66">
        <f>D7+D23+D39+D55+D71</f>
        <v>2322106.3004999999</v>
      </c>
      <c r="E87" s="66">
        <f>E7+E23+E39+E55+E71</f>
        <v>2466534.7911</v>
      </c>
      <c r="F87" s="67">
        <f>(E87-D87)/D87</f>
        <v>6.2197191648333046E-2</v>
      </c>
      <c r="G87" s="66">
        <f>G7+G23+G39+G55+G71</f>
        <v>9133484.4497099984</v>
      </c>
      <c r="H87" s="66">
        <f>H7+H23+H39+H55+H71</f>
        <v>9879678.568710003</v>
      </c>
      <c r="I87" s="67">
        <f>(H87-G87)/G87</f>
        <v>8.1698734268244949E-2</v>
      </c>
      <c r="J87" s="66">
        <f>J7+J23+J39+J55+J71</f>
        <v>599560.24791000003</v>
      </c>
      <c r="K87" s="66">
        <f>K7+K23+K39+K55+K71</f>
        <v>649613.98190999986</v>
      </c>
      <c r="L87" s="67">
        <f>(K87-J87)/J87</f>
        <v>8.3484077162356146E-2</v>
      </c>
      <c r="M87" s="175">
        <f>M7+M23+M39+M55+M71</f>
        <v>38810.116666666669</v>
      </c>
      <c r="N87" s="70"/>
      <c r="O87" s="92">
        <f>O7+O23+O39+O55+O71</f>
        <v>42291737</v>
      </c>
      <c r="P87" s="70">
        <f>P7+P23+P39+P55+P71</f>
        <v>20500</v>
      </c>
      <c r="V87" s="275" t="s">
        <v>21</v>
      </c>
      <c r="W87" s="176">
        <f>W9+W25+W41+W58+W72</f>
        <v>13216993.285569999</v>
      </c>
      <c r="X87" s="174">
        <f>X9+X25+X41+X58+X72</f>
        <v>128084894</v>
      </c>
      <c r="Y87" s="76" t="s">
        <v>35</v>
      </c>
      <c r="Z87" s="161">
        <f t="shared" ref="Z87:AN87" si="35">Z9+Z25+Z41+Z58+Z72</f>
        <v>455608.05</v>
      </c>
      <c r="AA87" s="161">
        <f t="shared" si="35"/>
        <v>455608.05</v>
      </c>
      <c r="AB87" s="161">
        <f t="shared" si="35"/>
        <v>455608.05</v>
      </c>
      <c r="AC87" s="161">
        <f t="shared" si="35"/>
        <v>212324.40000000002</v>
      </c>
      <c r="AD87" s="161">
        <f t="shared" si="35"/>
        <v>243283.65</v>
      </c>
      <c r="AE87" s="161">
        <f t="shared" si="35"/>
        <v>4421.95</v>
      </c>
      <c r="AF87" s="161">
        <f t="shared" si="35"/>
        <v>4421.9500000000007</v>
      </c>
      <c r="AG87" s="161">
        <f t="shared" si="35"/>
        <v>84171.725000000006</v>
      </c>
      <c r="AH87" s="161">
        <f t="shared" si="35"/>
        <v>1079.6500000000001</v>
      </c>
      <c r="AI87" s="161">
        <f t="shared" si="35"/>
        <v>3342.2999999999997</v>
      </c>
      <c r="AJ87" s="161">
        <f t="shared" si="35"/>
        <v>4421.95</v>
      </c>
      <c r="AK87" s="161">
        <f t="shared" si="35"/>
        <v>4421.95</v>
      </c>
      <c r="AL87" s="161">
        <f t="shared" si="35"/>
        <v>172578.64999999997</v>
      </c>
      <c r="AM87" s="161">
        <f t="shared" si="35"/>
        <v>1079.6499999999999</v>
      </c>
      <c r="AN87" s="161">
        <f t="shared" si="35"/>
        <v>3342.3</v>
      </c>
    </row>
    <row r="88" spans="1:40" ht="15.75" thickBot="1" x14ac:dyDescent="0.3">
      <c r="A88" s="259"/>
      <c r="B88" s="64"/>
      <c r="C88" s="65"/>
      <c r="D88" s="66"/>
      <c r="E88" s="66"/>
      <c r="F88" s="67"/>
      <c r="G88" s="66"/>
      <c r="H88" s="66"/>
      <c r="I88" s="96"/>
      <c r="J88" s="66"/>
      <c r="K88" s="66"/>
      <c r="L88" s="67"/>
      <c r="M88" s="70"/>
      <c r="N88" s="65"/>
      <c r="O88" s="92">
        <f t="shared" ref="O88" si="36">O84-O86</f>
        <v>0</v>
      </c>
      <c r="P88" s="95"/>
      <c r="V88" s="276"/>
      <c r="X88" s="61"/>
      <c r="Y88" s="76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</row>
    <row r="89" spans="1:40" ht="16.5" thickBot="1" x14ac:dyDescent="0.3">
      <c r="A89" s="259"/>
      <c r="B89" s="64" t="s">
        <v>30</v>
      </c>
      <c r="C89" s="65"/>
      <c r="D89" s="66">
        <f>D85-D87</f>
        <v>14836571.774500003</v>
      </c>
      <c r="E89" s="66">
        <f>E85-E87</f>
        <v>15743495.673900001</v>
      </c>
      <c r="F89" s="67">
        <f>(E89-D89)/D89</f>
        <v>6.1127591547715292E-2</v>
      </c>
      <c r="G89" s="66">
        <f>G85-G87</f>
        <v>9676083.3552899975</v>
      </c>
      <c r="H89" s="66">
        <f>H85-H87</f>
        <v>10496166.833790001</v>
      </c>
      <c r="I89" s="67">
        <f>(H89-G89)/G89</f>
        <v>8.4753659966318534E-2</v>
      </c>
      <c r="J89" s="66">
        <f>J85-J87</f>
        <v>18760234.908589996</v>
      </c>
      <c r="K89" s="66">
        <f>K85-K87</f>
        <v>20336397.377589997</v>
      </c>
      <c r="L89" s="67">
        <f>(K89-J89)/J89</f>
        <v>8.4016137147531256E-2</v>
      </c>
      <c r="M89" s="70">
        <f>M85-M87</f>
        <v>15554.137500000004</v>
      </c>
      <c r="N89" s="65"/>
      <c r="O89" s="86">
        <f>O85-O87</f>
        <v>134442933</v>
      </c>
      <c r="P89" s="147">
        <f>P9+P25+P41+P57+P73</f>
        <v>52649.500000000015</v>
      </c>
      <c r="Q89" s="38" t="s">
        <v>31</v>
      </c>
      <c r="S89" s="161">
        <f>S86-S88</f>
        <v>20500</v>
      </c>
      <c r="T89" s="161">
        <f>T86-T88</f>
        <v>50463</v>
      </c>
      <c r="U89" s="177">
        <f>U86-U88</f>
        <v>2186</v>
      </c>
      <c r="V89" s="236">
        <v>57026</v>
      </c>
      <c r="W89" s="176">
        <f>W11+W27+W43+W60+W74</f>
        <v>627946.33200000005</v>
      </c>
      <c r="X89" s="174">
        <f>X11+X27+X43+X60+X74</f>
        <v>6358039</v>
      </c>
      <c r="Y89" s="112" t="s">
        <v>36</v>
      </c>
      <c r="Z89" s="161">
        <f t="shared" ref="Z89:AN89" si="37">Z11+Z27+Z43+Z60+Z74</f>
        <v>21181.8</v>
      </c>
      <c r="AA89" s="161">
        <f t="shared" si="37"/>
        <v>21550.199999999997</v>
      </c>
      <c r="AB89" s="161">
        <f t="shared" si="37"/>
        <v>21652</v>
      </c>
      <c r="AC89" s="161">
        <f t="shared" si="37"/>
        <v>9281.5</v>
      </c>
      <c r="AD89" s="161">
        <f t="shared" si="37"/>
        <v>11900.3</v>
      </c>
      <c r="AE89" s="161">
        <f t="shared" si="37"/>
        <v>263.44999999999993</v>
      </c>
      <c r="AF89" s="161">
        <f t="shared" si="37"/>
        <v>247.85</v>
      </c>
      <c r="AG89" s="161">
        <f t="shared" si="37"/>
        <v>695.49999999999977</v>
      </c>
      <c r="AH89" s="161">
        <f t="shared" si="37"/>
        <v>30.6</v>
      </c>
      <c r="AI89" s="161">
        <f t="shared" si="37"/>
        <v>232.85</v>
      </c>
      <c r="AJ89" s="161">
        <f t="shared" si="37"/>
        <v>263.4500000000001</v>
      </c>
      <c r="AK89" s="161">
        <f t="shared" si="37"/>
        <v>247.85</v>
      </c>
      <c r="AL89" s="161">
        <f t="shared" si="37"/>
        <v>4593.1999999999989</v>
      </c>
      <c r="AM89" s="161">
        <f t="shared" si="37"/>
        <v>30.600000000000005</v>
      </c>
      <c r="AN89" s="161">
        <f t="shared" si="37"/>
        <v>232.85000000000005</v>
      </c>
    </row>
    <row r="90" spans="1:40" x14ac:dyDescent="0.25">
      <c r="A90" s="259"/>
      <c r="B90" s="64"/>
      <c r="C90" s="65"/>
      <c r="D90" s="101"/>
      <c r="E90" s="101"/>
      <c r="F90" s="65"/>
      <c r="G90" s="102"/>
      <c r="H90" s="102"/>
      <c r="I90" s="102"/>
      <c r="J90" s="102"/>
      <c r="K90" s="102"/>
      <c r="L90" s="65"/>
      <c r="M90" s="70"/>
      <c r="N90" s="65"/>
      <c r="O90" s="103"/>
      <c r="P90" s="162">
        <v>1.1875812547</v>
      </c>
      <c r="S90" s="162">
        <v>1.1875812547</v>
      </c>
      <c r="T90" s="162">
        <v>1.1875812547</v>
      </c>
      <c r="U90" s="162">
        <v>1.1875812547</v>
      </c>
      <c r="V90" s="163">
        <v>1.1875812547</v>
      </c>
    </row>
    <row r="91" spans="1:40" x14ac:dyDescent="0.25">
      <c r="A91" s="259"/>
      <c r="B91" s="64"/>
      <c r="C91" s="65"/>
      <c r="D91" s="66"/>
      <c r="E91" s="66"/>
      <c r="F91" s="67"/>
      <c r="G91" s="66"/>
      <c r="H91" s="66"/>
      <c r="I91" s="67"/>
      <c r="J91" s="66"/>
      <c r="K91" s="66"/>
      <c r="L91" s="67"/>
      <c r="M91" s="70"/>
      <c r="N91" s="70"/>
      <c r="O91" s="92">
        <f>O11+O27+O43</f>
        <v>0</v>
      </c>
      <c r="P91" s="110">
        <f>P89/P90</f>
        <v>44333.387540122494</v>
      </c>
      <c r="Q91" s="111" t="s">
        <v>17</v>
      </c>
      <c r="S91" s="164">
        <f t="shared" ref="S91" si="38">S89/S90</f>
        <v>17261.976743796444</v>
      </c>
      <c r="T91" s="164">
        <f t="shared" ref="T91:U91" si="39">T89/T90</f>
        <v>42492.250362058534</v>
      </c>
      <c r="U91" s="164">
        <f t="shared" si="39"/>
        <v>1840.7161542409281</v>
      </c>
      <c r="V91" s="178">
        <f>V89/V90</f>
        <v>48018.609063011514</v>
      </c>
    </row>
    <row r="92" spans="1:40" ht="16.5" thickBot="1" x14ac:dyDescent="0.3">
      <c r="A92" s="259"/>
      <c r="B92" s="64"/>
      <c r="C92" s="65"/>
      <c r="D92" s="66"/>
      <c r="E92" s="66"/>
      <c r="F92" s="65"/>
      <c r="G92" s="66"/>
      <c r="H92" s="66"/>
      <c r="I92" s="65"/>
      <c r="J92" s="66"/>
      <c r="K92" s="66"/>
      <c r="L92" s="65"/>
      <c r="M92" s="70"/>
      <c r="N92" s="65"/>
      <c r="O92" s="103"/>
      <c r="P92" s="234">
        <v>1.0898522576911902</v>
      </c>
      <c r="Q92" s="111" t="s">
        <v>19</v>
      </c>
      <c r="S92" s="167">
        <f>P92</f>
        <v>1.0898522576911902</v>
      </c>
      <c r="T92" s="167">
        <f>P92</f>
        <v>1.0898522576911902</v>
      </c>
      <c r="U92" s="167">
        <f>P92</f>
        <v>1.0898522576911902</v>
      </c>
      <c r="V92" s="168">
        <f>U92</f>
        <v>1.0898522576911902</v>
      </c>
    </row>
    <row r="93" spans="1:40" ht="15.75" thickBot="1" x14ac:dyDescent="0.3">
      <c r="A93" s="259"/>
      <c r="B93" s="64" t="s">
        <v>75</v>
      </c>
      <c r="C93" s="65"/>
      <c r="D93" s="179">
        <f>D89-D91</f>
        <v>14836571.774500003</v>
      </c>
      <c r="E93" s="66">
        <f>E89-E91</f>
        <v>15743495.673900001</v>
      </c>
      <c r="F93" s="66">
        <f>E93-D93</f>
        <v>906923.89939999767</v>
      </c>
      <c r="G93" s="66">
        <f>G89-G91</f>
        <v>9676083.3552899975</v>
      </c>
      <c r="H93" s="66">
        <f>H89-H91</f>
        <v>10496166.833790001</v>
      </c>
      <c r="I93" s="65"/>
      <c r="J93" s="66">
        <f>J89-J91</f>
        <v>18760234.908589996</v>
      </c>
      <c r="K93" s="66">
        <f>K89-K91</f>
        <v>20336397.377589997</v>
      </c>
      <c r="L93" s="65"/>
      <c r="M93" s="70" t="e">
        <f>M85/12/K95</f>
        <v>#DIV/0!</v>
      </c>
      <c r="N93" s="65"/>
      <c r="O93" s="103"/>
      <c r="P93" s="180">
        <f>P91*P92</f>
        <v>48316.842501700979</v>
      </c>
      <c r="Q93" s="111" t="s">
        <v>18</v>
      </c>
      <c r="S93" s="181">
        <f t="shared" ref="S93" si="40">S91*S92</f>
        <v>18813.004326439375</v>
      </c>
      <c r="T93" s="181">
        <f t="shared" ref="T93:U93" si="41">T91*T92</f>
        <v>46310.274991468788</v>
      </c>
      <c r="U93" s="182">
        <f t="shared" si="41"/>
        <v>2006.1086564681204</v>
      </c>
      <c r="V93" s="183">
        <f>V91*V92</f>
        <v>52333.189498513748</v>
      </c>
    </row>
    <row r="94" spans="1:40" ht="15.75" thickBot="1" x14ac:dyDescent="0.3">
      <c r="A94" s="259"/>
      <c r="B94" s="64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103"/>
      <c r="P94" s="76"/>
      <c r="V94" s="184"/>
    </row>
    <row r="95" spans="1:40" ht="15.75" x14ac:dyDescent="0.25">
      <c r="A95" s="259"/>
      <c r="B95" s="64" t="s">
        <v>11</v>
      </c>
      <c r="C95" s="65"/>
      <c r="D95" s="65">
        <f>D15+D31+D47+D63+D79</f>
        <v>211</v>
      </c>
      <c r="E95" s="65"/>
      <c r="F95" s="65"/>
      <c r="G95" s="65"/>
      <c r="H95" s="65"/>
      <c r="I95" s="65"/>
      <c r="J95" s="65"/>
      <c r="K95" s="65"/>
      <c r="L95" s="49"/>
      <c r="M95" s="124"/>
      <c r="N95" s="124"/>
      <c r="O95" s="125"/>
      <c r="P95" s="100">
        <f>$P$93*S95</f>
        <v>51232.185062588622</v>
      </c>
      <c r="Q95" s="126" t="s">
        <v>14</v>
      </c>
      <c r="S95" s="235">
        <v>1.060338019</v>
      </c>
      <c r="V95" s="178">
        <v>42041.106436811773</v>
      </c>
    </row>
    <row r="96" spans="1:40" ht="15.75" x14ac:dyDescent="0.25">
      <c r="A96" s="259"/>
      <c r="B96" s="64"/>
      <c r="C96" s="65"/>
      <c r="D96" s="65"/>
      <c r="E96" s="65"/>
      <c r="F96" s="65"/>
      <c r="G96" s="65"/>
      <c r="H96" s="65"/>
      <c r="I96" s="65"/>
      <c r="J96" s="65"/>
      <c r="K96" s="65"/>
      <c r="L96" s="64"/>
      <c r="M96" s="66"/>
      <c r="N96" s="66"/>
      <c r="O96" s="127"/>
      <c r="P96" s="100">
        <f>$P$93*S96</f>
        <v>27007.203689112008</v>
      </c>
      <c r="Q96" s="126" t="s">
        <v>15</v>
      </c>
      <c r="S96" s="235">
        <v>0.55896044300000003</v>
      </c>
      <c r="V96" s="178">
        <v>22162.098353846999</v>
      </c>
    </row>
    <row r="97" spans="1:22" ht="16.5" thickBot="1" x14ac:dyDescent="0.3">
      <c r="A97" s="259"/>
      <c r="B97" s="64" t="s">
        <v>28</v>
      </c>
      <c r="C97" s="65"/>
      <c r="D97" s="65">
        <f>D17+D33+D49+D65+D81</f>
        <v>83</v>
      </c>
      <c r="E97" s="65"/>
      <c r="F97" s="65"/>
      <c r="G97" s="65"/>
      <c r="H97" s="65"/>
      <c r="I97" s="65"/>
      <c r="J97" s="65"/>
      <c r="K97" s="65"/>
      <c r="L97" s="129"/>
      <c r="M97" s="66"/>
      <c r="N97" s="66"/>
      <c r="O97" s="127"/>
      <c r="P97" s="100">
        <f>$P$93*S97</f>
        <v>51232.185062588622</v>
      </c>
      <c r="Q97" s="126" t="s">
        <v>16</v>
      </c>
      <c r="S97" s="235">
        <v>1.060338019</v>
      </c>
      <c r="V97" s="178">
        <v>42041.106436811773</v>
      </c>
    </row>
    <row r="98" spans="1:22" x14ac:dyDescent="0.25">
      <c r="A98" s="259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4"/>
      <c r="M98" s="66"/>
      <c r="N98" s="66"/>
      <c r="O98" s="127"/>
      <c r="Q98" s="257" t="s">
        <v>22</v>
      </c>
      <c r="R98" s="185" t="s">
        <v>23</v>
      </c>
      <c r="V98" s="184"/>
    </row>
    <row r="99" spans="1:22" ht="15.75" thickBot="1" x14ac:dyDescent="0.3">
      <c r="A99" s="259"/>
      <c r="B99" s="130" t="s">
        <v>12</v>
      </c>
      <c r="C99" s="65"/>
      <c r="D99" s="65">
        <f>D95-D97</f>
        <v>128</v>
      </c>
      <c r="E99" s="65">
        <f>E95-E97</f>
        <v>0</v>
      </c>
      <c r="F99" s="65"/>
      <c r="G99" s="65">
        <f>G19+G35+G51+G67+G83</f>
        <v>123</v>
      </c>
      <c r="H99" s="65">
        <f>H95-H97</f>
        <v>0</v>
      </c>
      <c r="I99" s="65"/>
      <c r="J99" s="65">
        <f>J19+J35+J51+J67+J83</f>
        <v>5</v>
      </c>
      <c r="K99" s="65">
        <f t="shared" ref="K99" si="42">K95-K97</f>
        <v>0</v>
      </c>
      <c r="L99" s="64"/>
      <c r="M99" s="158"/>
      <c r="N99" s="158"/>
      <c r="O99" s="186"/>
      <c r="Q99" s="257"/>
      <c r="R99" s="187">
        <f>P96/V96*V99</f>
        <v>404.58225036388575</v>
      </c>
      <c r="V99" s="188">
        <v>332</v>
      </c>
    </row>
    <row r="100" spans="1:22" ht="15.75" thickBot="1" x14ac:dyDescent="0.3">
      <c r="A100" s="259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158"/>
      <c r="N100" s="158"/>
      <c r="O100" s="158"/>
      <c r="P100" s="112"/>
      <c r="Q100" s="189" t="s">
        <v>34</v>
      </c>
      <c r="R100" s="190" t="s">
        <v>48</v>
      </c>
      <c r="S100" s="189" t="s">
        <v>35</v>
      </c>
      <c r="T100" s="191" t="s">
        <v>36</v>
      </c>
      <c r="V100" s="77"/>
    </row>
    <row r="101" spans="1:22" x14ac:dyDescent="0.25">
      <c r="A101" s="25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137"/>
      <c r="N101" s="137"/>
      <c r="O101" s="137"/>
      <c r="P101" s="32" t="s">
        <v>73</v>
      </c>
      <c r="Q101" s="171">
        <f>D97</f>
        <v>83</v>
      </c>
      <c r="R101" s="171">
        <f>D99</f>
        <v>128</v>
      </c>
      <c r="S101" s="192">
        <f>G99</f>
        <v>123</v>
      </c>
      <c r="T101" s="193">
        <f>J99</f>
        <v>5</v>
      </c>
    </row>
    <row r="102" spans="1:22" ht="15.75" thickBot="1" x14ac:dyDescent="0.3">
      <c r="M102" s="122"/>
      <c r="N102" s="122"/>
      <c r="O102" s="122"/>
      <c r="P102" s="76"/>
      <c r="Q102" s="120"/>
      <c r="R102" s="120"/>
      <c r="S102" s="120"/>
      <c r="T102" s="194"/>
    </row>
    <row r="103" spans="1:22" ht="16.5" customHeight="1" thickTop="1" thickBot="1" x14ac:dyDescent="0.3">
      <c r="C103" s="277" t="s">
        <v>29</v>
      </c>
      <c r="D103" s="122">
        <v>24161686</v>
      </c>
      <c r="E103" s="122"/>
      <c r="F103" s="278" t="s">
        <v>85</v>
      </c>
      <c r="G103" s="122">
        <v>7160930</v>
      </c>
      <c r="H103" s="122"/>
      <c r="I103" s="122"/>
      <c r="J103" s="122">
        <v>432014</v>
      </c>
      <c r="M103" s="195">
        <v>42839</v>
      </c>
      <c r="P103" s="76" t="s">
        <v>61</v>
      </c>
      <c r="Q103" s="196">
        <f>O87</f>
        <v>42291737</v>
      </c>
      <c r="R103" s="196">
        <f>O89</f>
        <v>134442933</v>
      </c>
      <c r="S103" s="196">
        <f>X87</f>
        <v>128084894</v>
      </c>
      <c r="T103" s="197">
        <f>X89</f>
        <v>6358039</v>
      </c>
    </row>
    <row r="104" spans="1:22" ht="15.75" thickTop="1" x14ac:dyDescent="0.25">
      <c r="C104" s="277"/>
      <c r="D104" s="122">
        <v>147630150</v>
      </c>
      <c r="E104" s="122"/>
      <c r="F104" s="278"/>
      <c r="G104" s="122">
        <v>163921690</v>
      </c>
      <c r="H104" s="122"/>
      <c r="I104" s="122"/>
      <c r="J104" s="122">
        <v>83746140</v>
      </c>
      <c r="M104" s="122"/>
      <c r="N104" s="122"/>
      <c r="O104" s="122"/>
      <c r="P104" s="76"/>
      <c r="Q104" s="120"/>
      <c r="R104" s="120"/>
      <c r="S104" s="120"/>
      <c r="T104" s="194"/>
    </row>
    <row r="105" spans="1:22" x14ac:dyDescent="0.25">
      <c r="C105" s="277"/>
      <c r="D105" s="198">
        <f>D103/D104</f>
        <v>0.16366362833066281</v>
      </c>
      <c r="E105" s="198"/>
      <c r="F105" s="278"/>
      <c r="G105" s="198">
        <f>G103/G104</f>
        <v>4.3685066936535365E-2</v>
      </c>
      <c r="H105" s="198"/>
      <c r="I105" s="198"/>
      <c r="J105" s="198">
        <f>J103/J104</f>
        <v>5.1586138776067766E-3</v>
      </c>
      <c r="N105" s="110"/>
      <c r="Q105" s="158">
        <f>W85</f>
        <v>4121002</v>
      </c>
      <c r="R105" s="66">
        <f>S105+T105</f>
        <v>13844939.61757</v>
      </c>
      <c r="S105" s="158">
        <f>W87</f>
        <v>13216993.285569999</v>
      </c>
      <c r="T105" s="186">
        <f>W89</f>
        <v>627946.33200000005</v>
      </c>
    </row>
    <row r="106" spans="1:22" x14ac:dyDescent="0.25">
      <c r="C106" s="277"/>
      <c r="F106" s="278"/>
      <c r="P106" s="38" t="s">
        <v>96</v>
      </c>
      <c r="S106" s="122">
        <f>H132*(AC87+AD87)</f>
        <v>1153789.6671388373</v>
      </c>
      <c r="T106" s="122">
        <f>J132*(Z89+AA89+AB89)</f>
        <v>54726.398663611115</v>
      </c>
    </row>
    <row r="107" spans="1:22" x14ac:dyDescent="0.25">
      <c r="C107" s="277"/>
      <c r="D107" s="122">
        <f>D105*Q105</f>
        <v>674458.13967791805</v>
      </c>
      <c r="E107" s="122"/>
      <c r="F107" s="278"/>
      <c r="G107" s="122">
        <f>G105*S105</f>
        <v>577385.23637986393</v>
      </c>
      <c r="H107" s="122"/>
      <c r="I107" s="122"/>
      <c r="J107" s="122">
        <f>J105*T105</f>
        <v>3239.3326626474727</v>
      </c>
      <c r="P107" s="76" t="s">
        <v>59</v>
      </c>
      <c r="R107" s="66">
        <f>S107+T107</f>
        <v>12636423.55176755</v>
      </c>
      <c r="S107" s="122">
        <f>S105-S106</f>
        <v>12063203.618431162</v>
      </c>
      <c r="T107" s="122">
        <f>T105-T106</f>
        <v>573219.9333363889</v>
      </c>
    </row>
    <row r="108" spans="1:22" x14ac:dyDescent="0.25">
      <c r="C108" s="277"/>
      <c r="D108" s="122"/>
      <c r="E108" s="122"/>
      <c r="G108" s="122"/>
      <c r="H108" s="122"/>
      <c r="J108" s="122"/>
      <c r="K108" s="122"/>
      <c r="P108" s="76"/>
      <c r="Q108" s="120"/>
      <c r="R108" s="120"/>
      <c r="S108" s="120"/>
      <c r="T108" s="194"/>
    </row>
    <row r="109" spans="1:22" x14ac:dyDescent="0.25">
      <c r="C109" s="277"/>
      <c r="D109" s="61">
        <f>Q103</f>
        <v>42291737</v>
      </c>
      <c r="E109" s="122"/>
      <c r="G109" s="61">
        <f>Z87</f>
        <v>455608.05</v>
      </c>
      <c r="H109" s="61"/>
      <c r="I109" s="61"/>
      <c r="J109" s="61">
        <f>Z89</f>
        <v>21181.8</v>
      </c>
      <c r="K109" s="122"/>
      <c r="P109" s="76" t="s">
        <v>74</v>
      </c>
      <c r="Q109" s="196">
        <f>S93</f>
        <v>18813.004326439375</v>
      </c>
      <c r="R109" s="196">
        <f>P93</f>
        <v>48316.842501700979</v>
      </c>
      <c r="S109" s="196">
        <f>T93</f>
        <v>46310.274991468788</v>
      </c>
      <c r="T109" s="197">
        <f>U93</f>
        <v>2006.1086564681204</v>
      </c>
    </row>
    <row r="110" spans="1:22" x14ac:dyDescent="0.25">
      <c r="C110" s="277"/>
      <c r="D110" s="38">
        <v>8.6899999999999998E-3</v>
      </c>
      <c r="F110" s="259" t="s">
        <v>41</v>
      </c>
      <c r="G110" s="38">
        <v>2.4900000000000002</v>
      </c>
      <c r="J110" s="38">
        <v>0.85</v>
      </c>
      <c r="P110" s="76"/>
      <c r="Q110" s="120"/>
      <c r="R110" s="120"/>
      <c r="S110" s="120"/>
      <c r="T110" s="194"/>
    </row>
    <row r="111" spans="1:22" x14ac:dyDescent="0.25">
      <c r="C111" s="277"/>
      <c r="D111" s="122">
        <f>D110*D109</f>
        <v>367515.19452999998</v>
      </c>
      <c r="F111" s="259"/>
      <c r="G111" s="122">
        <f>G110*G109</f>
        <v>1134464.0445000001</v>
      </c>
      <c r="J111" s="122">
        <f>J110*J109</f>
        <v>18004.53</v>
      </c>
      <c r="P111" s="76"/>
      <c r="Q111" s="120"/>
      <c r="R111" s="120"/>
      <c r="S111" s="120"/>
      <c r="T111" s="194"/>
    </row>
    <row r="112" spans="1:22" x14ac:dyDescent="0.25">
      <c r="C112" s="277"/>
      <c r="G112" s="122"/>
      <c r="P112" s="76" t="s">
        <v>13</v>
      </c>
      <c r="Q112" s="196">
        <f>S89</f>
        <v>20500</v>
      </c>
      <c r="R112" s="196">
        <f>P89</f>
        <v>52649.500000000015</v>
      </c>
      <c r="S112" s="196">
        <f>T89</f>
        <v>50463</v>
      </c>
      <c r="T112" s="197">
        <f>U89</f>
        <v>2186</v>
      </c>
    </row>
    <row r="113" spans="3:53" x14ac:dyDescent="0.25">
      <c r="C113" s="277"/>
      <c r="D113" s="122">
        <f>D107+D111</f>
        <v>1041973.334207918</v>
      </c>
      <c r="G113" s="122">
        <f>G107+G111</f>
        <v>1711849.280879864</v>
      </c>
      <c r="J113" s="122">
        <f>J107+J111</f>
        <v>21243.862662647472</v>
      </c>
      <c r="P113" s="76"/>
      <c r="Q113" s="120"/>
      <c r="R113" s="120"/>
      <c r="S113" s="120"/>
      <c r="T113" s="194"/>
    </row>
    <row r="114" spans="3:53" x14ac:dyDescent="0.25">
      <c r="G114" s="122"/>
      <c r="J114" s="122"/>
      <c r="P114" s="76" t="s">
        <v>22</v>
      </c>
      <c r="Q114" s="120"/>
      <c r="R114" s="199">
        <f>R99</f>
        <v>404.58225036388575</v>
      </c>
      <c r="S114" s="199">
        <f>S109/$R$109*$R$114</f>
        <v>387.78020874106613</v>
      </c>
      <c r="T114" s="200">
        <f>T109/$R$109*$R$114</f>
        <v>16.798199399718023</v>
      </c>
    </row>
    <row r="115" spans="3:53" x14ac:dyDescent="0.25">
      <c r="G115" s="122"/>
      <c r="J115" s="122"/>
      <c r="P115" s="76"/>
      <c r="Q115" s="120"/>
      <c r="R115" s="120"/>
      <c r="S115" s="120"/>
      <c r="T115" s="194"/>
    </row>
    <row r="116" spans="3:53" ht="15" customHeight="1" thickBot="1" x14ac:dyDescent="0.3">
      <c r="P116" s="112" t="s">
        <v>84</v>
      </c>
      <c r="Q116" s="201"/>
      <c r="R116" s="132">
        <f>S116+T116</f>
        <v>1733093.1435425114</v>
      </c>
      <c r="S116" s="132">
        <f>G113</f>
        <v>1711849.280879864</v>
      </c>
      <c r="T116" s="133">
        <f>J113</f>
        <v>21243.862662647472</v>
      </c>
    </row>
    <row r="117" spans="3:53" ht="30" x14ac:dyDescent="0.25">
      <c r="Y117" s="19" t="s">
        <v>34</v>
      </c>
      <c r="Z117" s="242" t="s">
        <v>49</v>
      </c>
      <c r="AA117" s="202" t="s">
        <v>50</v>
      </c>
      <c r="AB117" s="202" t="s">
        <v>10</v>
      </c>
      <c r="AC117" s="202" t="s">
        <v>51</v>
      </c>
      <c r="AD117" s="202" t="s">
        <v>52</v>
      </c>
      <c r="AF117" s="71" t="s">
        <v>53</v>
      </c>
      <c r="AG117" s="71" t="s">
        <v>53</v>
      </c>
      <c r="AI117" s="241" t="s">
        <v>54</v>
      </c>
      <c r="AK117" s="240" t="s">
        <v>55</v>
      </c>
    </row>
    <row r="118" spans="3:53" ht="15.75" thickBot="1" x14ac:dyDescent="0.3">
      <c r="Y118" s="120"/>
      <c r="Z118" s="242"/>
      <c r="AA118" s="202" t="s">
        <v>56</v>
      </c>
      <c r="AB118" s="202" t="s">
        <v>57</v>
      </c>
      <c r="AC118" s="202" t="s">
        <v>58</v>
      </c>
      <c r="AD118" s="202" t="s">
        <v>59</v>
      </c>
      <c r="AF118" s="71" t="s">
        <v>58</v>
      </c>
      <c r="AG118" s="71" t="s">
        <v>59</v>
      </c>
      <c r="AI118" s="241"/>
      <c r="AK118" s="240" t="s">
        <v>54</v>
      </c>
    </row>
    <row r="119" spans="3:53" x14ac:dyDescent="0.25">
      <c r="Y119" s="32" t="s">
        <v>60</v>
      </c>
      <c r="Z119" s="171">
        <f>D97*12</f>
        <v>996</v>
      </c>
      <c r="AA119" s="171"/>
      <c r="AB119" s="171"/>
      <c r="AC119" s="203">
        <v>40</v>
      </c>
      <c r="AD119" s="204">
        <f>$Z$119*AC119</f>
        <v>39840</v>
      </c>
      <c r="AF119" s="205">
        <v>50.4</v>
      </c>
      <c r="AG119" s="204">
        <f>$Z$119*AF119</f>
        <v>50198.400000000001</v>
      </c>
      <c r="AI119" s="206">
        <f>AG119-AD119</f>
        <v>10358.400000000001</v>
      </c>
      <c r="AK119" s="207">
        <f t="shared" ref="AK119:AK123" si="43">AI119/AD119</f>
        <v>0.26</v>
      </c>
    </row>
    <row r="120" spans="3:53" x14ac:dyDescent="0.25">
      <c r="Y120" s="76"/>
      <c r="Z120" s="120"/>
      <c r="AA120" s="120"/>
      <c r="AB120" s="120"/>
      <c r="AC120" s="121"/>
      <c r="AD120" s="208"/>
      <c r="AF120" s="76"/>
      <c r="AG120" s="208"/>
      <c r="AI120" s="209"/>
      <c r="AK120" s="210"/>
    </row>
    <row r="121" spans="3:53" ht="15.75" thickBot="1" x14ac:dyDescent="0.3">
      <c r="Y121" s="76" t="s">
        <v>61</v>
      </c>
      <c r="Z121" s="120"/>
      <c r="AA121" s="120"/>
      <c r="AB121" s="196">
        <f>X85</f>
        <v>42291737</v>
      </c>
      <c r="AC121" s="128">
        <v>9.6500000000000002E-2</v>
      </c>
      <c r="AD121" s="208">
        <f>$AB$121*AC121</f>
        <v>4081152.6205000002</v>
      </c>
      <c r="AF121" s="211">
        <v>0.1023</v>
      </c>
      <c r="AG121" s="208">
        <f>$AB$121*AF121</f>
        <v>4326444.6951000001</v>
      </c>
      <c r="AI121" s="209">
        <f t="shared" ref="AI121:AI155" si="44">AG121-AD121</f>
        <v>245292.07459999993</v>
      </c>
      <c r="AK121" s="210">
        <f t="shared" si="43"/>
        <v>6.010362694300516E-2</v>
      </c>
    </row>
    <row r="122" spans="3:53" x14ac:dyDescent="0.25">
      <c r="G122" s="8"/>
      <c r="H122" s="249" t="s">
        <v>91</v>
      </c>
      <c r="I122" s="249"/>
      <c r="J122" s="250" t="s">
        <v>36</v>
      </c>
      <c r="Y122" s="76"/>
      <c r="Z122" s="120"/>
      <c r="AA122" s="120"/>
      <c r="AB122" s="120"/>
      <c r="AC122" s="120"/>
      <c r="AD122" s="194"/>
      <c r="AF122" s="76"/>
      <c r="AG122" s="194"/>
      <c r="AI122" s="209"/>
      <c r="AK122" s="210"/>
      <c r="AO122" s="19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58"/>
      <c r="AZ122" s="120"/>
      <c r="BA122" s="221"/>
    </row>
    <row r="123" spans="3:53" ht="15.75" thickBot="1" x14ac:dyDescent="0.3">
      <c r="G123" s="7" t="s">
        <v>92</v>
      </c>
      <c r="H123" s="6"/>
      <c r="I123" s="6"/>
      <c r="J123" s="11"/>
      <c r="U123" s="122"/>
      <c r="W123" s="122">
        <f>X123-AD123</f>
        <v>9.3794999998062849</v>
      </c>
      <c r="X123" s="122">
        <f>W85</f>
        <v>4121002</v>
      </c>
      <c r="Y123" s="112" t="s">
        <v>62</v>
      </c>
      <c r="Z123" s="201"/>
      <c r="AA123" s="201"/>
      <c r="AB123" s="201"/>
      <c r="AC123" s="201"/>
      <c r="AD123" s="133">
        <f>SUM(AD119:AD122)</f>
        <v>4120992.6205000002</v>
      </c>
      <c r="AF123" s="112"/>
      <c r="AG123" s="133">
        <f>SUM(AG119:AG122)</f>
        <v>4376643.0951000005</v>
      </c>
      <c r="AH123" s="122"/>
      <c r="AI123" s="213">
        <f t="shared" si="44"/>
        <v>255650.47460000031</v>
      </c>
      <c r="AK123" s="214">
        <f t="shared" si="43"/>
        <v>6.203613986791906E-2</v>
      </c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58"/>
      <c r="AZ123" s="120"/>
      <c r="BA123" s="221"/>
    </row>
    <row r="124" spans="3:53" ht="15.75" thickBot="1" x14ac:dyDescent="0.3">
      <c r="G124" s="7" t="s">
        <v>42</v>
      </c>
      <c r="H124" s="12">
        <v>2120600</v>
      </c>
      <c r="I124" s="6" t="s">
        <v>41</v>
      </c>
      <c r="J124" s="253">
        <v>2591767</v>
      </c>
      <c r="AI124" s="122"/>
      <c r="AO124" s="120"/>
      <c r="AP124" s="196"/>
      <c r="AQ124" s="120"/>
      <c r="AR124" s="120"/>
      <c r="AS124" s="121"/>
      <c r="AT124" s="296"/>
      <c r="AU124" s="120"/>
      <c r="AV124" s="216"/>
      <c r="AW124" s="296"/>
      <c r="AX124" s="120"/>
      <c r="AY124" s="158"/>
      <c r="AZ124" s="120"/>
      <c r="BA124" s="221"/>
    </row>
    <row r="125" spans="3:53" x14ac:dyDescent="0.25">
      <c r="G125" s="7" t="s">
        <v>43</v>
      </c>
      <c r="H125" s="243">
        <v>2756840</v>
      </c>
      <c r="I125" s="6" t="s">
        <v>93</v>
      </c>
      <c r="J125" s="253"/>
      <c r="Y125" s="23" t="s">
        <v>63</v>
      </c>
      <c r="Z125" s="171"/>
      <c r="AA125" s="171"/>
      <c r="AB125" s="171"/>
      <c r="AC125" s="171"/>
      <c r="AD125" s="212"/>
      <c r="AF125" s="32"/>
      <c r="AG125" s="204"/>
      <c r="AI125" s="206"/>
      <c r="AK125" s="207"/>
      <c r="AO125" s="120"/>
      <c r="AP125" s="120"/>
      <c r="AQ125" s="120"/>
      <c r="AR125" s="120"/>
      <c r="AS125" s="121"/>
      <c r="AT125" s="296"/>
      <c r="AU125" s="120"/>
      <c r="AV125" s="120"/>
      <c r="AW125" s="296"/>
      <c r="AX125" s="120"/>
      <c r="AY125" s="158"/>
      <c r="AZ125" s="120"/>
      <c r="BA125" s="221"/>
    </row>
    <row r="126" spans="3:53" x14ac:dyDescent="0.25">
      <c r="G126" s="7"/>
      <c r="H126" s="12">
        <f>SUM(H124:H125)</f>
        <v>4877440</v>
      </c>
      <c r="I126" s="6" t="s">
        <v>40</v>
      </c>
      <c r="J126" s="253">
        <v>2345275</v>
      </c>
      <c r="Y126" s="76"/>
      <c r="Z126" s="120"/>
      <c r="AA126" s="120"/>
      <c r="AB126" s="120"/>
      <c r="AC126" s="120"/>
      <c r="AD126" s="194"/>
      <c r="AF126" s="76"/>
      <c r="AG126" s="208"/>
      <c r="AI126" s="209"/>
      <c r="AK126" s="210"/>
      <c r="AO126" s="120"/>
      <c r="AP126" s="120"/>
      <c r="AQ126" s="120"/>
      <c r="AR126" s="196"/>
      <c r="AS126" s="128"/>
      <c r="AT126" s="296"/>
      <c r="AU126" s="120"/>
      <c r="AV126" s="128"/>
      <c r="AW126" s="296"/>
      <c r="AX126" s="120"/>
      <c r="AY126" s="158"/>
      <c r="AZ126" s="120"/>
      <c r="BA126" s="221"/>
    </row>
    <row r="127" spans="3:53" ht="15.75" thickBot="1" x14ac:dyDescent="0.3">
      <c r="G127" s="7"/>
      <c r="H127" s="6"/>
      <c r="I127" s="6" t="s">
        <v>39</v>
      </c>
      <c r="J127" s="297">
        <v>2289597</v>
      </c>
      <c r="Y127" s="76" t="s">
        <v>60</v>
      </c>
      <c r="Z127" s="196">
        <f>12*G99</f>
        <v>1476</v>
      </c>
      <c r="AA127" s="120"/>
      <c r="AB127" s="120"/>
      <c r="AC127" s="216">
        <v>90</v>
      </c>
      <c r="AD127" s="208">
        <f>$Z$127*AC127</f>
        <v>132840</v>
      </c>
      <c r="AF127" s="215">
        <v>90</v>
      </c>
      <c r="AG127" s="208">
        <f>$Z$127*AF127</f>
        <v>132840</v>
      </c>
      <c r="AI127" s="209">
        <f t="shared" si="44"/>
        <v>0</v>
      </c>
      <c r="AK127" s="210">
        <f t="shared" ref="AK127:AK135" si="45">AI127/AD127</f>
        <v>0</v>
      </c>
      <c r="AO127" s="120"/>
      <c r="AP127" s="120"/>
      <c r="AQ127" s="120"/>
      <c r="AR127" s="120"/>
      <c r="AS127" s="121"/>
      <c r="AT127" s="120"/>
      <c r="AU127" s="120"/>
      <c r="AV127" s="120"/>
      <c r="AW127" s="120"/>
      <c r="AX127" s="120"/>
      <c r="AY127" s="158"/>
      <c r="AZ127" s="120"/>
      <c r="BA127" s="221"/>
    </row>
    <row r="128" spans="3:53" ht="15.75" thickTop="1" x14ac:dyDescent="0.25">
      <c r="G128" s="7"/>
      <c r="H128" s="6"/>
      <c r="I128" s="6"/>
      <c r="J128" s="253">
        <f>SUM(J124:J127)</f>
        <v>7226639</v>
      </c>
      <c r="Y128" s="76"/>
      <c r="Z128" s="120"/>
      <c r="AA128" s="120"/>
      <c r="AB128" s="120"/>
      <c r="AC128" s="216"/>
      <c r="AD128" s="208"/>
      <c r="AF128" s="76"/>
      <c r="AG128" s="208"/>
      <c r="AI128" s="209"/>
      <c r="AK128" s="210"/>
      <c r="AO128" s="120"/>
      <c r="AP128" s="120"/>
      <c r="AQ128" s="196"/>
      <c r="AR128" s="120"/>
      <c r="AS128" s="121"/>
      <c r="AT128" s="296"/>
      <c r="AU128" s="120"/>
      <c r="AV128" s="121"/>
      <c r="AW128" s="296"/>
      <c r="AX128" s="120"/>
      <c r="AY128" s="158"/>
      <c r="AZ128" s="120"/>
      <c r="BA128" s="221"/>
    </row>
    <row r="129" spans="7:53" x14ac:dyDescent="0.25">
      <c r="G129" s="7"/>
      <c r="H129" s="6"/>
      <c r="I129" s="6"/>
      <c r="J129" s="11"/>
      <c r="Y129" s="76" t="s">
        <v>61</v>
      </c>
      <c r="Z129" s="120"/>
      <c r="AA129" s="120"/>
      <c r="AB129" s="196">
        <f>X87</f>
        <v>128084894</v>
      </c>
      <c r="AC129" s="217">
        <v>4.0710000000000003E-2</v>
      </c>
      <c r="AD129" s="208">
        <f>$AB$129*AC129</f>
        <v>5214336.03474</v>
      </c>
      <c r="AF129" s="211">
        <v>4.0710000000000003E-2</v>
      </c>
      <c r="AG129" s="208">
        <f>$AB$129*AF129</f>
        <v>5214336.03474</v>
      </c>
      <c r="AI129" s="209">
        <f t="shared" si="44"/>
        <v>0</v>
      </c>
      <c r="AK129" s="210">
        <f t="shared" si="45"/>
        <v>0</v>
      </c>
      <c r="AO129" s="120"/>
      <c r="AP129" s="120"/>
      <c r="AQ129" s="196"/>
      <c r="AR129" s="120"/>
      <c r="AS129" s="121"/>
      <c r="AT129" s="296"/>
      <c r="AU129" s="120"/>
      <c r="AV129" s="121"/>
      <c r="AW129" s="296"/>
      <c r="AX129" s="120"/>
      <c r="AY129" s="158"/>
      <c r="AZ129" s="120"/>
      <c r="BA129" s="221"/>
    </row>
    <row r="130" spans="7:53" x14ac:dyDescent="0.25">
      <c r="G130" s="7" t="s">
        <v>94</v>
      </c>
      <c r="H130" s="4">
        <v>12351713</v>
      </c>
      <c r="I130" s="4"/>
      <c r="J130" s="5">
        <v>6142643</v>
      </c>
      <c r="Y130" s="76"/>
      <c r="Z130" s="120"/>
      <c r="AA130" s="120"/>
      <c r="AB130" s="120"/>
      <c r="AC130" s="120"/>
      <c r="AD130" s="194"/>
      <c r="AF130" s="76"/>
      <c r="AG130" s="194"/>
      <c r="AI130" s="209"/>
      <c r="AK130" s="210"/>
      <c r="AO130" s="120"/>
      <c r="AP130" s="120"/>
      <c r="AQ130" s="196"/>
      <c r="AR130" s="120"/>
      <c r="AS130" s="121"/>
      <c r="AT130" s="296"/>
      <c r="AU130" s="120"/>
      <c r="AV130" s="121"/>
      <c r="AW130" s="296"/>
      <c r="AX130" s="120"/>
      <c r="AY130" s="158"/>
      <c r="AZ130" s="120"/>
      <c r="BA130" s="221"/>
    </row>
    <row r="131" spans="7:53" x14ac:dyDescent="0.25">
      <c r="G131" s="7"/>
      <c r="H131" s="6"/>
      <c r="I131" s="6"/>
      <c r="J131" s="11"/>
      <c r="Y131" s="76" t="s">
        <v>64</v>
      </c>
      <c r="Z131" s="120"/>
      <c r="AA131" s="196">
        <f>AC87</f>
        <v>212324.40000000002</v>
      </c>
      <c r="AB131" s="120"/>
      <c r="AC131" s="216">
        <v>18.399999999999999</v>
      </c>
      <c r="AD131" s="208">
        <f>$AA$131*AC131</f>
        <v>3906768.96</v>
      </c>
      <c r="AF131" s="215">
        <v>20.93</v>
      </c>
      <c r="AG131" s="208">
        <f>$AA$131*AF131</f>
        <v>4443949.6920000007</v>
      </c>
      <c r="AI131" s="209">
        <f t="shared" si="44"/>
        <v>537180.73200000077</v>
      </c>
      <c r="AK131" s="210">
        <f t="shared" si="45"/>
        <v>0.13750000000000021</v>
      </c>
      <c r="AO131" s="120"/>
      <c r="AP131" s="120"/>
      <c r="AQ131" s="120"/>
      <c r="AR131" s="120"/>
      <c r="AS131" s="121"/>
      <c r="AT131" s="296"/>
      <c r="AU131" s="120"/>
      <c r="AV131" s="121"/>
      <c r="AW131" s="296"/>
      <c r="AX131" s="120"/>
      <c r="AY131" s="158"/>
      <c r="AZ131" s="120"/>
      <c r="BA131" s="221"/>
    </row>
    <row r="132" spans="7:53" ht="15.75" thickBot="1" x14ac:dyDescent="0.3">
      <c r="G132" s="9" t="s">
        <v>95</v>
      </c>
      <c r="H132" s="10">
        <f>H130/H126</f>
        <v>2.5324172106678913</v>
      </c>
      <c r="I132" s="10"/>
      <c r="J132" s="254">
        <f>J130/J128</f>
        <v>0.84999997924346293</v>
      </c>
      <c r="Y132" s="76" t="s">
        <v>65</v>
      </c>
      <c r="Z132" s="120"/>
      <c r="AA132" s="196">
        <f>AH87</f>
        <v>1079.6500000000001</v>
      </c>
      <c r="AB132" s="120"/>
      <c r="AC132" s="216">
        <v>18.399999999999999</v>
      </c>
      <c r="AD132" s="208">
        <f>$AA$132*AC132</f>
        <v>19865.560000000001</v>
      </c>
      <c r="AF132" s="215">
        <v>20.93</v>
      </c>
      <c r="AG132" s="208">
        <f>$AA$132*AF132</f>
        <v>22597.074500000002</v>
      </c>
      <c r="AI132" s="209">
        <f t="shared" si="44"/>
        <v>2731.5145000000011</v>
      </c>
      <c r="AK132" s="210">
        <f t="shared" si="45"/>
        <v>0.13750000000000004</v>
      </c>
      <c r="AO132" s="120"/>
      <c r="AP132" s="120"/>
      <c r="AQ132" s="196"/>
      <c r="AR132" s="120"/>
      <c r="AS132" s="121"/>
      <c r="AT132" s="296"/>
      <c r="AU132" s="120"/>
      <c r="AV132" s="121"/>
      <c r="AW132" s="296"/>
      <c r="AX132" s="120"/>
      <c r="AY132" s="158"/>
      <c r="AZ132" s="120"/>
      <c r="BA132" s="221"/>
    </row>
    <row r="133" spans="7:53" x14ac:dyDescent="0.25">
      <c r="Y133" s="76"/>
      <c r="Z133" s="120"/>
      <c r="AA133" s="120"/>
      <c r="AB133" s="120"/>
      <c r="AC133" s="216"/>
      <c r="AD133" s="194"/>
      <c r="AF133" s="76"/>
      <c r="AG133" s="194"/>
      <c r="AI133" s="209"/>
      <c r="AK133" s="210"/>
      <c r="AO133" s="120"/>
      <c r="AP133" s="120"/>
      <c r="AQ133" s="196"/>
      <c r="AR133" s="120"/>
      <c r="AS133" s="121"/>
      <c r="AT133" s="296"/>
      <c r="AU133" s="120"/>
      <c r="AV133" s="121"/>
      <c r="AW133" s="296"/>
      <c r="AX133" s="120"/>
      <c r="AY133" s="158"/>
      <c r="AZ133" s="120"/>
      <c r="BA133" s="221"/>
    </row>
    <row r="134" spans="7:53" x14ac:dyDescent="0.25">
      <c r="Y134" s="76" t="s">
        <v>66</v>
      </c>
      <c r="Z134" s="120"/>
      <c r="AA134" s="196">
        <f>AD87</f>
        <v>243283.65</v>
      </c>
      <c r="AB134" s="120"/>
      <c r="AC134" s="216">
        <v>15.99</v>
      </c>
      <c r="AD134" s="208">
        <f>$AA$134*AC134</f>
        <v>3890105.5635000002</v>
      </c>
      <c r="AF134" s="215">
        <v>18.190000000000001</v>
      </c>
      <c r="AG134" s="208">
        <f>$AA$134*AF134</f>
        <v>4425329.5935000004</v>
      </c>
      <c r="AI134" s="209">
        <f t="shared" si="44"/>
        <v>535224.03000000026</v>
      </c>
      <c r="AK134" s="210">
        <f t="shared" si="45"/>
        <v>0.13758599124452789</v>
      </c>
      <c r="AO134" s="120"/>
      <c r="AP134" s="120"/>
      <c r="AQ134" s="120"/>
      <c r="AR134" s="120"/>
      <c r="AS134" s="121"/>
      <c r="AT134" s="296"/>
      <c r="AU134" s="120"/>
      <c r="AV134" s="121"/>
      <c r="AW134" s="296"/>
      <c r="AX134" s="120"/>
      <c r="AY134" s="158"/>
      <c r="AZ134" s="120"/>
      <c r="BA134" s="221"/>
    </row>
    <row r="135" spans="7:53" x14ac:dyDescent="0.25">
      <c r="Y135" s="76" t="s">
        <v>65</v>
      </c>
      <c r="Z135" s="120"/>
      <c r="AA135" s="196">
        <f>AI87</f>
        <v>3342.2999999999997</v>
      </c>
      <c r="AB135" s="120"/>
      <c r="AC135" s="216">
        <v>15.99</v>
      </c>
      <c r="AD135" s="208">
        <f>$AA$135*AC135</f>
        <v>53443.376999999993</v>
      </c>
      <c r="AF135" s="215">
        <v>18.190000000000001</v>
      </c>
      <c r="AG135" s="208">
        <f>$AA$135*AF135</f>
        <v>60796.436999999998</v>
      </c>
      <c r="AI135" s="209">
        <f t="shared" si="44"/>
        <v>7353.0600000000049</v>
      </c>
      <c r="AK135" s="210">
        <f t="shared" si="45"/>
        <v>0.13758599124452794</v>
      </c>
      <c r="AO135" s="120"/>
      <c r="AP135" s="120"/>
      <c r="AQ135" s="196"/>
      <c r="AR135" s="120"/>
      <c r="AS135" s="121"/>
      <c r="AT135" s="296"/>
      <c r="AU135" s="120"/>
      <c r="AV135" s="121"/>
      <c r="AW135" s="296"/>
      <c r="AX135" s="120"/>
      <c r="AY135" s="158"/>
      <c r="AZ135" s="120"/>
      <c r="BA135" s="221"/>
    </row>
    <row r="136" spans="7:53" ht="15.75" thickBot="1" x14ac:dyDescent="0.3">
      <c r="Y136" s="76"/>
      <c r="Z136" s="120"/>
      <c r="AA136" s="120"/>
      <c r="AB136" s="120"/>
      <c r="AC136" s="120"/>
      <c r="AD136" s="194"/>
      <c r="AF136" s="76"/>
      <c r="AG136" s="194"/>
      <c r="AI136" s="209"/>
      <c r="AK136" s="184"/>
      <c r="AO136" s="120"/>
      <c r="AP136" s="120"/>
      <c r="AQ136" s="196"/>
      <c r="AR136" s="120"/>
      <c r="AS136" s="121"/>
      <c r="AT136" s="296"/>
      <c r="AU136" s="120"/>
      <c r="AV136" s="121"/>
      <c r="AW136" s="296"/>
      <c r="AX136" s="120"/>
      <c r="AY136" s="158"/>
      <c r="AZ136" s="120"/>
      <c r="BA136" s="221"/>
    </row>
    <row r="137" spans="7:53" ht="15.75" thickBot="1" x14ac:dyDescent="0.3">
      <c r="U137" s="122"/>
      <c r="W137" s="122">
        <f>X137-AD137</f>
        <v>-366.20967000164092</v>
      </c>
      <c r="X137" s="173">
        <f>W87</f>
        <v>13216993.285569999</v>
      </c>
      <c r="Y137" s="112" t="s">
        <v>67</v>
      </c>
      <c r="Z137" s="201"/>
      <c r="AA137" s="201"/>
      <c r="AB137" s="201"/>
      <c r="AC137" s="201"/>
      <c r="AD137" s="133">
        <f>SUM(AD127:AD136)</f>
        <v>13217359.495240001</v>
      </c>
      <c r="AF137" s="218"/>
      <c r="AG137" s="133">
        <f>SUM(AG127:AG136)</f>
        <v>14299848.831740001</v>
      </c>
      <c r="AH137" s="122"/>
      <c r="AI137" s="213">
        <f t="shared" si="44"/>
        <v>1082489.3365000002</v>
      </c>
      <c r="AK137" s="214">
        <f>AI137/AD137</f>
        <v>8.1899061373781931E-2</v>
      </c>
      <c r="AO137" s="120"/>
      <c r="AP137" s="120"/>
      <c r="AQ137" s="120"/>
      <c r="AR137" s="120"/>
      <c r="AS137" s="121"/>
      <c r="AT137" s="120"/>
      <c r="AU137" s="120"/>
      <c r="AV137" s="120"/>
      <c r="AW137" s="120"/>
      <c r="AX137" s="120"/>
      <c r="AY137" s="158"/>
      <c r="AZ137" s="120"/>
      <c r="BA137" s="221"/>
    </row>
    <row r="138" spans="7:53" ht="15.75" thickBot="1" x14ac:dyDescent="0.3">
      <c r="AI138" s="122"/>
      <c r="AO138" s="120"/>
      <c r="AP138" s="120"/>
      <c r="AQ138" s="120"/>
      <c r="AR138" s="120"/>
      <c r="AS138" s="120"/>
      <c r="AT138" s="158"/>
      <c r="AU138" s="120"/>
      <c r="AV138" s="158"/>
      <c r="AW138" s="158"/>
      <c r="AX138" s="158"/>
      <c r="AY138" s="158"/>
      <c r="AZ138" s="120"/>
      <c r="BA138" s="221"/>
    </row>
    <row r="139" spans="7:53" x14ac:dyDescent="0.25">
      <c r="Y139" s="23" t="s">
        <v>36</v>
      </c>
      <c r="Z139" s="171"/>
      <c r="AA139" s="171"/>
      <c r="AB139" s="171"/>
      <c r="AC139" s="171"/>
      <c r="AD139" s="212"/>
      <c r="AF139" s="32"/>
      <c r="AG139" s="212"/>
      <c r="AI139" s="206"/>
      <c r="AK139" s="207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</row>
    <row r="140" spans="7:53" x14ac:dyDescent="0.25">
      <c r="Y140" s="76"/>
      <c r="Z140" s="120"/>
      <c r="AA140" s="120"/>
      <c r="AB140" s="120"/>
      <c r="AC140" s="120"/>
      <c r="AD140" s="194"/>
      <c r="AF140" s="76"/>
      <c r="AG140" s="194"/>
      <c r="AI140" s="209"/>
      <c r="AK140" s="21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</row>
    <row r="141" spans="7:53" x14ac:dyDescent="0.25">
      <c r="Y141" s="76" t="s">
        <v>60</v>
      </c>
      <c r="Z141" s="196">
        <f>12*J99</f>
        <v>60</v>
      </c>
      <c r="AA141" s="120"/>
      <c r="AB141" s="120"/>
      <c r="AC141" s="121">
        <v>200</v>
      </c>
      <c r="AD141" s="208">
        <f>$Z$141*AC141</f>
        <v>12000</v>
      </c>
      <c r="AF141" s="215">
        <v>200</v>
      </c>
      <c r="AG141" s="208">
        <f>$Z$141*AF141</f>
        <v>12000</v>
      </c>
      <c r="AI141" s="209">
        <f t="shared" si="44"/>
        <v>0</v>
      </c>
      <c r="AK141" s="210">
        <f t="shared" ref="AK141:AK155" si="46">AI141/AD141</f>
        <v>0</v>
      </c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</row>
    <row r="142" spans="7:53" x14ac:dyDescent="0.25">
      <c r="Y142" s="76"/>
      <c r="Z142" s="120"/>
      <c r="AA142" s="120"/>
      <c r="AB142" s="120"/>
      <c r="AC142" s="121"/>
      <c r="AD142" s="208"/>
      <c r="AF142" s="76"/>
      <c r="AG142" s="208"/>
      <c r="AI142" s="209"/>
      <c r="AK142" s="21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</row>
    <row r="143" spans="7:53" x14ac:dyDescent="0.25">
      <c r="Y143" s="76" t="s">
        <v>61</v>
      </c>
      <c r="Z143" s="120"/>
      <c r="AA143" s="120"/>
      <c r="AB143" s="196">
        <f>X89</f>
        <v>6358039</v>
      </c>
      <c r="AC143" s="128">
        <v>4.0489999999999998E-2</v>
      </c>
      <c r="AD143" s="208">
        <f>$AB$143*AC143</f>
        <v>257436.99910999998</v>
      </c>
      <c r="AF143" s="211">
        <v>4.0489999999999998E-2</v>
      </c>
      <c r="AG143" s="208">
        <f>$AB$143*AF143</f>
        <v>257436.99910999998</v>
      </c>
      <c r="AI143" s="209">
        <f t="shared" si="44"/>
        <v>0</v>
      </c>
      <c r="AK143" s="210">
        <f t="shared" si="46"/>
        <v>0</v>
      </c>
      <c r="AO143" s="120"/>
      <c r="AP143" s="196"/>
      <c r="AQ143" s="120"/>
      <c r="AR143" s="120"/>
      <c r="AS143" s="120"/>
      <c r="AT143" s="158"/>
      <c r="AU143" s="120"/>
      <c r="AV143" s="120"/>
      <c r="AW143" s="158"/>
      <c r="AX143" s="120"/>
      <c r="AY143" s="120"/>
      <c r="AZ143" s="120"/>
      <c r="BA143" s="120"/>
    </row>
    <row r="144" spans="7:53" x14ac:dyDescent="0.25">
      <c r="Y144" s="76"/>
      <c r="Z144" s="120"/>
      <c r="AA144" s="120"/>
      <c r="AB144" s="120"/>
      <c r="AC144" s="121"/>
      <c r="AD144" s="194"/>
      <c r="AF144" s="76"/>
      <c r="AG144" s="194"/>
      <c r="AI144" s="209"/>
      <c r="AK144" s="210"/>
      <c r="AO144" s="120"/>
      <c r="AP144" s="120"/>
      <c r="AQ144" s="120"/>
      <c r="AR144" s="120"/>
      <c r="AS144" s="120"/>
      <c r="AT144" s="158"/>
      <c r="AU144" s="120"/>
      <c r="AV144" s="120"/>
      <c r="AW144" s="158"/>
      <c r="AX144" s="120"/>
      <c r="AY144" s="120"/>
      <c r="AZ144" s="120"/>
      <c r="BA144" s="120"/>
    </row>
    <row r="145" spans="21:53" x14ac:dyDescent="0.25">
      <c r="Y145" s="76" t="s">
        <v>68</v>
      </c>
      <c r="Z145" s="120"/>
      <c r="AA145" s="196">
        <f>AB89</f>
        <v>21652</v>
      </c>
      <c r="AB145" s="120"/>
      <c r="AC145" s="121">
        <v>4.5999999999999996</v>
      </c>
      <c r="AD145" s="208">
        <f>$AA$145*AC145</f>
        <v>99599.2</v>
      </c>
      <c r="AF145" s="215">
        <v>4.84</v>
      </c>
      <c r="AG145" s="208">
        <f>$AA$145*AF145</f>
        <v>104795.68</v>
      </c>
      <c r="AI145" s="209">
        <f t="shared" si="44"/>
        <v>5196.4799999999959</v>
      </c>
      <c r="AK145" s="210">
        <f t="shared" si="46"/>
        <v>5.2173913043478223E-2</v>
      </c>
      <c r="AO145" s="120"/>
      <c r="AP145" s="120"/>
      <c r="AQ145" s="77"/>
      <c r="AR145" s="77"/>
      <c r="AS145" s="120"/>
      <c r="AT145" s="158"/>
      <c r="AU145" s="120"/>
      <c r="AV145" s="120"/>
      <c r="AW145" s="158"/>
      <c r="AX145" s="120"/>
      <c r="AY145" s="120"/>
      <c r="AZ145" s="120"/>
      <c r="BA145" s="120"/>
    </row>
    <row r="146" spans="21:53" x14ac:dyDescent="0.25">
      <c r="Y146" s="76" t="s">
        <v>69</v>
      </c>
      <c r="Z146" s="120"/>
      <c r="AA146" s="196">
        <f>AG89</f>
        <v>695.49999999999977</v>
      </c>
      <c r="AB146" s="120"/>
      <c r="AC146" s="121">
        <v>4.5999999999999996</v>
      </c>
      <c r="AD146" s="208">
        <f>$AA$146*AC146</f>
        <v>3199.2999999999988</v>
      </c>
      <c r="AF146" s="215">
        <v>4.84</v>
      </c>
      <c r="AG146" s="208"/>
      <c r="AI146" s="209">
        <f t="shared" si="44"/>
        <v>-3199.2999999999988</v>
      </c>
      <c r="AK146" s="210">
        <f t="shared" si="46"/>
        <v>-1</v>
      </c>
      <c r="AO146" s="120"/>
      <c r="AP146" s="120"/>
      <c r="AQ146" s="77"/>
      <c r="AR146" s="77"/>
      <c r="AS146" s="120"/>
      <c r="AT146" s="158"/>
      <c r="AU146" s="120"/>
      <c r="AV146" s="120"/>
      <c r="AW146" s="158"/>
      <c r="AX146" s="120"/>
      <c r="AY146" s="120"/>
      <c r="AZ146" s="120"/>
      <c r="BA146" s="120"/>
    </row>
    <row r="147" spans="21:53" x14ac:dyDescent="0.25">
      <c r="Y147" s="76" t="s">
        <v>70</v>
      </c>
      <c r="Z147" s="120"/>
      <c r="AA147" s="196">
        <f>AL89</f>
        <v>4593.1999999999989</v>
      </c>
      <c r="AB147" s="120"/>
      <c r="AC147" s="121"/>
      <c r="AD147" s="194"/>
      <c r="AF147" s="215">
        <v>4.84</v>
      </c>
      <c r="AG147" s="208">
        <f>$AA$147*AF147</f>
        <v>22231.087999999992</v>
      </c>
      <c r="AI147" s="209">
        <f t="shared" si="44"/>
        <v>22231.087999999992</v>
      </c>
      <c r="AK147" s="210" t="e">
        <f>AI147/AG146</f>
        <v>#DIV/0!</v>
      </c>
      <c r="AO147" s="120"/>
      <c r="AP147" s="120"/>
      <c r="AQ147" s="77"/>
      <c r="AR147" s="77"/>
      <c r="AS147" s="120"/>
      <c r="AT147" s="158"/>
      <c r="AU147" s="120"/>
      <c r="AV147" s="120"/>
      <c r="AW147" s="158"/>
      <c r="AX147" s="120"/>
      <c r="AY147" s="120"/>
      <c r="AZ147" s="120"/>
      <c r="BA147" s="120"/>
    </row>
    <row r="148" spans="21:53" x14ac:dyDescent="0.25">
      <c r="Y148" s="76"/>
      <c r="Z148" s="120"/>
      <c r="AA148" s="120"/>
      <c r="AB148" s="120"/>
      <c r="AC148" s="121"/>
      <c r="AD148" s="194"/>
      <c r="AF148" s="215"/>
      <c r="AG148" s="194"/>
      <c r="AI148" s="209"/>
      <c r="AK148" s="210"/>
      <c r="AO148" s="120"/>
      <c r="AP148" s="120"/>
      <c r="AQ148" s="77"/>
      <c r="AR148" s="77"/>
      <c r="AS148" s="120"/>
      <c r="AT148" s="158"/>
      <c r="AU148" s="120"/>
      <c r="AV148" s="120"/>
      <c r="AW148" s="158"/>
      <c r="AX148" s="120"/>
      <c r="AY148" s="120"/>
      <c r="AZ148" s="120"/>
      <c r="BA148" s="120"/>
    </row>
    <row r="149" spans="21:53" x14ac:dyDescent="0.25">
      <c r="Y149" s="76" t="s">
        <v>71</v>
      </c>
      <c r="Z149" s="120"/>
      <c r="AA149" s="196">
        <f>AA89</f>
        <v>21550.199999999997</v>
      </c>
      <c r="AB149" s="120"/>
      <c r="AC149" s="121">
        <v>5.0999999999999996</v>
      </c>
      <c r="AD149" s="208">
        <f>$AA$149*AC149</f>
        <v>109906.01999999997</v>
      </c>
      <c r="AF149" s="215">
        <v>5.54</v>
      </c>
      <c r="AG149" s="208">
        <f>$AA$149*AF149</f>
        <v>119388.10799999998</v>
      </c>
      <c r="AI149" s="209">
        <f t="shared" si="44"/>
        <v>9482.0880000000034</v>
      </c>
      <c r="AK149" s="210">
        <f t="shared" si="46"/>
        <v>8.6274509803921623E-2</v>
      </c>
      <c r="AO149" s="120"/>
      <c r="AP149" s="120"/>
      <c r="AQ149" s="77"/>
      <c r="AR149" s="77"/>
      <c r="AS149" s="120"/>
      <c r="AT149" s="158"/>
      <c r="AU149" s="120"/>
      <c r="AV149" s="120"/>
      <c r="AW149" s="158"/>
      <c r="AX149" s="120"/>
      <c r="AY149" s="120"/>
      <c r="AZ149" s="120"/>
      <c r="BA149" s="120"/>
    </row>
    <row r="150" spans="21:53" x14ac:dyDescent="0.25">
      <c r="Y150" s="76" t="s">
        <v>65</v>
      </c>
      <c r="Z150" s="120"/>
      <c r="AA150" s="196">
        <f>AF89</f>
        <v>247.85</v>
      </c>
      <c r="AB150" s="120"/>
      <c r="AC150" s="121">
        <v>5.0999999999999996</v>
      </c>
      <c r="AD150" s="208">
        <f>$AA$150*AC150</f>
        <v>1264.0349999999999</v>
      </c>
      <c r="AF150" s="215">
        <v>5.54</v>
      </c>
      <c r="AG150" s="208">
        <f>$AA$150*AF150</f>
        <v>1373.0889999999999</v>
      </c>
      <c r="AI150" s="209">
        <f t="shared" si="44"/>
        <v>109.05400000000009</v>
      </c>
      <c r="AK150" s="210">
        <f t="shared" si="46"/>
        <v>8.6274509803921651E-2</v>
      </c>
      <c r="AO150" s="120"/>
      <c r="AP150" s="120"/>
      <c r="AQ150" s="77"/>
      <c r="AR150" s="77"/>
      <c r="AS150" s="120"/>
      <c r="AT150" s="158"/>
      <c r="AU150" s="120"/>
      <c r="AV150" s="120"/>
      <c r="AW150" s="158"/>
      <c r="AX150" s="120"/>
      <c r="AY150" s="120"/>
      <c r="AZ150" s="120"/>
      <c r="BA150" s="120"/>
    </row>
    <row r="151" spans="21:53" x14ac:dyDescent="0.25">
      <c r="Y151" s="76"/>
      <c r="Z151" s="120"/>
      <c r="AA151" s="120"/>
      <c r="AB151" s="120"/>
      <c r="AC151" s="121"/>
      <c r="AD151" s="194"/>
      <c r="AF151" s="76"/>
      <c r="AG151" s="194"/>
      <c r="AI151" s="209"/>
      <c r="AK151" s="210"/>
      <c r="AO151" s="120"/>
      <c r="AP151" s="120"/>
      <c r="AQ151" s="77"/>
      <c r="AR151" s="77"/>
      <c r="AS151" s="120"/>
      <c r="AT151" s="158"/>
      <c r="AU151" s="120"/>
      <c r="AV151" s="120"/>
      <c r="AW151" s="158"/>
      <c r="AX151" s="120"/>
      <c r="AY151" s="120"/>
      <c r="AZ151" s="120"/>
      <c r="BA151" s="120"/>
    </row>
    <row r="152" spans="21:53" x14ac:dyDescent="0.25">
      <c r="Y152" s="76" t="s">
        <v>72</v>
      </c>
      <c r="Z152" s="120"/>
      <c r="AA152" s="196">
        <f>Z89</f>
        <v>21181.8</v>
      </c>
      <c r="AB152" s="120"/>
      <c r="AC152" s="121">
        <v>6.74</v>
      </c>
      <c r="AD152" s="208">
        <f>$AA$152*AC152</f>
        <v>142765.33199999999</v>
      </c>
      <c r="AF152" s="215">
        <v>7.56</v>
      </c>
      <c r="AG152" s="208">
        <f>$AA$152*AF152</f>
        <v>160134.408</v>
      </c>
      <c r="AI152" s="209">
        <f t="shared" si="44"/>
        <v>17369.076000000001</v>
      </c>
      <c r="AK152" s="210">
        <f t="shared" si="46"/>
        <v>0.12166172106824927</v>
      </c>
      <c r="AO152" s="120"/>
      <c r="AP152" s="120"/>
      <c r="AQ152" s="120"/>
      <c r="AR152" s="120"/>
      <c r="AS152" s="120"/>
      <c r="AT152" s="158"/>
      <c r="AU152" s="120"/>
      <c r="AV152" s="120"/>
      <c r="AW152" s="158"/>
      <c r="AX152" s="120"/>
      <c r="AY152" s="120"/>
      <c r="AZ152" s="120"/>
      <c r="BA152" s="120"/>
    </row>
    <row r="153" spans="21:53" x14ac:dyDescent="0.25">
      <c r="Y153" s="76" t="s">
        <v>65</v>
      </c>
      <c r="Z153" s="120"/>
      <c r="AA153" s="196">
        <f>AE89</f>
        <v>263.44999999999993</v>
      </c>
      <c r="AB153" s="120"/>
      <c r="AC153" s="121">
        <v>6.74</v>
      </c>
      <c r="AD153" s="208">
        <f>$AA$153*AC153</f>
        <v>1775.6529999999996</v>
      </c>
      <c r="AF153" s="215">
        <v>7.5460000000000003</v>
      </c>
      <c r="AG153" s="208">
        <f>$AA$153*AF153</f>
        <v>1987.9936999999995</v>
      </c>
      <c r="AI153" s="209">
        <f t="shared" si="44"/>
        <v>212.34069999999997</v>
      </c>
      <c r="AK153" s="210">
        <f t="shared" si="46"/>
        <v>0.1195845697329377</v>
      </c>
      <c r="AO153" s="120"/>
      <c r="AP153" s="120"/>
      <c r="AQ153" s="120"/>
      <c r="AR153" s="120"/>
      <c r="AS153" s="120"/>
      <c r="AT153" s="158"/>
      <c r="AU153" s="120"/>
      <c r="AV153" s="120"/>
      <c r="AW153" s="158"/>
      <c r="AX153" s="120"/>
      <c r="AY153" s="120"/>
      <c r="AZ153" s="120"/>
      <c r="BA153" s="120"/>
    </row>
    <row r="154" spans="21:53" ht="15.75" thickBot="1" x14ac:dyDescent="0.3">
      <c r="Y154" s="76"/>
      <c r="Z154" s="120"/>
      <c r="AA154" s="120"/>
      <c r="AB154" s="120"/>
      <c r="AC154" s="121"/>
      <c r="AD154" s="194"/>
      <c r="AF154" s="76"/>
      <c r="AG154" s="194"/>
      <c r="AI154" s="209"/>
      <c r="AK154" s="21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</row>
    <row r="155" spans="21:53" ht="15.75" thickBot="1" x14ac:dyDescent="0.3">
      <c r="U155" s="122"/>
      <c r="W155" s="122">
        <f>X155-AD155</f>
        <v>-0.20710999984294176</v>
      </c>
      <c r="X155" s="173">
        <f>W89</f>
        <v>627946.33200000005</v>
      </c>
      <c r="Y155" s="112" t="s">
        <v>67</v>
      </c>
      <c r="Z155" s="201"/>
      <c r="AA155" s="201"/>
      <c r="AB155" s="201"/>
      <c r="AC155" s="201"/>
      <c r="AD155" s="133">
        <f>SUM(AD141:AD154)</f>
        <v>627946.5391099999</v>
      </c>
      <c r="AF155" s="218"/>
      <c r="AG155" s="133">
        <f>SUM(AG141:AG154)</f>
        <v>679347.36580999987</v>
      </c>
      <c r="AH155" s="122"/>
      <c r="AI155" s="213">
        <f t="shared" si="44"/>
        <v>51400.826699999976</v>
      </c>
      <c r="AK155" s="214">
        <f t="shared" si="46"/>
        <v>8.1855418413247893E-2</v>
      </c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</row>
    <row r="156" spans="21:53" x14ac:dyDescent="0.25">
      <c r="Y156" s="171"/>
      <c r="Z156" s="171"/>
      <c r="AA156" s="171"/>
      <c r="AB156" s="171"/>
      <c r="AC156" s="203"/>
      <c r="AD156" s="171"/>
      <c r="AF156" s="171"/>
      <c r="AG156" s="171"/>
      <c r="AI156" s="137"/>
      <c r="AK156" s="2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</row>
    <row r="157" spans="21:53" ht="15.75" thickBot="1" x14ac:dyDescent="0.3">
      <c r="Y157" s="120"/>
      <c r="Z157" s="120"/>
      <c r="AA157" s="120"/>
      <c r="AB157" s="120"/>
      <c r="AC157" s="120"/>
      <c r="AD157" s="158"/>
      <c r="AF157" s="158"/>
      <c r="AG157" s="158"/>
      <c r="AH157" s="122"/>
      <c r="AI157" s="158"/>
      <c r="AK157" s="221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</row>
    <row r="158" spans="21:53" x14ac:dyDescent="0.25">
      <c r="Y158" s="32" t="s">
        <v>76</v>
      </c>
      <c r="Z158" s="171"/>
      <c r="AA158" s="171"/>
      <c r="AB158" s="171"/>
      <c r="AC158" s="171"/>
      <c r="AD158" s="212"/>
      <c r="AF158" s="32"/>
      <c r="AG158" s="212"/>
      <c r="AI158" s="219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</row>
    <row r="159" spans="21:53" x14ac:dyDescent="0.25">
      <c r="Y159" s="76"/>
      <c r="Z159" s="120"/>
      <c r="AA159" s="120"/>
      <c r="AB159" s="120"/>
      <c r="AC159" s="120"/>
      <c r="AD159" s="194"/>
      <c r="AF159" s="76"/>
      <c r="AG159" s="194"/>
      <c r="AI159" s="184"/>
      <c r="AO159" s="19"/>
      <c r="AP159" s="120"/>
      <c r="AQ159" s="120"/>
      <c r="AR159" s="120"/>
      <c r="AS159" s="120"/>
      <c r="AT159" s="120"/>
      <c r="AU159" s="120"/>
      <c r="AV159" s="120"/>
      <c r="AW159" s="296"/>
      <c r="AX159" s="120"/>
      <c r="AY159" s="158"/>
      <c r="AZ159" s="120"/>
      <c r="BA159" s="221"/>
    </row>
    <row r="160" spans="21:53" x14ac:dyDescent="0.25">
      <c r="Y160" s="76" t="s">
        <v>60</v>
      </c>
      <c r="Z160" s="77">
        <f>Z127+Z141</f>
        <v>1536</v>
      </c>
      <c r="AA160" s="120"/>
      <c r="AB160" s="120"/>
      <c r="AC160" s="121">
        <v>200</v>
      </c>
      <c r="AD160" s="186">
        <f>$Z160*AC160</f>
        <v>307200</v>
      </c>
      <c r="AF160" s="215">
        <v>200</v>
      </c>
      <c r="AG160" s="186">
        <f>$Z160*AF160</f>
        <v>307200</v>
      </c>
      <c r="AH160" s="122"/>
      <c r="AI160" s="209">
        <f t="shared" ref="AI160" si="47">AG160-AD160</f>
        <v>0</v>
      </c>
      <c r="AK160" s="222">
        <f t="shared" ref="AK160" si="48">AI160/AD160</f>
        <v>0</v>
      </c>
      <c r="AO160" s="120"/>
      <c r="AP160" s="120"/>
      <c r="AQ160" s="120"/>
      <c r="AR160" s="120"/>
      <c r="AS160" s="120"/>
      <c r="AT160" s="120"/>
      <c r="AU160" s="120"/>
      <c r="AV160" s="120"/>
      <c r="AW160" s="296"/>
      <c r="AX160" s="120"/>
      <c r="AY160" s="158"/>
      <c r="AZ160" s="120"/>
      <c r="BA160" s="221"/>
    </row>
    <row r="161" spans="23:53" x14ac:dyDescent="0.25">
      <c r="Y161" s="76"/>
      <c r="Z161" s="120"/>
      <c r="AA161" s="120"/>
      <c r="AB161" s="120"/>
      <c r="AC161" s="121"/>
      <c r="AD161" s="186"/>
      <c r="AF161" s="215"/>
      <c r="AG161" s="186"/>
      <c r="AH161" s="122"/>
      <c r="AI161" s="209"/>
      <c r="AK161" s="222"/>
      <c r="AO161" s="120"/>
      <c r="AP161" s="196"/>
      <c r="AQ161" s="120"/>
      <c r="AR161" s="120"/>
      <c r="AS161" s="216"/>
      <c r="AT161" s="296"/>
      <c r="AU161" s="120"/>
      <c r="AV161" s="216"/>
      <c r="AW161" s="296"/>
      <c r="AX161" s="120"/>
      <c r="AY161" s="158"/>
      <c r="AZ161" s="120"/>
      <c r="BA161" s="221"/>
    </row>
    <row r="162" spans="23:53" ht="15" customHeight="1" x14ac:dyDescent="0.25">
      <c r="Y162" s="76" t="s">
        <v>61</v>
      </c>
      <c r="Z162" s="120"/>
      <c r="AA162" s="77"/>
      <c r="AB162" s="77">
        <f>AB129+AB143</f>
        <v>134442933</v>
      </c>
      <c r="AC162" s="128">
        <v>4.0489999999999998E-2</v>
      </c>
      <c r="AD162" s="186">
        <f>$AB162*AC162</f>
        <v>5443594.3571699997</v>
      </c>
      <c r="AF162" s="128">
        <v>4.0489999999999998E-2</v>
      </c>
      <c r="AG162" s="186">
        <f>$AB162*AF162</f>
        <v>5443594.3571699997</v>
      </c>
      <c r="AH162" s="122"/>
      <c r="AI162" s="209">
        <f t="shared" ref="AI162" si="49">AG162-AD162</f>
        <v>0</v>
      </c>
      <c r="AK162" s="222">
        <f t="shared" ref="AK162" si="50">AI162/AD162</f>
        <v>0</v>
      </c>
      <c r="AO162" s="120"/>
      <c r="AP162" s="120"/>
      <c r="AQ162" s="120"/>
      <c r="AR162" s="120"/>
      <c r="AS162" s="216"/>
      <c r="AT162" s="296"/>
      <c r="AU162" s="120"/>
      <c r="AV162" s="120"/>
      <c r="AW162" s="296"/>
      <c r="AX162" s="120"/>
      <c r="AY162" s="158"/>
      <c r="AZ162" s="120"/>
      <c r="BA162" s="221"/>
    </row>
    <row r="163" spans="23:53" ht="15" customHeight="1" x14ac:dyDescent="0.25">
      <c r="W163" s="273" t="s">
        <v>77</v>
      </c>
      <c r="X163" s="274"/>
      <c r="Y163" s="76"/>
      <c r="Z163" s="120"/>
      <c r="AA163" s="77"/>
      <c r="AB163" s="77"/>
      <c r="AC163" s="121"/>
      <c r="AD163" s="186"/>
      <c r="AF163" s="215"/>
      <c r="AG163" s="186"/>
      <c r="AH163" s="122"/>
      <c r="AI163" s="209"/>
      <c r="AK163" s="222"/>
      <c r="AO163" s="120"/>
      <c r="AP163" s="120"/>
      <c r="AQ163" s="120"/>
      <c r="AR163" s="196"/>
      <c r="AS163" s="217"/>
      <c r="AT163" s="296"/>
      <c r="AU163" s="120"/>
      <c r="AV163" s="217"/>
      <c r="AW163" s="296"/>
      <c r="AX163" s="120"/>
      <c r="AY163" s="158"/>
      <c r="AZ163" s="120"/>
      <c r="BA163" s="221"/>
    </row>
    <row r="164" spans="23:53" ht="15" customHeight="1" x14ac:dyDescent="0.25">
      <c r="W164" s="273"/>
      <c r="X164" s="274"/>
      <c r="Y164" s="76" t="s">
        <v>68</v>
      </c>
      <c r="Z164" s="120"/>
      <c r="AA164" s="77">
        <f>AB87+AB89</f>
        <v>477260.05</v>
      </c>
      <c r="AB164" s="77"/>
      <c r="AC164" s="121">
        <v>4.5999999999999996</v>
      </c>
      <c r="AD164" s="186">
        <f>$AA164*AC164</f>
        <v>2195396.23</v>
      </c>
      <c r="AF164" s="215">
        <f>AC164+$AF$177</f>
        <v>4.5999999999999996</v>
      </c>
      <c r="AG164" s="186">
        <f>$AA164*AF164</f>
        <v>2195396.23</v>
      </c>
      <c r="AH164" s="122"/>
      <c r="AI164" s="209">
        <f t="shared" ref="AI164:AI165" si="51">AG164-AD164</f>
        <v>0</v>
      </c>
      <c r="AK164" s="222">
        <f t="shared" ref="AK164:AK165" si="52">AI164/AD164</f>
        <v>0</v>
      </c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58"/>
      <c r="AZ164" s="120"/>
      <c r="BA164" s="221"/>
    </row>
    <row r="165" spans="23:53" ht="15" customHeight="1" x14ac:dyDescent="0.25">
      <c r="W165" s="273"/>
      <c r="X165" s="274"/>
      <c r="Y165" s="76" t="s">
        <v>69</v>
      </c>
      <c r="Z165" s="120"/>
      <c r="AA165" s="77">
        <f>AG87+AG89</f>
        <v>84867.225000000006</v>
      </c>
      <c r="AB165" s="77"/>
      <c r="AC165" s="121">
        <v>4.5999999999999996</v>
      </c>
      <c r="AD165" s="186">
        <f>$AA165*AC165</f>
        <v>390389.23499999999</v>
      </c>
      <c r="AF165" s="215">
        <f>AC165+$AF$177</f>
        <v>4.5999999999999996</v>
      </c>
      <c r="AG165" s="186">
        <f>$AA165*AF165</f>
        <v>390389.23499999999</v>
      </c>
      <c r="AH165" s="122"/>
      <c r="AI165" s="209">
        <f t="shared" si="51"/>
        <v>0</v>
      </c>
      <c r="AK165" s="222">
        <f t="shared" si="52"/>
        <v>0</v>
      </c>
      <c r="AO165" s="120"/>
      <c r="AP165" s="120"/>
      <c r="AQ165" s="196"/>
      <c r="AR165" s="120"/>
      <c r="AS165" s="216"/>
      <c r="AT165" s="296"/>
      <c r="AU165" s="120"/>
      <c r="AV165" s="216"/>
      <c r="AW165" s="296"/>
      <c r="AX165" s="120"/>
      <c r="AY165" s="158"/>
      <c r="AZ165" s="120"/>
      <c r="BA165" s="221"/>
    </row>
    <row r="166" spans="23:53" ht="15.75" customHeight="1" x14ac:dyDescent="0.25">
      <c r="Y166" s="76" t="s">
        <v>70</v>
      </c>
      <c r="Z166" s="120"/>
      <c r="AA166" s="77"/>
      <c r="AB166" s="77"/>
      <c r="AC166" s="121"/>
      <c r="AD166" s="186"/>
      <c r="AF166" s="215">
        <f>AC166+$AF$177</f>
        <v>0</v>
      </c>
      <c r="AG166" s="186"/>
      <c r="AH166" s="122"/>
      <c r="AI166" s="209"/>
      <c r="AK166" s="222">
        <f>AI166/AG165</f>
        <v>0</v>
      </c>
      <c r="AO166" s="120"/>
      <c r="AP166" s="120"/>
      <c r="AQ166" s="196"/>
      <c r="AR166" s="120"/>
      <c r="AS166" s="216"/>
      <c r="AT166" s="296"/>
      <c r="AU166" s="120"/>
      <c r="AV166" s="216"/>
      <c r="AW166" s="296"/>
      <c r="AX166" s="120"/>
      <c r="AY166" s="158"/>
      <c r="AZ166" s="120"/>
      <c r="BA166" s="221"/>
    </row>
    <row r="167" spans="23:53" x14ac:dyDescent="0.25">
      <c r="Y167" s="76"/>
      <c r="Z167" s="120"/>
      <c r="AA167" s="77"/>
      <c r="AB167" s="77"/>
      <c r="AC167" s="121"/>
      <c r="AD167" s="186"/>
      <c r="AF167" s="215"/>
      <c r="AG167" s="186"/>
      <c r="AH167" s="122"/>
      <c r="AI167" s="209"/>
      <c r="AK167" s="222"/>
      <c r="AO167" s="120"/>
      <c r="AP167" s="120"/>
      <c r="AQ167" s="120"/>
      <c r="AR167" s="120"/>
      <c r="AS167" s="216"/>
      <c r="AT167" s="296"/>
      <c r="AU167" s="120"/>
      <c r="AV167" s="216"/>
      <c r="AW167" s="296"/>
      <c r="AX167" s="120"/>
      <c r="AY167" s="158"/>
      <c r="AZ167" s="120"/>
      <c r="BA167" s="221"/>
    </row>
    <row r="168" spans="23:53" ht="15" customHeight="1" x14ac:dyDescent="0.25">
      <c r="Y168" s="76" t="s">
        <v>71</v>
      </c>
      <c r="Z168" s="120"/>
      <c r="AA168" s="77">
        <f>AA87+AA89</f>
        <v>477158.25</v>
      </c>
      <c r="AB168" s="77"/>
      <c r="AC168" s="121">
        <v>5.0999999999999996</v>
      </c>
      <c r="AD168" s="186">
        <f>$AA168*AC168</f>
        <v>2433507.0749999997</v>
      </c>
      <c r="AF168" s="215">
        <f>AC168+$AF$177</f>
        <v>5.0999999999999996</v>
      </c>
      <c r="AG168" s="186">
        <f>$AA168*AF168</f>
        <v>2433507.0749999997</v>
      </c>
      <c r="AH168" s="122"/>
      <c r="AI168" s="209">
        <f t="shared" ref="AI168:AI169" si="53">AG168-AD168</f>
        <v>0</v>
      </c>
      <c r="AK168" s="222">
        <f t="shared" ref="AK168:AK169" si="54">AI168/AD168</f>
        <v>0</v>
      </c>
      <c r="AO168" s="120"/>
      <c r="AP168" s="120"/>
      <c r="AQ168" s="196"/>
      <c r="AR168" s="120"/>
      <c r="AS168" s="216"/>
      <c r="AT168" s="296"/>
      <c r="AU168" s="120"/>
      <c r="AV168" s="216"/>
      <c r="AW168" s="296"/>
      <c r="AX168" s="120"/>
      <c r="AY168" s="158"/>
      <c r="AZ168" s="120"/>
      <c r="BA168" s="221"/>
    </row>
    <row r="169" spans="23:53" ht="15" customHeight="1" x14ac:dyDescent="0.25">
      <c r="Y169" s="76" t="s">
        <v>65</v>
      </c>
      <c r="Z169" s="120"/>
      <c r="AA169" s="77">
        <f>AF87+AF89</f>
        <v>4669.8000000000011</v>
      </c>
      <c r="AB169" s="77"/>
      <c r="AC169" s="121">
        <v>5.0999999999999996</v>
      </c>
      <c r="AD169" s="186">
        <f>$AA169*AC169</f>
        <v>23815.980000000003</v>
      </c>
      <c r="AF169" s="215">
        <f>AC169+$AF$177</f>
        <v>5.0999999999999996</v>
      </c>
      <c r="AG169" s="186">
        <f>$AA169*AF169</f>
        <v>23815.980000000003</v>
      </c>
      <c r="AH169" s="122"/>
      <c r="AI169" s="209">
        <f t="shared" si="53"/>
        <v>0</v>
      </c>
      <c r="AK169" s="222">
        <f t="shared" si="54"/>
        <v>0</v>
      </c>
      <c r="AO169" s="120"/>
      <c r="AP169" s="120"/>
      <c r="AQ169" s="196"/>
      <c r="AR169" s="120"/>
      <c r="AS169" s="216"/>
      <c r="AT169" s="296"/>
      <c r="AU169" s="120"/>
      <c r="AV169" s="216"/>
      <c r="AW169" s="296"/>
      <c r="AX169" s="120"/>
      <c r="AY169" s="158"/>
      <c r="AZ169" s="120"/>
      <c r="BA169" s="221"/>
    </row>
    <row r="170" spans="23:53" ht="15" customHeight="1" x14ac:dyDescent="0.25">
      <c r="Y170" s="76"/>
      <c r="Z170" s="120"/>
      <c r="AA170" s="77"/>
      <c r="AB170" s="77"/>
      <c r="AC170" s="121"/>
      <c r="AD170" s="186"/>
      <c r="AF170" s="215"/>
      <c r="AG170" s="186"/>
      <c r="AH170" s="122"/>
      <c r="AI170" s="209"/>
      <c r="AK170" s="222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58"/>
      <c r="AZ170" s="120"/>
      <c r="BA170" s="120"/>
    </row>
    <row r="171" spans="23:53" ht="15" customHeight="1" x14ac:dyDescent="0.25">
      <c r="Y171" s="76" t="s">
        <v>72</v>
      </c>
      <c r="Z171" s="120"/>
      <c r="AA171" s="77">
        <f>Z87+Z89</f>
        <v>476789.85</v>
      </c>
      <c r="AB171" s="77"/>
      <c r="AC171" s="121">
        <v>6.74</v>
      </c>
      <c r="AD171" s="186">
        <f>$AA171*AC171</f>
        <v>3213563.5890000002</v>
      </c>
      <c r="AF171" s="215">
        <f>AC171+$AF$177</f>
        <v>6.74</v>
      </c>
      <c r="AG171" s="186">
        <f>$AA171*AF171</f>
        <v>3213563.5890000002</v>
      </c>
      <c r="AH171" s="122"/>
      <c r="AI171" s="209">
        <f t="shared" ref="AI171:AI172" si="55">AG171-AD171</f>
        <v>0</v>
      </c>
      <c r="AK171" s="222">
        <f t="shared" ref="AK171:AK172" si="56">AI171/AD171</f>
        <v>0</v>
      </c>
      <c r="AO171" s="120"/>
      <c r="AP171" s="120"/>
      <c r="AQ171" s="120"/>
      <c r="AR171" s="120"/>
      <c r="AS171" s="120"/>
      <c r="AT171" s="158"/>
      <c r="AU171" s="120"/>
      <c r="AV171" s="158"/>
      <c r="AW171" s="158"/>
      <c r="AX171" s="158"/>
      <c r="AY171" s="158"/>
      <c r="AZ171" s="120"/>
      <c r="BA171" s="221"/>
    </row>
    <row r="172" spans="23:53" ht="15.75" customHeight="1" x14ac:dyDescent="0.25">
      <c r="Y172" s="76" t="s">
        <v>65</v>
      </c>
      <c r="Z172" s="120"/>
      <c r="AA172" s="77">
        <f>AE87+AE89</f>
        <v>4685.3999999999996</v>
      </c>
      <c r="AB172" s="77"/>
      <c r="AC172" s="121">
        <v>6.74</v>
      </c>
      <c r="AD172" s="186">
        <f>$AA172*AC172</f>
        <v>31579.595999999998</v>
      </c>
      <c r="AF172" s="215">
        <f>AC172+$AF$177</f>
        <v>6.74</v>
      </c>
      <c r="AG172" s="186">
        <f>$AA172*AF172</f>
        <v>31579.595999999998</v>
      </c>
      <c r="AH172" s="122"/>
      <c r="AI172" s="209">
        <f t="shared" si="55"/>
        <v>0</v>
      </c>
      <c r="AK172" s="222">
        <f t="shared" si="56"/>
        <v>0</v>
      </c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</row>
    <row r="173" spans="23:53" ht="22.5" customHeight="1" x14ac:dyDescent="0.25">
      <c r="Y173" s="76"/>
      <c r="Z173" s="120"/>
      <c r="AA173" s="120"/>
      <c r="AB173" s="120"/>
      <c r="AC173" s="120"/>
      <c r="AD173" s="194"/>
      <c r="AF173" s="223"/>
      <c r="AG173" s="194"/>
      <c r="AH173" s="122"/>
      <c r="AI173" s="209"/>
      <c r="AK173" s="222"/>
      <c r="AO173" s="120"/>
      <c r="AP173" s="120"/>
      <c r="AQ173" s="120"/>
      <c r="AR173" s="120"/>
      <c r="AS173" s="120"/>
      <c r="AT173" s="158"/>
      <c r="AU173" s="158"/>
      <c r="AV173" s="158"/>
      <c r="AW173" s="120"/>
      <c r="AX173" s="120"/>
      <c r="AY173" s="120"/>
      <c r="AZ173" s="120"/>
      <c r="BA173" s="120"/>
    </row>
    <row r="174" spans="23:53" ht="15" customHeight="1" thickBot="1" x14ac:dyDescent="0.3">
      <c r="Y174" s="112" t="s">
        <v>67</v>
      </c>
      <c r="Z174" s="201"/>
      <c r="AA174" s="201"/>
      <c r="AB174" s="201"/>
      <c r="AC174" s="201"/>
      <c r="AD174" s="133">
        <f>SUM(AD160:AD173)</f>
        <v>14039046.062170001</v>
      </c>
      <c r="AF174" s="218"/>
      <c r="AG174" s="133">
        <f>SUM(AG160:AG173)</f>
        <v>14039046.062170001</v>
      </c>
      <c r="AH174" s="122"/>
      <c r="AI174" s="213">
        <f t="shared" ref="AI174" si="57">AG174-AD174</f>
        <v>0</v>
      </c>
      <c r="AK174" s="222">
        <f t="shared" ref="AK174" si="58">AI174/AD174</f>
        <v>0</v>
      </c>
      <c r="AO174" s="120"/>
      <c r="AP174" s="120"/>
      <c r="AQ174" s="120"/>
      <c r="AR174" s="120"/>
      <c r="AS174" s="120"/>
      <c r="AT174" s="158"/>
      <c r="AU174" s="158"/>
      <c r="AV174" s="216"/>
      <c r="AW174" s="120"/>
      <c r="AX174" s="120"/>
      <c r="AY174" s="120"/>
      <c r="AZ174" s="120"/>
      <c r="BA174" s="120"/>
    </row>
    <row r="175" spans="23:53" ht="15" customHeight="1" x14ac:dyDescent="0.25">
      <c r="AO175" s="120"/>
      <c r="AP175" s="120"/>
      <c r="AQ175" s="120"/>
      <c r="AR175" s="120"/>
      <c r="AS175" s="120"/>
      <c r="AT175" s="158"/>
      <c r="AU175" s="158"/>
      <c r="AV175" s="158"/>
      <c r="AW175" s="120"/>
      <c r="AX175" s="120"/>
      <c r="AY175" s="120"/>
      <c r="AZ175" s="120"/>
      <c r="BA175" s="120"/>
    </row>
    <row r="176" spans="23:53" ht="15" customHeight="1" x14ac:dyDescent="0.25">
      <c r="AB176" s="122">
        <f>AD137+AD155</f>
        <v>13845306.03435</v>
      </c>
      <c r="AD176" s="122">
        <f>AD174</f>
        <v>14039046.062170001</v>
      </c>
    </row>
    <row r="177" spans="1:32" ht="15" customHeight="1" x14ac:dyDescent="0.25">
      <c r="AD177" s="122">
        <v>0</v>
      </c>
      <c r="AF177" s="224">
        <f>AD177/(SUM(AA164:AA172))</f>
        <v>0</v>
      </c>
    </row>
    <row r="178" spans="1:32" ht="15.75" customHeight="1" x14ac:dyDescent="0.25">
      <c r="AD178" s="122">
        <f>SUM(AD176:AD177)</f>
        <v>14039046.062170001</v>
      </c>
    </row>
    <row r="179" spans="1:32" s="120" customFormat="1" ht="15" customHeight="1" x14ac:dyDescent="0.25">
      <c r="A179" s="36"/>
      <c r="B179" s="36"/>
      <c r="D179" s="66"/>
      <c r="E179" s="66"/>
      <c r="F179" s="66"/>
      <c r="G179" s="66"/>
      <c r="H179" s="66"/>
      <c r="I179" s="66"/>
      <c r="J179" s="66"/>
      <c r="K179" s="66"/>
      <c r="L179" s="65"/>
      <c r="M179" s="70"/>
      <c r="N179" s="71"/>
      <c r="O179" s="70"/>
      <c r="P179" s="70"/>
    </row>
    <row r="180" spans="1:32" s="120" customFormat="1" ht="15" customHeight="1" x14ac:dyDescent="0.25">
      <c r="A180" s="36"/>
      <c r="B180" s="36"/>
      <c r="D180" s="66"/>
      <c r="E180" s="66"/>
      <c r="F180" s="66"/>
      <c r="G180" s="66"/>
      <c r="H180" s="66"/>
      <c r="I180" s="66"/>
      <c r="J180" s="66"/>
      <c r="K180" s="66"/>
      <c r="L180" s="65"/>
      <c r="M180" s="65"/>
      <c r="N180" s="71"/>
      <c r="O180" s="71"/>
      <c r="P180" s="71"/>
    </row>
    <row r="181" spans="1:32" s="120" customFormat="1" ht="15" customHeight="1" x14ac:dyDescent="0.25">
      <c r="A181" s="36"/>
      <c r="B181" s="36"/>
      <c r="D181" s="66"/>
      <c r="E181" s="66"/>
      <c r="F181" s="66"/>
      <c r="G181" s="66"/>
      <c r="H181" s="66"/>
      <c r="I181" s="66"/>
      <c r="J181" s="66"/>
      <c r="K181" s="66"/>
      <c r="L181" s="65"/>
      <c r="M181" s="225"/>
      <c r="N181" s="226"/>
      <c r="O181" s="225"/>
      <c r="P181" s="225"/>
    </row>
    <row r="182" spans="1:32" s="120" customFormat="1" ht="15" customHeight="1" x14ac:dyDescent="0.25">
      <c r="A182" s="36"/>
      <c r="B182" s="36"/>
      <c r="D182" s="66"/>
      <c r="E182" s="66"/>
      <c r="F182" s="66"/>
      <c r="G182" s="66"/>
      <c r="H182" s="66"/>
      <c r="I182" s="66"/>
      <c r="J182" s="66"/>
      <c r="K182" s="66"/>
      <c r="L182" s="65"/>
      <c r="M182" s="225"/>
      <c r="N182" s="226"/>
      <c r="O182" s="226"/>
      <c r="P182" s="226"/>
    </row>
    <row r="183" spans="1:32" s="120" customFormat="1" ht="15" customHeight="1" x14ac:dyDescent="0.25">
      <c r="A183" s="36"/>
      <c r="B183" s="36"/>
      <c r="D183" s="66"/>
      <c r="E183" s="66"/>
      <c r="F183" s="66"/>
      <c r="G183" s="66"/>
      <c r="H183" s="66"/>
      <c r="I183" s="66"/>
      <c r="J183" s="66"/>
      <c r="K183" s="66"/>
      <c r="L183" s="65"/>
      <c r="M183" s="225"/>
      <c r="N183" s="226"/>
      <c r="O183" s="225"/>
      <c r="P183" s="225"/>
    </row>
    <row r="184" spans="1:32" s="120" customFormat="1" ht="15.75" customHeight="1" x14ac:dyDescent="0.3">
      <c r="A184" s="33"/>
      <c r="B184" s="33"/>
      <c r="D184" s="66"/>
      <c r="E184" s="66"/>
      <c r="F184" s="66"/>
      <c r="G184" s="66"/>
      <c r="H184" s="66"/>
      <c r="I184" s="66"/>
      <c r="J184" s="66"/>
      <c r="K184" s="66"/>
      <c r="L184" s="65"/>
      <c r="M184" s="65"/>
      <c r="N184" s="65"/>
      <c r="O184" s="65"/>
      <c r="P184" s="65"/>
    </row>
    <row r="185" spans="1:32" s="120" customFormat="1" ht="15" customHeight="1" x14ac:dyDescent="0.25">
      <c r="A185" s="36"/>
      <c r="B185" s="36"/>
      <c r="D185" s="66"/>
      <c r="E185" s="66"/>
      <c r="F185" s="66"/>
      <c r="G185" s="66"/>
      <c r="H185" s="66"/>
      <c r="I185" s="66"/>
      <c r="J185" s="66"/>
      <c r="K185" s="66"/>
      <c r="L185" s="65"/>
      <c r="M185" s="70"/>
      <c r="N185" s="70"/>
      <c r="O185" s="70"/>
      <c r="P185" s="70"/>
    </row>
    <row r="186" spans="1:32" s="120" customFormat="1" ht="15" customHeight="1" x14ac:dyDescent="0.25">
      <c r="A186" s="36"/>
      <c r="B186" s="36"/>
      <c r="D186" s="66"/>
      <c r="E186" s="66"/>
      <c r="F186" s="66"/>
      <c r="G186" s="66"/>
      <c r="H186" s="66"/>
      <c r="I186" s="66"/>
      <c r="J186" s="66"/>
      <c r="K186" s="66"/>
      <c r="L186" s="65"/>
      <c r="M186" s="70"/>
      <c r="N186" s="70"/>
      <c r="O186" s="70"/>
      <c r="P186" s="70"/>
    </row>
    <row r="187" spans="1:32" s="120" customFormat="1" ht="15" customHeight="1" x14ac:dyDescent="0.25">
      <c r="A187" s="36"/>
      <c r="B187" s="36"/>
      <c r="D187" s="66"/>
      <c r="E187" s="66"/>
      <c r="F187" s="66"/>
      <c r="G187" s="66"/>
      <c r="H187" s="66"/>
      <c r="I187" s="66"/>
      <c r="J187" s="66"/>
      <c r="K187" s="66"/>
      <c r="L187" s="65"/>
      <c r="M187" s="70"/>
      <c r="N187" s="70"/>
      <c r="O187" s="70"/>
      <c r="P187" s="70"/>
    </row>
    <row r="188" spans="1:32" s="120" customFormat="1" ht="15" customHeight="1" x14ac:dyDescent="0.25">
      <c r="A188" s="36"/>
      <c r="B188" s="36"/>
      <c r="D188" s="66"/>
      <c r="E188" s="66"/>
      <c r="F188" s="66"/>
      <c r="G188" s="66"/>
      <c r="H188" s="66"/>
      <c r="I188" s="66"/>
      <c r="J188" s="66"/>
      <c r="K188" s="66"/>
      <c r="L188" s="65"/>
      <c r="M188" s="70"/>
      <c r="N188" s="70"/>
      <c r="O188" s="70"/>
      <c r="P188" s="70"/>
    </row>
    <row r="189" spans="1:32" s="120" customFormat="1" ht="15" customHeight="1" x14ac:dyDescent="0.25">
      <c r="A189" s="36"/>
      <c r="B189" s="36"/>
      <c r="D189" s="66"/>
      <c r="E189" s="66"/>
      <c r="F189" s="66"/>
      <c r="G189" s="66"/>
      <c r="H189" s="66"/>
      <c r="I189" s="66"/>
      <c r="J189" s="66"/>
      <c r="K189" s="66"/>
      <c r="L189" s="65"/>
      <c r="M189" s="70"/>
      <c r="N189" s="70"/>
      <c r="O189" s="70"/>
      <c r="P189" s="70"/>
    </row>
    <row r="190" spans="1:32" s="120" customFormat="1" ht="18.75" x14ac:dyDescent="0.3">
      <c r="A190" s="33"/>
      <c r="B190" s="33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</row>
    <row r="191" spans="1:32" s="120" customFormat="1" ht="18.75" x14ac:dyDescent="0.25">
      <c r="A191" s="36"/>
      <c r="B191" s="36"/>
      <c r="D191" s="66"/>
      <c r="E191" s="66"/>
      <c r="F191" s="66"/>
      <c r="G191" s="66"/>
      <c r="H191" s="66"/>
      <c r="I191" s="66"/>
      <c r="J191" s="66"/>
      <c r="K191" s="66"/>
      <c r="L191" s="65"/>
      <c r="M191" s="70"/>
      <c r="N191" s="70"/>
      <c r="O191" s="70"/>
      <c r="P191" s="70"/>
    </row>
    <row r="192" spans="1:32" s="120" customFormat="1" ht="18.75" x14ac:dyDescent="0.25">
      <c r="A192" s="34"/>
      <c r="B192" s="34"/>
      <c r="D192" s="66"/>
      <c r="E192" s="66"/>
      <c r="F192" s="66"/>
      <c r="G192" s="66"/>
      <c r="H192" s="66"/>
      <c r="I192" s="66"/>
      <c r="J192" s="66"/>
      <c r="K192" s="66"/>
      <c r="L192" s="65"/>
      <c r="M192" s="70"/>
      <c r="N192" s="70"/>
      <c r="O192" s="70"/>
      <c r="P192" s="70"/>
    </row>
    <row r="193" spans="1:16" s="120" customFormat="1" ht="18.75" x14ac:dyDescent="0.25">
      <c r="A193" s="34"/>
      <c r="B193" s="34"/>
      <c r="D193" s="66"/>
      <c r="E193" s="66"/>
      <c r="F193" s="66"/>
      <c r="G193" s="66"/>
      <c r="H193" s="66"/>
      <c r="I193" s="66"/>
      <c r="J193" s="66"/>
      <c r="K193" s="66"/>
      <c r="L193" s="65"/>
      <c r="M193" s="70"/>
      <c r="N193" s="70"/>
      <c r="O193" s="70"/>
      <c r="P193" s="70"/>
    </row>
    <row r="194" spans="1:16" s="120" customFormat="1" ht="18.75" x14ac:dyDescent="0.25">
      <c r="A194" s="34"/>
      <c r="B194" s="34"/>
      <c r="D194" s="66"/>
      <c r="E194" s="66"/>
      <c r="F194" s="66"/>
      <c r="G194" s="66"/>
      <c r="H194" s="66"/>
      <c r="I194" s="66"/>
      <c r="J194" s="66"/>
      <c r="K194" s="66"/>
      <c r="L194" s="65"/>
      <c r="M194" s="70"/>
      <c r="N194" s="70"/>
      <c r="O194" s="70"/>
      <c r="P194" s="70"/>
    </row>
    <row r="195" spans="1:16" s="120" customFormat="1" ht="18.75" x14ac:dyDescent="0.25">
      <c r="A195" s="34"/>
      <c r="B195" s="34"/>
      <c r="D195" s="66"/>
      <c r="E195" s="66"/>
      <c r="F195" s="66"/>
      <c r="G195" s="66"/>
      <c r="H195" s="66"/>
      <c r="I195" s="66"/>
      <c r="J195" s="66"/>
      <c r="K195" s="66"/>
      <c r="L195" s="65"/>
      <c r="M195" s="70"/>
      <c r="N195" s="70"/>
      <c r="O195" s="70"/>
      <c r="P195" s="70"/>
    </row>
    <row r="196" spans="1:16" s="120" customFormat="1" ht="18.75" x14ac:dyDescent="0.3">
      <c r="A196" s="33"/>
      <c r="B196" s="33"/>
      <c r="D196" s="66"/>
      <c r="E196" s="66"/>
      <c r="F196" s="66"/>
      <c r="G196" s="66"/>
      <c r="H196" s="66"/>
      <c r="I196" s="66"/>
      <c r="J196" s="66"/>
      <c r="K196" s="66"/>
      <c r="L196" s="65"/>
      <c r="M196" s="70"/>
      <c r="N196" s="70"/>
      <c r="O196" s="70"/>
      <c r="P196" s="70"/>
    </row>
    <row r="197" spans="1:16" s="120" customFormat="1" ht="18.75" x14ac:dyDescent="0.25">
      <c r="A197" s="34"/>
      <c r="B197" s="34"/>
      <c r="D197" s="66"/>
      <c r="E197" s="66"/>
      <c r="F197" s="66"/>
      <c r="G197" s="66"/>
      <c r="H197" s="66"/>
      <c r="I197" s="66"/>
      <c r="J197" s="66"/>
      <c r="K197" s="66"/>
      <c r="L197" s="65"/>
      <c r="M197" s="70"/>
      <c r="N197" s="70"/>
      <c r="O197" s="70"/>
      <c r="P197" s="70"/>
    </row>
    <row r="198" spans="1:16" s="120" customFormat="1" ht="18.75" x14ac:dyDescent="0.25">
      <c r="A198" s="34"/>
      <c r="B198" s="34"/>
      <c r="D198" s="66"/>
      <c r="E198" s="66"/>
      <c r="F198" s="66"/>
      <c r="G198" s="66"/>
      <c r="H198" s="66"/>
      <c r="I198" s="66"/>
      <c r="J198" s="66"/>
      <c r="K198" s="66"/>
      <c r="L198" s="65"/>
      <c r="M198" s="70"/>
      <c r="N198" s="70"/>
      <c r="O198" s="70"/>
      <c r="P198" s="70"/>
    </row>
    <row r="199" spans="1:16" s="120" customFormat="1" ht="18.75" x14ac:dyDescent="0.25">
      <c r="A199" s="34"/>
      <c r="B199" s="34"/>
      <c r="D199" s="66"/>
      <c r="E199" s="66"/>
      <c r="F199" s="66"/>
      <c r="G199" s="66"/>
      <c r="H199" s="66"/>
      <c r="I199" s="66"/>
      <c r="J199" s="66"/>
      <c r="K199" s="66"/>
      <c r="L199" s="65"/>
      <c r="M199" s="70"/>
      <c r="N199" s="70"/>
      <c r="O199" s="70"/>
      <c r="P199" s="70"/>
    </row>
    <row r="200" spans="1:16" s="120" customFormat="1" ht="18.75" x14ac:dyDescent="0.25">
      <c r="A200" s="34"/>
      <c r="B200" s="34"/>
      <c r="D200" s="66"/>
      <c r="E200" s="66"/>
      <c r="F200" s="66"/>
      <c r="G200" s="66"/>
      <c r="H200" s="66"/>
      <c r="I200" s="66"/>
      <c r="J200" s="66"/>
      <c r="K200" s="66"/>
      <c r="L200" s="65"/>
      <c r="M200" s="70"/>
      <c r="N200" s="70"/>
      <c r="O200" s="70"/>
      <c r="P200" s="70"/>
    </row>
    <row r="201" spans="1:16" s="120" customFormat="1" ht="18.75" x14ac:dyDescent="0.25">
      <c r="A201" s="34"/>
      <c r="B201" s="34"/>
      <c r="D201" s="66"/>
      <c r="E201" s="66"/>
      <c r="F201" s="66"/>
      <c r="G201" s="66"/>
      <c r="H201" s="66"/>
      <c r="I201" s="66"/>
      <c r="J201" s="66"/>
      <c r="K201" s="66"/>
      <c r="L201" s="65"/>
      <c r="M201" s="70"/>
      <c r="N201" s="70"/>
      <c r="O201" s="70"/>
      <c r="P201" s="70"/>
    </row>
    <row r="202" spans="1:16" s="120" customFormat="1" ht="18.75" x14ac:dyDescent="0.3">
      <c r="A202" s="33"/>
      <c r="B202" s="33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</row>
    <row r="203" spans="1:16" s="120" customFormat="1" ht="18.75" x14ac:dyDescent="0.25">
      <c r="A203" s="34"/>
      <c r="B203" s="34"/>
      <c r="D203" s="66"/>
      <c r="E203" s="66"/>
      <c r="F203" s="227"/>
      <c r="G203" s="66"/>
      <c r="H203" s="66"/>
      <c r="I203" s="227"/>
      <c r="J203" s="66"/>
      <c r="K203" s="66"/>
      <c r="L203" s="67"/>
      <c r="M203" s="70"/>
      <c r="N203" s="71"/>
      <c r="O203" s="70"/>
      <c r="P203" s="70"/>
    </row>
    <row r="204" spans="1:16" s="120" customFormat="1" ht="18.75" x14ac:dyDescent="0.25">
      <c r="A204" s="34"/>
      <c r="B204" s="34"/>
      <c r="D204" s="65"/>
      <c r="E204" s="65"/>
      <c r="F204" s="65"/>
      <c r="G204" s="65"/>
      <c r="H204" s="65"/>
      <c r="I204" s="65"/>
      <c r="J204" s="65"/>
      <c r="K204" s="65"/>
      <c r="L204" s="67"/>
      <c r="M204" s="65"/>
      <c r="N204" s="71"/>
      <c r="O204" s="71"/>
      <c r="P204" s="71"/>
    </row>
    <row r="205" spans="1:16" s="120" customFormat="1" ht="18.75" x14ac:dyDescent="0.25">
      <c r="A205" s="34"/>
      <c r="B205" s="34"/>
      <c r="D205" s="66"/>
      <c r="E205" s="66"/>
      <c r="F205" s="65"/>
      <c r="G205" s="66"/>
      <c r="H205" s="66"/>
      <c r="I205" s="65"/>
      <c r="J205" s="66"/>
      <c r="K205" s="66"/>
      <c r="L205" s="67"/>
      <c r="M205" s="70"/>
      <c r="N205" s="228"/>
      <c r="O205" s="70"/>
      <c r="P205" s="70"/>
    </row>
    <row r="206" spans="1:16" s="120" customFormat="1" ht="18.75" x14ac:dyDescent="0.25">
      <c r="A206" s="34"/>
      <c r="B206" s="34"/>
      <c r="D206" s="65"/>
      <c r="E206" s="65"/>
      <c r="F206" s="65"/>
      <c r="G206" s="65"/>
      <c r="H206" s="65"/>
      <c r="I206" s="65"/>
      <c r="J206" s="65"/>
      <c r="K206" s="65"/>
      <c r="L206" s="67"/>
      <c r="M206" s="70"/>
      <c r="N206" s="228"/>
      <c r="O206" s="228"/>
      <c r="P206" s="228"/>
    </row>
    <row r="207" spans="1:16" s="120" customFormat="1" ht="18.75" x14ac:dyDescent="0.25">
      <c r="A207" s="34"/>
      <c r="B207" s="34"/>
      <c r="D207" s="66"/>
      <c r="E207" s="66"/>
      <c r="F207" s="65"/>
      <c r="G207" s="66"/>
      <c r="H207" s="66"/>
      <c r="I207" s="65"/>
      <c r="J207" s="66"/>
      <c r="K207" s="66"/>
      <c r="L207" s="67"/>
      <c r="M207" s="70"/>
      <c r="N207" s="228"/>
      <c r="O207" s="70"/>
      <c r="P207" s="70"/>
    </row>
    <row r="208" spans="1:16" s="120" customFormat="1" ht="18.75" x14ac:dyDescent="0.3">
      <c r="A208" s="33"/>
      <c r="B208" s="33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</row>
    <row r="209" spans="1:16" s="120" customFormat="1" ht="18.75" x14ac:dyDescent="0.25">
      <c r="A209" s="35"/>
      <c r="B209" s="35"/>
      <c r="D209" s="66"/>
      <c r="E209" s="66"/>
      <c r="F209" s="66"/>
      <c r="G209" s="66"/>
      <c r="H209" s="66"/>
      <c r="I209" s="66"/>
      <c r="J209" s="66"/>
      <c r="K209" s="66"/>
      <c r="L209" s="66"/>
      <c r="M209" s="70"/>
      <c r="N209" s="70"/>
      <c r="O209" s="70"/>
      <c r="P209" s="66"/>
    </row>
    <row r="210" spans="1:16" s="120" customFormat="1" ht="18.75" x14ac:dyDescent="0.25">
      <c r="A210" s="35"/>
      <c r="B210" s="3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</row>
    <row r="211" spans="1:16" s="120" customFormat="1" ht="18.75" x14ac:dyDescent="0.25">
      <c r="A211" s="35"/>
      <c r="B211" s="35"/>
      <c r="D211" s="66"/>
      <c r="E211" s="66"/>
      <c r="F211" s="66"/>
      <c r="G211" s="66"/>
      <c r="H211" s="66"/>
      <c r="I211" s="66"/>
      <c r="J211" s="66"/>
      <c r="K211" s="66"/>
      <c r="L211" s="66"/>
      <c r="M211" s="70"/>
      <c r="N211" s="70"/>
      <c r="O211" s="70"/>
      <c r="P211" s="66"/>
    </row>
    <row r="212" spans="1:16" s="120" customFormat="1" ht="18.75" x14ac:dyDescent="0.25">
      <c r="A212" s="35"/>
      <c r="B212" s="3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</row>
    <row r="213" spans="1:16" s="120" customFormat="1" ht="18.75" x14ac:dyDescent="0.25">
      <c r="A213" s="35"/>
      <c r="B213" s="35"/>
      <c r="D213" s="66"/>
      <c r="E213" s="66"/>
      <c r="F213" s="66"/>
      <c r="G213" s="66"/>
      <c r="H213" s="66"/>
      <c r="I213" s="66"/>
      <c r="J213" s="66"/>
      <c r="K213" s="66"/>
      <c r="L213" s="66"/>
      <c r="M213" s="70"/>
      <c r="N213" s="70"/>
      <c r="O213" s="70"/>
      <c r="P213" s="66"/>
    </row>
    <row r="214" spans="1:16" s="120" customFormat="1" x14ac:dyDescent="0.25"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</row>
    <row r="215" spans="1:16" s="120" customFormat="1" x14ac:dyDescent="0.25"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</row>
    <row r="216" spans="1:16" s="120" customFormat="1" x14ac:dyDescent="0.25"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</row>
    <row r="217" spans="1:16" s="120" customFormat="1" x14ac:dyDescent="0.25"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</row>
    <row r="218" spans="1:16" s="120" customFormat="1" x14ac:dyDescent="0.25"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</row>
    <row r="219" spans="1:16" s="120" customFormat="1" x14ac:dyDescent="0.25"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</row>
    <row r="220" spans="1:16" s="120" customFormat="1" x14ac:dyDescent="0.25"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</row>
    <row r="221" spans="1:16" s="120" customFormat="1" x14ac:dyDescent="0.25"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</row>
    <row r="222" spans="1:16" s="120" customFormat="1" x14ac:dyDescent="0.25"/>
  </sheetData>
  <mergeCells count="39">
    <mergeCell ref="Q98:Q99"/>
    <mergeCell ref="W163:X165"/>
    <mergeCell ref="V87:V88"/>
    <mergeCell ref="S2:U2"/>
    <mergeCell ref="C103:C113"/>
    <mergeCell ref="F103:F107"/>
    <mergeCell ref="F110:F111"/>
    <mergeCell ref="L1:L2"/>
    <mergeCell ref="H1:H2"/>
    <mergeCell ref="J1:J2"/>
    <mergeCell ref="K1:K2"/>
    <mergeCell ref="I1:I2"/>
    <mergeCell ref="AJ4:AN4"/>
    <mergeCell ref="V54:V55"/>
    <mergeCell ref="AE1:AG1"/>
    <mergeCell ref="AH1:AI1"/>
    <mergeCell ref="AJ1:AL1"/>
    <mergeCell ref="AM1:AN1"/>
    <mergeCell ref="Z2:AD2"/>
    <mergeCell ref="AE2:AG2"/>
    <mergeCell ref="AH2:AI2"/>
    <mergeCell ref="AJ2:AL2"/>
    <mergeCell ref="AM2:AN2"/>
    <mergeCell ref="Z4:AB4"/>
    <mergeCell ref="AC4:AD4"/>
    <mergeCell ref="AE4:AI4"/>
    <mergeCell ref="A1:A2"/>
    <mergeCell ref="B1:B2"/>
    <mergeCell ref="D1:D2"/>
    <mergeCell ref="E1:E2"/>
    <mergeCell ref="G1:G2"/>
    <mergeCell ref="C1:C2"/>
    <mergeCell ref="F1:F2"/>
    <mergeCell ref="A5:A19"/>
    <mergeCell ref="A21:A35"/>
    <mergeCell ref="A53:A67"/>
    <mergeCell ref="A69:A83"/>
    <mergeCell ref="A85:A101"/>
    <mergeCell ref="A37:A51"/>
  </mergeCells>
  <pageMargins left="0.45" right="0" top="0.75" bottom="0.75" header="0.3" footer="0.3"/>
  <pageSetup scale="45" orientation="landscape" r:id="rId1"/>
  <rowBreaks count="2" manualBreakCount="2">
    <brk id="67" max="39" man="1"/>
    <brk id="116" max="39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3"/>
  <sheetViews>
    <sheetView tabSelected="1" zoomScaleNormal="100" workbookViewId="0">
      <pane xSplit="2" ySplit="10" topLeftCell="C130" activePane="bottomRight" state="frozen"/>
      <selection pane="topRight" activeCell="C1" sqref="C1"/>
      <selection pane="bottomLeft" activeCell="A11" sqref="A11"/>
      <selection pane="bottomRight" activeCell="J166" sqref="J166"/>
    </sheetView>
  </sheetViews>
  <sheetFormatPr defaultRowHeight="15" x14ac:dyDescent="0.25"/>
  <cols>
    <col min="3" max="3" width="14.28515625" bestFit="1" customWidth="1"/>
    <col min="4" max="4" width="12.5703125" customWidth="1"/>
    <col min="5" max="5" width="11.5703125" bestFit="1" customWidth="1"/>
    <col min="6" max="6" width="15.28515625" bestFit="1" customWidth="1"/>
    <col min="7" max="7" width="11.5703125" bestFit="1" customWidth="1"/>
    <col min="8" max="8" width="13.85546875" bestFit="1" customWidth="1"/>
    <col min="9" max="9" width="12.7109375" bestFit="1" customWidth="1"/>
    <col min="10" max="10" width="14.42578125" bestFit="1" customWidth="1"/>
    <col min="11" max="11" width="11.28515625" customWidth="1"/>
    <col min="12" max="12" width="13.85546875" bestFit="1" customWidth="1"/>
    <col min="13" max="13" width="11.5703125" customWidth="1"/>
    <col min="14" max="14" width="11.28515625" customWidth="1"/>
    <col min="15" max="15" width="10.5703125" customWidth="1"/>
    <col min="16" max="16" width="11.140625" bestFit="1" customWidth="1"/>
    <col min="17" max="17" width="11.7109375" bestFit="1" customWidth="1"/>
    <col min="18" max="19" width="9.5703125" bestFit="1" customWidth="1"/>
    <col min="20" max="20" width="11.28515625" customWidth="1"/>
    <col min="21" max="21" width="10.140625" bestFit="1" customWidth="1"/>
    <col min="22" max="22" width="12.7109375" customWidth="1"/>
    <col min="23" max="23" width="7.85546875" customWidth="1"/>
    <col min="25" max="25" width="13.85546875" customWidth="1"/>
    <col min="27" max="27" width="12.5703125" customWidth="1"/>
    <col min="29" max="29" width="12" customWidth="1"/>
    <col min="30" max="30" width="12" bestFit="1" customWidth="1"/>
  </cols>
  <sheetData>
    <row r="1" spans="1:20" x14ac:dyDescent="0.25">
      <c r="A1" t="s">
        <v>90</v>
      </c>
      <c r="J1" s="283" t="s">
        <v>36</v>
      </c>
      <c r="K1" s="283"/>
      <c r="L1" s="283"/>
      <c r="M1" s="283" t="s">
        <v>35</v>
      </c>
      <c r="N1" s="283"/>
      <c r="O1" s="283" t="s">
        <v>36</v>
      </c>
      <c r="P1" s="283"/>
      <c r="Q1" s="283"/>
      <c r="R1" s="283" t="s">
        <v>35</v>
      </c>
      <c r="S1" s="283"/>
    </row>
    <row r="2" spans="1:20" x14ac:dyDescent="0.25">
      <c r="E2" s="286" t="s">
        <v>37</v>
      </c>
      <c r="F2" s="286"/>
      <c r="G2" s="286"/>
      <c r="H2" s="286"/>
      <c r="I2" s="286"/>
      <c r="J2" s="286" t="s">
        <v>38</v>
      </c>
      <c r="K2" s="286"/>
      <c r="L2" s="287"/>
      <c r="M2" s="286" t="s">
        <v>38</v>
      </c>
      <c r="N2" s="286"/>
      <c r="O2" s="286" t="s">
        <v>38</v>
      </c>
      <c r="P2" s="286"/>
      <c r="Q2" s="287"/>
      <c r="R2" s="286" t="s">
        <v>38</v>
      </c>
      <c r="S2" s="286"/>
    </row>
    <row r="3" spans="1:20" ht="15.75" thickBot="1" x14ac:dyDescent="0.3">
      <c r="B3" s="247" t="s">
        <v>79</v>
      </c>
      <c r="C3" s="247" t="s">
        <v>78</v>
      </c>
      <c r="D3" s="247" t="s">
        <v>57</v>
      </c>
      <c r="E3" s="15" t="s">
        <v>39</v>
      </c>
      <c r="F3" s="15" t="s">
        <v>40</v>
      </c>
      <c r="G3" s="15" t="s">
        <v>41</v>
      </c>
      <c r="H3" s="16" t="s">
        <v>42</v>
      </c>
      <c r="I3" s="16" t="s">
        <v>43</v>
      </c>
      <c r="J3" s="16" t="s">
        <v>39</v>
      </c>
      <c r="K3" s="16" t="s">
        <v>40</v>
      </c>
      <c r="L3" s="16" t="s">
        <v>41</v>
      </c>
      <c r="M3" s="16" t="s">
        <v>42</v>
      </c>
      <c r="N3" s="16" t="s">
        <v>43</v>
      </c>
      <c r="O3" s="15" t="s">
        <v>39</v>
      </c>
      <c r="P3" s="15" t="s">
        <v>40</v>
      </c>
      <c r="Q3" s="15" t="s">
        <v>41</v>
      </c>
      <c r="R3" s="15" t="s">
        <v>42</v>
      </c>
      <c r="S3" s="15" t="s">
        <v>43</v>
      </c>
    </row>
    <row r="4" spans="1:20" ht="15.75" thickBot="1" x14ac:dyDescent="0.3">
      <c r="A4" t="s">
        <v>34</v>
      </c>
      <c r="B4">
        <f>'Billing Data'!Q101</f>
        <v>83</v>
      </c>
      <c r="C4" s="2">
        <f>'Billing Data'!Q105</f>
        <v>4121002</v>
      </c>
      <c r="D4" s="2">
        <f>'Billing Data'!Q103</f>
        <v>42291737</v>
      </c>
      <c r="E4" s="27">
        <f>'Billing Data'!Z85</f>
        <v>175581.19999999998</v>
      </c>
      <c r="F4" s="27">
        <f>'Billing Data'!AA85</f>
        <v>175581.19999999998</v>
      </c>
      <c r="G4" s="27">
        <f>'Billing Data'!AB85</f>
        <v>175581.19999999998</v>
      </c>
      <c r="H4" s="27">
        <f>'Billing Data'!AC85</f>
        <v>82141.599999999991</v>
      </c>
      <c r="I4" s="27">
        <f>'Billing Data'!AD85</f>
        <v>93439.6</v>
      </c>
      <c r="J4" s="27">
        <f>'Billing Data'!AE85</f>
        <v>9243.3499999999985</v>
      </c>
      <c r="K4" s="27">
        <f>'Billing Data'!AF85</f>
        <v>9258.9499999999989</v>
      </c>
      <c r="L4" s="27">
        <f>'Billing Data'!AG85</f>
        <v>91314.250000000015</v>
      </c>
      <c r="M4" s="27">
        <f>'Billing Data'!AH85</f>
        <v>2366.1</v>
      </c>
      <c r="N4" s="27">
        <f>'Billing Data'!AI85</f>
        <v>6877.25</v>
      </c>
      <c r="O4" s="27">
        <f>'Billing Data'!AJ85</f>
        <v>9243.35</v>
      </c>
      <c r="P4" s="27">
        <f>'Billing Data'!AK85</f>
        <v>9258.9499999999989</v>
      </c>
      <c r="Q4" s="27">
        <f>'Billing Data'!AL85</f>
        <v>120716.09999999999</v>
      </c>
      <c r="R4" s="27">
        <f>'Billing Data'!AM85</f>
        <v>2366.1</v>
      </c>
      <c r="S4" s="27">
        <f>'Billing Data'!AN85</f>
        <v>6877.2499999999991</v>
      </c>
    </row>
    <row r="5" spans="1:20" ht="15.75" thickBot="1" x14ac:dyDescent="0.3">
      <c r="C5" s="2"/>
      <c r="D5" s="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20" ht="15.75" thickBot="1" x14ac:dyDescent="0.3">
      <c r="A6" t="s">
        <v>35</v>
      </c>
      <c r="B6">
        <f>'Billing Data'!S101</f>
        <v>123</v>
      </c>
      <c r="C6" s="2">
        <f>'Billing Data'!S105</f>
        <v>13216993.285569999</v>
      </c>
      <c r="D6" s="2">
        <f>'Billing Data'!S103</f>
        <v>128084894</v>
      </c>
      <c r="E6" s="27">
        <f>'Billing Data'!Z87</f>
        <v>455608.05</v>
      </c>
      <c r="F6" s="27">
        <f>'Billing Data'!AA87</f>
        <v>455608.05</v>
      </c>
      <c r="G6" s="27">
        <f>'Billing Data'!AB87</f>
        <v>455608.05</v>
      </c>
      <c r="H6" s="27">
        <f>'Billing Data'!AC87</f>
        <v>212324.40000000002</v>
      </c>
      <c r="I6" s="27">
        <f>'Billing Data'!AD87</f>
        <v>243283.65</v>
      </c>
      <c r="J6" s="27">
        <f>'Billing Data'!AE87</f>
        <v>4421.95</v>
      </c>
      <c r="K6" s="27">
        <f>'Billing Data'!AF87</f>
        <v>4421.9500000000007</v>
      </c>
      <c r="L6" s="27">
        <f>'Billing Data'!AG87</f>
        <v>84171.725000000006</v>
      </c>
      <c r="M6" s="27">
        <f>'Billing Data'!AH87</f>
        <v>1079.6500000000001</v>
      </c>
      <c r="N6" s="27">
        <f>'Billing Data'!AI87</f>
        <v>3342.2999999999997</v>
      </c>
      <c r="O6" s="27">
        <f>'Billing Data'!AJ87</f>
        <v>4421.95</v>
      </c>
      <c r="P6" s="27">
        <f>'Billing Data'!AK87</f>
        <v>4421.95</v>
      </c>
      <c r="Q6" s="27">
        <f>'Billing Data'!AL87</f>
        <v>172578.64999999997</v>
      </c>
      <c r="R6" s="27">
        <f>'Billing Data'!AM87</f>
        <v>1079.6499999999999</v>
      </c>
      <c r="S6" s="27">
        <f>'Billing Data'!AN87</f>
        <v>3342.3</v>
      </c>
    </row>
    <row r="7" spans="1:20" ht="15.75" thickBot="1" x14ac:dyDescent="0.3">
      <c r="C7" s="2"/>
      <c r="D7" s="2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20" ht="15.75" thickBot="1" x14ac:dyDescent="0.3">
      <c r="A8" t="s">
        <v>36</v>
      </c>
      <c r="B8">
        <f>'Billing Data'!T101</f>
        <v>5</v>
      </c>
      <c r="C8" s="2">
        <f>'Billing Data'!T105</f>
        <v>627946.33200000005</v>
      </c>
      <c r="D8" s="2">
        <f>'Billing Data'!T103</f>
        <v>6358039</v>
      </c>
      <c r="E8" s="27">
        <f>'Billing Data'!Z89</f>
        <v>21181.8</v>
      </c>
      <c r="F8" s="27">
        <f>'Billing Data'!AA89</f>
        <v>21550.199999999997</v>
      </c>
      <c r="G8" s="27">
        <f>'Billing Data'!AB89</f>
        <v>21652</v>
      </c>
      <c r="H8" s="27">
        <f>'Billing Data'!AC89</f>
        <v>9281.5</v>
      </c>
      <c r="I8" s="27">
        <f>'Billing Data'!AD89</f>
        <v>11900.3</v>
      </c>
      <c r="J8" s="27">
        <f>'Billing Data'!AE89</f>
        <v>263.44999999999993</v>
      </c>
      <c r="K8" s="27">
        <f>'Billing Data'!AF89</f>
        <v>247.85</v>
      </c>
      <c r="L8" s="27">
        <f>'Billing Data'!AG89</f>
        <v>695.49999999999977</v>
      </c>
      <c r="M8" s="27">
        <f>'Billing Data'!AH89</f>
        <v>30.6</v>
      </c>
      <c r="N8" s="27">
        <f>'Billing Data'!AI89</f>
        <v>232.85</v>
      </c>
      <c r="O8" s="27">
        <f>'Billing Data'!AJ89</f>
        <v>263.4500000000001</v>
      </c>
      <c r="P8" s="27">
        <f>'Billing Data'!AK89</f>
        <v>247.85</v>
      </c>
      <c r="Q8" s="27">
        <f>'Billing Data'!AL89</f>
        <v>4593.1999999999989</v>
      </c>
      <c r="R8" s="27">
        <f>'Billing Data'!AM89</f>
        <v>30.600000000000005</v>
      </c>
      <c r="S8" s="27">
        <f>'Billing Data'!AN89</f>
        <v>232.85000000000005</v>
      </c>
    </row>
    <row r="9" spans="1:20" ht="15.75" thickBot="1" x14ac:dyDescent="0.3">
      <c r="L9" s="230"/>
    </row>
    <row r="10" spans="1:20" ht="15.75" thickBot="1" x14ac:dyDescent="0.3">
      <c r="J10" s="284" t="s">
        <v>87</v>
      </c>
      <c r="K10" s="285"/>
      <c r="L10" s="229"/>
      <c r="M10" s="284" t="s">
        <v>88</v>
      </c>
      <c r="N10" s="285"/>
      <c r="P10" s="284" t="s">
        <v>87</v>
      </c>
      <c r="Q10" s="285"/>
      <c r="R10" s="229"/>
      <c r="S10" s="284" t="s">
        <v>88</v>
      </c>
      <c r="T10" s="285"/>
    </row>
    <row r="13" spans="1:20" ht="15.75" thickBot="1" x14ac:dyDescent="0.3"/>
    <row r="14" spans="1:20" x14ac:dyDescent="0.25">
      <c r="B14" t="s">
        <v>34</v>
      </c>
      <c r="C14" s="8"/>
      <c r="D14" s="248" t="s">
        <v>82</v>
      </c>
      <c r="E14" s="248" t="s">
        <v>80</v>
      </c>
      <c r="F14" s="248" t="s">
        <v>81</v>
      </c>
      <c r="G14" s="288" t="s">
        <v>34</v>
      </c>
      <c r="H14" s="281"/>
      <c r="J14" s="280" t="s">
        <v>35</v>
      </c>
      <c r="K14" s="281"/>
      <c r="M14" s="280" t="s">
        <v>36</v>
      </c>
      <c r="N14" s="281"/>
      <c r="Q14" s="6"/>
    </row>
    <row r="15" spans="1:20" x14ac:dyDescent="0.25">
      <c r="C15" s="7"/>
      <c r="D15" s="6"/>
      <c r="E15" s="6"/>
      <c r="F15" s="6"/>
      <c r="G15" s="6"/>
      <c r="H15" s="11"/>
      <c r="J15" s="7"/>
      <c r="K15" s="11"/>
      <c r="M15" s="7"/>
      <c r="N15" s="11"/>
      <c r="Q15" s="6"/>
    </row>
    <row r="16" spans="1:20" x14ac:dyDescent="0.25">
      <c r="C16" s="7" t="s">
        <v>60</v>
      </c>
      <c r="D16" s="12">
        <f>12*B4</f>
        <v>996</v>
      </c>
      <c r="E16" s="6"/>
      <c r="F16" s="6"/>
      <c r="G16" s="20">
        <v>40</v>
      </c>
      <c r="H16" s="5">
        <f>D16*G16</f>
        <v>39840</v>
      </c>
      <c r="J16" s="25">
        <v>90</v>
      </c>
      <c r="K16" s="5">
        <f>D16*J16</f>
        <v>89640</v>
      </c>
      <c r="L16" s="1"/>
      <c r="M16" s="31">
        <v>200</v>
      </c>
      <c r="N16" s="5">
        <f>G16*M16</f>
        <v>8000</v>
      </c>
      <c r="Q16" s="4"/>
      <c r="S16" s="28"/>
    </row>
    <row r="17" spans="3:19" x14ac:dyDescent="0.25">
      <c r="C17" s="7"/>
      <c r="D17" s="6"/>
      <c r="E17" s="6"/>
      <c r="F17" s="6"/>
      <c r="G17" s="20"/>
      <c r="H17" s="5"/>
      <c r="J17" s="25"/>
      <c r="K17" s="5"/>
      <c r="L17" s="1"/>
      <c r="M17" s="31"/>
      <c r="N17" s="5"/>
      <c r="Q17" s="4"/>
      <c r="S17" s="28"/>
    </row>
    <row r="18" spans="3:19" x14ac:dyDescent="0.25">
      <c r="C18" s="7" t="s">
        <v>61</v>
      </c>
      <c r="D18" s="6"/>
      <c r="E18" s="12"/>
      <c r="F18" s="12">
        <f>D4</f>
        <v>42291737</v>
      </c>
      <c r="G18" s="21">
        <v>9.6500000000000002E-2</v>
      </c>
      <c r="H18" s="5">
        <f>F18*G18</f>
        <v>4081152.6205000002</v>
      </c>
      <c r="J18" s="22">
        <v>4.0710000000000003E-2</v>
      </c>
      <c r="K18" s="5">
        <f>J18*F18</f>
        <v>1721696.6132700001</v>
      </c>
      <c r="L18" s="1"/>
      <c r="M18" s="30">
        <v>4.0489999999999998E-2</v>
      </c>
      <c r="N18" s="5">
        <f>F18*M18</f>
        <v>1712392.4311299999</v>
      </c>
      <c r="Q18" s="4"/>
      <c r="S18" s="28"/>
    </row>
    <row r="19" spans="3:19" x14ac:dyDescent="0.25">
      <c r="C19" s="7"/>
      <c r="D19" s="6"/>
      <c r="E19" s="12"/>
      <c r="F19" s="12"/>
      <c r="G19" s="21"/>
      <c r="H19" s="5"/>
      <c r="J19" s="7"/>
      <c r="K19" s="5"/>
      <c r="L19" s="1"/>
      <c r="M19" s="31"/>
      <c r="N19" s="5"/>
      <c r="Q19" s="4"/>
      <c r="S19" s="28"/>
    </row>
    <row r="20" spans="3:19" x14ac:dyDescent="0.25">
      <c r="C20" s="7" t="s">
        <v>64</v>
      </c>
      <c r="D20" s="6"/>
      <c r="E20" s="12">
        <f>H4</f>
        <v>82141.599999999991</v>
      </c>
      <c r="F20" s="12"/>
      <c r="G20" s="21"/>
      <c r="H20" s="5"/>
      <c r="J20" s="25">
        <v>18.399999999999999</v>
      </c>
      <c r="K20" s="5">
        <f>E20*J20</f>
        <v>1511405.4399999997</v>
      </c>
      <c r="L20" s="1"/>
      <c r="M20" s="31"/>
      <c r="N20" s="5">
        <f>H20*M20</f>
        <v>0</v>
      </c>
      <c r="Q20" s="4"/>
      <c r="S20" s="28"/>
    </row>
    <row r="21" spans="3:19" x14ac:dyDescent="0.25">
      <c r="C21" s="7" t="s">
        <v>65</v>
      </c>
      <c r="D21" s="6"/>
      <c r="E21" s="12">
        <f>M4</f>
        <v>2366.1</v>
      </c>
      <c r="F21" s="12"/>
      <c r="G21" s="21"/>
      <c r="H21" s="5"/>
      <c r="J21" s="25">
        <v>18.399999999999999</v>
      </c>
      <c r="K21" s="5">
        <f>E21*J21</f>
        <v>43536.24</v>
      </c>
      <c r="L21" s="1"/>
      <c r="M21" s="31"/>
      <c r="N21" s="5">
        <f t="shared" ref="N21" si="0">H21*M21</f>
        <v>0</v>
      </c>
      <c r="Q21" s="4"/>
      <c r="S21" s="28"/>
    </row>
    <row r="22" spans="3:19" x14ac:dyDescent="0.25">
      <c r="C22" s="7"/>
      <c r="D22" s="6"/>
      <c r="E22" s="12"/>
      <c r="F22" s="12"/>
      <c r="G22" s="21"/>
      <c r="H22" s="5"/>
      <c r="J22" s="25"/>
      <c r="K22" s="5"/>
      <c r="L22" s="1"/>
      <c r="M22" s="31"/>
      <c r="N22" s="5"/>
      <c r="Q22" s="4"/>
      <c r="S22" s="28"/>
    </row>
    <row r="23" spans="3:19" x14ac:dyDescent="0.25">
      <c r="C23" s="7" t="s">
        <v>66</v>
      </c>
      <c r="D23" s="6"/>
      <c r="E23" s="12">
        <f>I4</f>
        <v>93439.6</v>
      </c>
      <c r="F23" s="12"/>
      <c r="G23" s="21"/>
      <c r="H23" s="5"/>
      <c r="J23" s="25">
        <v>15.99</v>
      </c>
      <c r="K23" s="5">
        <f>E23*J23</f>
        <v>1494099.2040000001</v>
      </c>
      <c r="L23" s="1"/>
      <c r="M23" s="31"/>
      <c r="N23" s="5">
        <f t="shared" ref="N23:N24" si="1">H23*M23</f>
        <v>0</v>
      </c>
      <c r="Q23" s="4"/>
      <c r="S23" s="28"/>
    </row>
    <row r="24" spans="3:19" x14ac:dyDescent="0.25">
      <c r="C24" s="7" t="s">
        <v>65</v>
      </c>
      <c r="D24" s="6"/>
      <c r="E24" s="12">
        <f>N4</f>
        <v>6877.25</v>
      </c>
      <c r="F24" s="12"/>
      <c r="G24" s="21"/>
      <c r="H24" s="5"/>
      <c r="J24" s="25">
        <v>15.99</v>
      </c>
      <c r="K24" s="5">
        <f>E24*J24</f>
        <v>109967.22750000001</v>
      </c>
      <c r="L24" s="1"/>
      <c r="M24" s="31"/>
      <c r="N24" s="5">
        <f t="shared" si="1"/>
        <v>0</v>
      </c>
      <c r="Q24" s="4"/>
      <c r="S24" s="28"/>
    </row>
    <row r="25" spans="3:19" x14ac:dyDescent="0.25">
      <c r="C25" s="7"/>
      <c r="D25" s="6"/>
      <c r="E25" s="12"/>
      <c r="F25" s="12"/>
      <c r="G25" s="21"/>
      <c r="H25" s="5"/>
      <c r="J25" s="22"/>
      <c r="K25" s="5"/>
      <c r="L25" s="1"/>
      <c r="M25" s="31"/>
      <c r="N25" s="5"/>
      <c r="Q25" s="4"/>
      <c r="S25" s="28"/>
    </row>
    <row r="26" spans="3:19" x14ac:dyDescent="0.25">
      <c r="C26" s="7" t="s">
        <v>68</v>
      </c>
      <c r="D26" s="6"/>
      <c r="E26" s="12">
        <f>G4</f>
        <v>175581.19999999998</v>
      </c>
      <c r="F26" s="12"/>
      <c r="G26" s="24"/>
      <c r="H26" s="5">
        <f>$AB26*G26</f>
        <v>0</v>
      </c>
      <c r="J26" s="25"/>
      <c r="K26" s="5"/>
      <c r="L26" s="1"/>
      <c r="M26" s="31">
        <v>4.5999999999999996</v>
      </c>
      <c r="N26" s="5">
        <f>E26*M26</f>
        <v>807673.5199999999</v>
      </c>
      <c r="Q26" s="4"/>
      <c r="S26" s="28"/>
    </row>
    <row r="27" spans="3:19" x14ac:dyDescent="0.25">
      <c r="C27" s="7" t="s">
        <v>69</v>
      </c>
      <c r="D27" s="6"/>
      <c r="E27" s="12">
        <f>L4</f>
        <v>91314.250000000015</v>
      </c>
      <c r="F27" s="12"/>
      <c r="G27" s="24"/>
      <c r="H27" s="5">
        <f>$AB27*G27</f>
        <v>0</v>
      </c>
      <c r="J27" s="25"/>
      <c r="K27" s="5"/>
      <c r="L27" s="1"/>
      <c r="M27" s="31">
        <v>4.5999999999999996</v>
      </c>
      <c r="N27" s="5">
        <f>E27*M27</f>
        <v>420045.55000000005</v>
      </c>
      <c r="Q27" s="4"/>
      <c r="S27" s="28"/>
    </row>
    <row r="28" spans="3:19" x14ac:dyDescent="0.25">
      <c r="C28" s="7" t="s">
        <v>70</v>
      </c>
      <c r="D28" s="6"/>
      <c r="E28" s="12">
        <f>Q4</f>
        <v>120716.09999999999</v>
      </c>
      <c r="F28" s="12"/>
      <c r="G28" s="24"/>
      <c r="H28" s="5"/>
      <c r="J28" s="25"/>
      <c r="K28" s="5"/>
      <c r="L28" s="1"/>
      <c r="M28" s="31"/>
      <c r="N28" s="5"/>
      <c r="Q28" s="4"/>
      <c r="S28" s="28"/>
    </row>
    <row r="29" spans="3:19" x14ac:dyDescent="0.25">
      <c r="C29" s="7"/>
      <c r="D29" s="6"/>
      <c r="E29" s="12"/>
      <c r="F29" s="12"/>
      <c r="G29" s="24"/>
      <c r="H29" s="5"/>
      <c r="J29" s="25"/>
      <c r="K29" s="5"/>
      <c r="L29" s="1"/>
      <c r="M29" s="31"/>
      <c r="N29" s="5"/>
      <c r="Q29" s="4"/>
      <c r="S29" s="28"/>
    </row>
    <row r="30" spans="3:19" x14ac:dyDescent="0.25">
      <c r="C30" s="7" t="s">
        <v>71</v>
      </c>
      <c r="D30" s="6"/>
      <c r="E30" s="12">
        <f>F4</f>
        <v>175581.19999999998</v>
      </c>
      <c r="F30" s="12"/>
      <c r="G30" s="24"/>
      <c r="H30" s="5">
        <f>$AB30*G30</f>
        <v>0</v>
      </c>
      <c r="J30" s="25"/>
      <c r="K30" s="5"/>
      <c r="L30" s="1"/>
      <c r="M30" s="31">
        <v>5.0999999999999996</v>
      </c>
      <c r="N30" s="5">
        <f>E30*M30</f>
        <v>895464.11999999988</v>
      </c>
      <c r="Q30" s="4"/>
      <c r="S30" s="28"/>
    </row>
    <row r="31" spans="3:19" x14ac:dyDescent="0.25">
      <c r="C31" s="7" t="s">
        <v>65</v>
      </c>
      <c r="D31" s="6"/>
      <c r="E31" s="12">
        <f>K4</f>
        <v>9258.9499999999989</v>
      </c>
      <c r="F31" s="12"/>
      <c r="G31" s="24"/>
      <c r="H31" s="5">
        <f>$AB31*G31</f>
        <v>0</v>
      </c>
      <c r="J31" s="25"/>
      <c r="K31" s="5"/>
      <c r="L31" s="1"/>
      <c r="M31" s="31">
        <v>5.0999999999999996</v>
      </c>
      <c r="N31" s="5">
        <f>E31*M31</f>
        <v>47220.64499999999</v>
      </c>
      <c r="Q31" s="4"/>
      <c r="S31" s="28"/>
    </row>
    <row r="32" spans="3:19" x14ac:dyDescent="0.25">
      <c r="C32" s="7"/>
      <c r="D32" s="6"/>
      <c r="E32" s="12"/>
      <c r="F32" s="12"/>
      <c r="G32" s="24"/>
      <c r="H32" s="5"/>
      <c r="J32" s="25"/>
      <c r="K32" s="5"/>
      <c r="L32" s="1"/>
      <c r="M32" s="31"/>
      <c r="N32" s="5"/>
      <c r="Q32" s="4"/>
      <c r="S32" s="28"/>
    </row>
    <row r="33" spans="2:29" x14ac:dyDescent="0.25">
      <c r="C33" s="7" t="s">
        <v>72</v>
      </c>
      <c r="D33" s="6"/>
      <c r="E33" s="12">
        <f>E4</f>
        <v>175581.19999999998</v>
      </c>
      <c r="F33" s="12"/>
      <c r="G33" s="24"/>
      <c r="H33" s="5">
        <f>$AB33*G33</f>
        <v>0</v>
      </c>
      <c r="J33" s="25"/>
      <c r="K33" s="5"/>
      <c r="L33" s="1"/>
      <c r="M33" s="31">
        <v>6.74</v>
      </c>
      <c r="N33" s="5">
        <f>E33*M33</f>
        <v>1183417.2879999999</v>
      </c>
      <c r="Q33" s="4"/>
      <c r="S33" s="28"/>
    </row>
    <row r="34" spans="2:29" x14ac:dyDescent="0.25">
      <c r="C34" s="7" t="s">
        <v>65</v>
      </c>
      <c r="D34" s="6"/>
      <c r="E34" s="12">
        <f>J4</f>
        <v>9243.3499999999985</v>
      </c>
      <c r="F34" s="12"/>
      <c r="G34" s="6"/>
      <c r="H34" s="5">
        <f>$AB34*G34</f>
        <v>0</v>
      </c>
      <c r="J34" s="25"/>
      <c r="K34" s="5"/>
      <c r="L34" s="1"/>
      <c r="M34" s="31">
        <v>6.74</v>
      </c>
      <c r="N34" s="5">
        <f>E34*M34</f>
        <v>62300.178999999989</v>
      </c>
      <c r="Q34" s="4"/>
      <c r="S34" s="28"/>
    </row>
    <row r="35" spans="2:29" x14ac:dyDescent="0.25">
      <c r="C35" s="7"/>
      <c r="D35" s="6"/>
      <c r="E35" s="6"/>
      <c r="F35" s="6"/>
      <c r="G35" s="6"/>
      <c r="H35" s="11"/>
      <c r="J35" s="29"/>
      <c r="K35" s="11"/>
      <c r="L35" s="1"/>
      <c r="M35" s="29"/>
      <c r="N35" s="11"/>
      <c r="Q35" s="4"/>
      <c r="S35" s="28"/>
    </row>
    <row r="36" spans="2:29" ht="15.75" thickBot="1" x14ac:dyDescent="0.3">
      <c r="C36" s="9" t="s">
        <v>67</v>
      </c>
      <c r="D36" s="10"/>
      <c r="E36" s="10"/>
      <c r="F36" s="10"/>
      <c r="G36" s="10"/>
      <c r="H36" s="3">
        <f>SUM(H16:H35)</f>
        <v>4120992.6205000002</v>
      </c>
      <c r="J36" s="26"/>
      <c r="K36" s="3">
        <f>SUM(K16:K35)</f>
        <v>4970344.7247700002</v>
      </c>
      <c r="L36" s="1"/>
      <c r="M36" s="26"/>
      <c r="N36" s="3">
        <f>SUM(N16:N35)</f>
        <v>5136513.7331299996</v>
      </c>
      <c r="Q36" s="4"/>
      <c r="S36" s="28"/>
    </row>
    <row r="37" spans="2:29" x14ac:dyDescent="0.25">
      <c r="C37" s="6"/>
      <c r="D37" s="6"/>
      <c r="E37" s="6"/>
      <c r="F37" s="6"/>
      <c r="G37" s="6"/>
      <c r="H37" s="4"/>
      <c r="J37" s="4"/>
      <c r="K37" s="4"/>
      <c r="L37" s="1"/>
      <c r="M37" s="4"/>
      <c r="N37" s="4"/>
      <c r="Q37" s="4"/>
      <c r="S37" s="28"/>
    </row>
    <row r="38" spans="2:29" x14ac:dyDescent="0.25">
      <c r="C38" s="6"/>
      <c r="D38" s="6"/>
      <c r="E38" s="6"/>
      <c r="F38" s="6"/>
      <c r="G38" s="6"/>
      <c r="H38" s="4"/>
      <c r="J38" s="4"/>
      <c r="K38" s="4"/>
      <c r="L38" s="1"/>
      <c r="M38" s="4"/>
      <c r="N38" s="4"/>
      <c r="Q38" s="4"/>
      <c r="S38" s="28"/>
    </row>
    <row r="39" spans="2:29" ht="15.75" thickBot="1" x14ac:dyDescent="0.3">
      <c r="C39" s="6"/>
      <c r="D39" s="6"/>
      <c r="E39" s="6"/>
      <c r="F39" s="6"/>
      <c r="G39" s="6"/>
      <c r="H39" s="4"/>
      <c r="J39" s="4"/>
      <c r="K39" s="4"/>
      <c r="L39" s="1"/>
      <c r="M39" s="4"/>
      <c r="N39" s="4"/>
      <c r="Q39" s="4"/>
      <c r="S39" s="28"/>
    </row>
    <row r="40" spans="2:29" ht="15.75" thickBot="1" x14ac:dyDescent="0.3">
      <c r="B40" t="s">
        <v>35</v>
      </c>
      <c r="C40" s="8"/>
      <c r="D40" s="248" t="s">
        <v>82</v>
      </c>
      <c r="E40" s="248" t="s">
        <v>80</v>
      </c>
      <c r="F40" s="248" t="s">
        <v>81</v>
      </c>
      <c r="G40" s="288" t="s">
        <v>34</v>
      </c>
      <c r="H40" s="281"/>
      <c r="J40" s="280" t="s">
        <v>35</v>
      </c>
      <c r="K40" s="281"/>
      <c r="M40" s="280" t="s">
        <v>35</v>
      </c>
      <c r="N40" s="281"/>
      <c r="P40" s="280" t="s">
        <v>36</v>
      </c>
      <c r="Q40" s="281"/>
      <c r="S40" s="280" t="s">
        <v>36</v>
      </c>
      <c r="T40" s="281"/>
      <c r="V40" s="8"/>
      <c r="W40" s="232" t="s">
        <v>82</v>
      </c>
      <c r="X40" s="232" t="s">
        <v>80</v>
      </c>
      <c r="Y40" s="232" t="s">
        <v>81</v>
      </c>
      <c r="Z40" s="282" t="s">
        <v>87</v>
      </c>
      <c r="AA40" s="282"/>
      <c r="AB40" s="282" t="s">
        <v>88</v>
      </c>
      <c r="AC40" s="282"/>
    </row>
    <row r="41" spans="2:29" x14ac:dyDescent="0.25">
      <c r="C41" s="7"/>
      <c r="D41" s="6"/>
      <c r="E41" s="6"/>
      <c r="F41" s="6"/>
      <c r="G41" s="6"/>
      <c r="H41" s="11"/>
      <c r="J41" s="7"/>
      <c r="K41" s="11"/>
      <c r="M41" s="7"/>
      <c r="N41" s="11"/>
      <c r="P41" s="7"/>
      <c r="Q41" s="11"/>
      <c r="S41" s="7"/>
      <c r="T41" s="11"/>
      <c r="V41" s="7"/>
      <c r="W41" s="6"/>
      <c r="X41" s="6"/>
      <c r="Y41" s="6"/>
      <c r="Z41" s="6"/>
      <c r="AA41" s="6"/>
      <c r="AB41" s="6"/>
      <c r="AC41" s="11"/>
    </row>
    <row r="42" spans="2:29" x14ac:dyDescent="0.25">
      <c r="C42" s="7" t="s">
        <v>60</v>
      </c>
      <c r="D42" s="12">
        <f>12*$B$6</f>
        <v>1476</v>
      </c>
      <c r="E42" s="6"/>
      <c r="F42" s="6"/>
      <c r="G42" s="20">
        <v>40</v>
      </c>
      <c r="H42" s="5">
        <f>D42*G42</f>
        <v>59040</v>
      </c>
      <c r="J42" s="25">
        <v>90</v>
      </c>
      <c r="K42" s="5">
        <f>$D42*J42</f>
        <v>132840</v>
      </c>
      <c r="L42" s="1"/>
      <c r="M42" s="25">
        <v>90</v>
      </c>
      <c r="N42" s="5">
        <f>$D42*M42</f>
        <v>132840</v>
      </c>
      <c r="P42" s="31">
        <v>200</v>
      </c>
      <c r="Q42" s="5">
        <f>$D42*P42</f>
        <v>295200</v>
      </c>
      <c r="S42" s="31">
        <v>200</v>
      </c>
      <c r="T42" s="5">
        <f>$D42*S42</f>
        <v>295200</v>
      </c>
      <c r="V42" s="7" t="s">
        <v>60</v>
      </c>
      <c r="W42" s="12">
        <f>D42</f>
        <v>1476</v>
      </c>
      <c r="X42" s="6"/>
      <c r="Y42" s="6"/>
      <c r="Z42" s="24">
        <v>90</v>
      </c>
      <c r="AA42" s="4">
        <f>W42*Z42</f>
        <v>132840</v>
      </c>
      <c r="AB42" s="24">
        <v>90</v>
      </c>
      <c r="AC42" s="5">
        <f>W42*AB42</f>
        <v>132840</v>
      </c>
    </row>
    <row r="43" spans="2:29" x14ac:dyDescent="0.25">
      <c r="C43" s="7"/>
      <c r="D43" s="6"/>
      <c r="E43" s="6"/>
      <c r="F43" s="6"/>
      <c r="G43" s="20"/>
      <c r="H43" s="5"/>
      <c r="J43" s="25"/>
      <c r="K43" s="5"/>
      <c r="L43" s="1"/>
      <c r="M43" s="25"/>
      <c r="N43" s="5"/>
      <c r="P43" s="31"/>
      <c r="Q43" s="5"/>
      <c r="S43" s="31"/>
      <c r="T43" s="5"/>
      <c r="V43" s="7"/>
      <c r="W43" s="6"/>
      <c r="X43" s="6"/>
      <c r="Y43" s="6"/>
      <c r="Z43" s="24"/>
      <c r="AA43" s="4"/>
      <c r="AB43" s="24"/>
      <c r="AC43" s="5"/>
    </row>
    <row r="44" spans="2:29" x14ac:dyDescent="0.25">
      <c r="C44" s="7" t="s">
        <v>61</v>
      </c>
      <c r="D44" s="6"/>
      <c r="E44" s="12"/>
      <c r="F44" s="12">
        <f>$D$6</f>
        <v>128084894</v>
      </c>
      <c r="G44" s="21">
        <v>9.6500000000000002E-2</v>
      </c>
      <c r="H44" s="5">
        <f>F44*G44</f>
        <v>12360192.271</v>
      </c>
      <c r="J44" s="22">
        <v>4.0710000000000003E-2</v>
      </c>
      <c r="K44" s="5">
        <f>J44*$F44</f>
        <v>5214336.03474</v>
      </c>
      <c r="L44" s="1"/>
      <c r="M44" s="22">
        <v>4.0710000000000003E-2</v>
      </c>
      <c r="N44" s="5">
        <f>M44*$F44</f>
        <v>5214336.03474</v>
      </c>
      <c r="P44" s="30">
        <f>J44</f>
        <v>4.0710000000000003E-2</v>
      </c>
      <c r="Q44" s="5">
        <f>$F44*P44</f>
        <v>5214336.03474</v>
      </c>
      <c r="S44" s="30">
        <f>M44</f>
        <v>4.0710000000000003E-2</v>
      </c>
      <c r="T44" s="5">
        <f>$F44*S44</f>
        <v>5214336.03474</v>
      </c>
      <c r="V44" s="7" t="s">
        <v>61</v>
      </c>
      <c r="W44" s="6"/>
      <c r="X44" s="12"/>
      <c r="Y44" s="12">
        <f>F44</f>
        <v>128084894</v>
      </c>
      <c r="Z44" s="231">
        <f>J44</f>
        <v>4.0710000000000003E-2</v>
      </c>
      <c r="AA44" s="4">
        <f>Y44*Z44</f>
        <v>5214336.03474</v>
      </c>
      <c r="AB44" s="231">
        <f>S44</f>
        <v>4.0710000000000003E-2</v>
      </c>
      <c r="AC44" s="5">
        <f>Y44*AB44</f>
        <v>5214336.03474</v>
      </c>
    </row>
    <row r="45" spans="2:29" x14ac:dyDescent="0.25">
      <c r="C45" s="7"/>
      <c r="D45" s="6"/>
      <c r="E45" s="12"/>
      <c r="F45" s="12"/>
      <c r="G45" s="21"/>
      <c r="H45" s="5"/>
      <c r="J45" s="7"/>
      <c r="K45" s="5"/>
      <c r="L45" s="1"/>
      <c r="M45" s="7"/>
      <c r="N45" s="5"/>
      <c r="P45" s="31"/>
      <c r="Q45" s="5"/>
      <c r="S45" s="22"/>
      <c r="T45" s="5"/>
      <c r="V45" s="7"/>
      <c r="W45" s="6"/>
      <c r="X45" s="12"/>
      <c r="Y45" s="12"/>
      <c r="Z45" s="6"/>
      <c r="AA45" s="4"/>
      <c r="AB45" s="24"/>
      <c r="AC45" s="5"/>
    </row>
    <row r="46" spans="2:29" x14ac:dyDescent="0.25">
      <c r="C46" s="7" t="s">
        <v>64</v>
      </c>
      <c r="D46" s="6"/>
      <c r="E46" s="12">
        <f>$H$6</f>
        <v>212324.40000000002</v>
      </c>
      <c r="F46" s="12"/>
      <c r="G46" s="21"/>
      <c r="H46" s="5"/>
      <c r="J46" s="25">
        <v>18.399999999999999</v>
      </c>
      <c r="K46" s="5">
        <f>$E46*J46</f>
        <v>3906768.96</v>
      </c>
      <c r="L46" s="1"/>
      <c r="M46" s="25">
        <f>J46-$K$63</f>
        <v>14.487211703584547</v>
      </c>
      <c r="N46" s="5">
        <f>$E46*M46</f>
        <v>3075988.532636567</v>
      </c>
      <c r="P46" s="31"/>
      <c r="Q46" s="5"/>
      <c r="S46" s="25"/>
      <c r="T46" s="5">
        <f>K46*S46</f>
        <v>0</v>
      </c>
      <c r="V46" s="7" t="s">
        <v>64</v>
      </c>
      <c r="W46" s="6"/>
      <c r="X46" s="12">
        <f>E46</f>
        <v>212324.40000000002</v>
      </c>
      <c r="Y46" s="12"/>
      <c r="Z46" s="24">
        <f>J46</f>
        <v>18.399999999999999</v>
      </c>
      <c r="AA46" s="4">
        <f>X46*Z46</f>
        <v>3906768.96</v>
      </c>
      <c r="AB46" s="24">
        <f>M46</f>
        <v>14.487211703584547</v>
      </c>
      <c r="AC46" s="5">
        <f>X46*AB46</f>
        <v>3075988.532636567</v>
      </c>
    </row>
    <row r="47" spans="2:29" x14ac:dyDescent="0.25">
      <c r="C47" s="7" t="s">
        <v>65</v>
      </c>
      <c r="D47" s="6"/>
      <c r="E47" s="12">
        <f>$M$6</f>
        <v>1079.6500000000001</v>
      </c>
      <c r="F47" s="12"/>
      <c r="G47" s="21"/>
      <c r="H47" s="5"/>
      <c r="J47" s="25">
        <v>18.399999999999999</v>
      </c>
      <c r="K47" s="5">
        <f>$E47*J47</f>
        <v>19865.560000000001</v>
      </c>
      <c r="L47" s="1"/>
      <c r="M47" s="25">
        <f t="shared" ref="M47:M50" si="2">J47-$K$63</f>
        <v>14.487211703584547</v>
      </c>
      <c r="N47" s="5">
        <f>$E47*M47</f>
        <v>15641.118115775058</v>
      </c>
      <c r="P47" s="31"/>
      <c r="Q47" s="5"/>
      <c r="S47" s="25"/>
      <c r="T47" s="5">
        <f>K47*S47</f>
        <v>0</v>
      </c>
      <c r="V47" s="7" t="s">
        <v>65</v>
      </c>
      <c r="W47" s="6"/>
      <c r="X47" s="12">
        <f t="shared" ref="X47:X59" si="3">E47</f>
        <v>1079.6500000000001</v>
      </c>
      <c r="Y47" s="12"/>
      <c r="Z47" s="24">
        <f t="shared" ref="Z47:Z50" si="4">J47</f>
        <v>18.399999999999999</v>
      </c>
      <c r="AA47" s="4">
        <f t="shared" ref="AA47:AA50" si="5">X47*Z47</f>
        <v>19865.560000000001</v>
      </c>
      <c r="AB47" s="24">
        <f t="shared" ref="AB47:AB50" si="6">M47</f>
        <v>14.487211703584547</v>
      </c>
      <c r="AC47" s="5">
        <f t="shared" ref="AC47:AC50" si="7">X47*AB47</f>
        <v>15641.118115775058</v>
      </c>
    </row>
    <row r="48" spans="2:29" x14ac:dyDescent="0.25">
      <c r="C48" s="7"/>
      <c r="D48" s="6"/>
      <c r="E48" s="12"/>
      <c r="F48" s="12"/>
      <c r="G48" s="21"/>
      <c r="H48" s="5"/>
      <c r="J48" s="25"/>
      <c r="K48" s="5"/>
      <c r="L48" s="1"/>
      <c r="M48" s="25"/>
      <c r="N48" s="5"/>
      <c r="P48" s="31"/>
      <c r="Q48" s="5"/>
      <c r="S48" s="25"/>
      <c r="T48" s="5"/>
      <c r="V48" s="7"/>
      <c r="W48" s="6"/>
      <c r="X48" s="12"/>
      <c r="Y48" s="12"/>
      <c r="Z48" s="24"/>
      <c r="AA48" s="4"/>
      <c r="AB48" s="24"/>
      <c r="AC48" s="5"/>
    </row>
    <row r="49" spans="2:30" x14ac:dyDescent="0.25">
      <c r="C49" s="7" t="s">
        <v>66</v>
      </c>
      <c r="D49" s="6"/>
      <c r="E49" s="12">
        <f>$I$6</f>
        <v>243283.65</v>
      </c>
      <c r="F49" s="12"/>
      <c r="G49" s="21"/>
      <c r="H49" s="5"/>
      <c r="J49" s="25">
        <v>15.99</v>
      </c>
      <c r="K49" s="5">
        <f>$E49*J49</f>
        <v>3890105.5635000002</v>
      </c>
      <c r="L49" s="1"/>
      <c r="M49" s="25">
        <f t="shared" si="2"/>
        <v>12.077211703584549</v>
      </c>
      <c r="N49" s="5">
        <f>$E49*M49</f>
        <v>2938188.145070767</v>
      </c>
      <c r="P49" s="31"/>
      <c r="Q49" s="5"/>
      <c r="S49" s="25"/>
      <c r="T49" s="5">
        <f>K49*S49</f>
        <v>0</v>
      </c>
      <c r="V49" s="7" t="s">
        <v>66</v>
      </c>
      <c r="W49" s="6"/>
      <c r="X49" s="12">
        <f t="shared" si="3"/>
        <v>243283.65</v>
      </c>
      <c r="Y49" s="12"/>
      <c r="Z49" s="24">
        <f t="shared" si="4"/>
        <v>15.99</v>
      </c>
      <c r="AA49" s="4">
        <f t="shared" si="5"/>
        <v>3890105.5635000002</v>
      </c>
      <c r="AB49" s="24">
        <f t="shared" si="6"/>
        <v>12.077211703584549</v>
      </c>
      <c r="AC49" s="5">
        <f t="shared" si="7"/>
        <v>2938188.145070767</v>
      </c>
    </row>
    <row r="50" spans="2:30" x14ac:dyDescent="0.25">
      <c r="B50" t="s">
        <v>35</v>
      </c>
      <c r="C50" s="7" t="s">
        <v>65</v>
      </c>
      <c r="D50" s="6"/>
      <c r="E50" s="12">
        <f>$N$6</f>
        <v>3342.2999999999997</v>
      </c>
      <c r="F50" s="12"/>
      <c r="G50" s="21"/>
      <c r="H50" s="5"/>
      <c r="J50" s="25">
        <v>15.99</v>
      </c>
      <c r="K50" s="5">
        <f>$E50*J50</f>
        <v>53443.376999999993</v>
      </c>
      <c r="L50" s="1"/>
      <c r="M50" s="25">
        <f t="shared" si="2"/>
        <v>12.077211703584549</v>
      </c>
      <c r="N50" s="5">
        <f>$E50*M50</f>
        <v>40365.664676890636</v>
      </c>
      <c r="P50" s="31"/>
      <c r="Q50" s="5"/>
      <c r="S50" s="25"/>
      <c r="T50" s="5">
        <f>K50*S50</f>
        <v>0</v>
      </c>
      <c r="V50" s="7" t="s">
        <v>65</v>
      </c>
      <c r="W50" s="6"/>
      <c r="X50" s="12">
        <f t="shared" si="3"/>
        <v>3342.2999999999997</v>
      </c>
      <c r="Y50" s="12"/>
      <c r="Z50" s="24">
        <f t="shared" si="4"/>
        <v>15.99</v>
      </c>
      <c r="AA50" s="4">
        <f t="shared" si="5"/>
        <v>53443.376999999993</v>
      </c>
      <c r="AB50" s="24">
        <f t="shared" si="6"/>
        <v>12.077211703584549</v>
      </c>
      <c r="AC50" s="5">
        <f t="shared" si="7"/>
        <v>40365.664676890636</v>
      </c>
    </row>
    <row r="51" spans="2:30" x14ac:dyDescent="0.25">
      <c r="C51" s="7"/>
      <c r="D51" s="6"/>
      <c r="E51" s="12"/>
      <c r="F51" s="12"/>
      <c r="G51" s="21"/>
      <c r="H51" s="5"/>
      <c r="J51" s="22"/>
      <c r="K51" s="5"/>
      <c r="L51" s="1"/>
      <c r="M51" s="22"/>
      <c r="N51" s="5"/>
      <c r="P51" s="31"/>
      <c r="Q51" s="5"/>
      <c r="S51" s="22"/>
      <c r="T51" s="5"/>
      <c r="V51" s="7"/>
      <c r="W51" s="6"/>
      <c r="X51" s="12"/>
      <c r="Y51" s="12"/>
      <c r="Z51" s="6"/>
      <c r="AA51" s="6"/>
      <c r="AB51" s="231"/>
      <c r="AC51" s="5"/>
    </row>
    <row r="52" spans="2:30" x14ac:dyDescent="0.25">
      <c r="C52" s="7" t="s">
        <v>68</v>
      </c>
      <c r="D52" s="6"/>
      <c r="E52" s="12">
        <f>$G$6</f>
        <v>455608.05</v>
      </c>
      <c r="F52" s="12"/>
      <c r="G52" s="24"/>
      <c r="H52" s="5">
        <f>$AB52*G52</f>
        <v>0</v>
      </c>
      <c r="J52" s="25"/>
      <c r="K52" s="5"/>
      <c r="L52" s="1"/>
      <c r="M52" s="25"/>
      <c r="N52" s="5"/>
      <c r="P52" s="31">
        <v>4.5999999999999996</v>
      </c>
      <c r="Q52" s="5">
        <f>$E52*P52</f>
        <v>2095797.0299999998</v>
      </c>
      <c r="S52" s="31">
        <f>P52-$Q$116</f>
        <v>3.4200052958817873</v>
      </c>
      <c r="T52" s="5">
        <f>$E52*S52</f>
        <v>1558181.9438463741</v>
      </c>
      <c r="V52" s="7" t="s">
        <v>68</v>
      </c>
      <c r="W52" s="6"/>
      <c r="X52" s="12">
        <f t="shared" si="3"/>
        <v>455608.05</v>
      </c>
      <c r="Y52" s="12"/>
      <c r="Z52" s="6"/>
      <c r="AA52" s="6"/>
      <c r="AB52" s="24"/>
      <c r="AC52" s="5"/>
    </row>
    <row r="53" spans="2:30" x14ac:dyDescent="0.25">
      <c r="C53" s="7" t="s">
        <v>69</v>
      </c>
      <c r="D53" s="6"/>
      <c r="E53" s="12">
        <f>$L$6</f>
        <v>84171.725000000006</v>
      </c>
      <c r="F53" s="12"/>
      <c r="G53" s="24"/>
      <c r="H53" s="5">
        <f>$AB53*G53</f>
        <v>0</v>
      </c>
      <c r="J53" s="25"/>
      <c r="K53" s="5"/>
      <c r="L53" s="1"/>
      <c r="M53" s="25"/>
      <c r="N53" s="5"/>
      <c r="P53" s="31">
        <v>4.5999999999999996</v>
      </c>
      <c r="Q53" s="5">
        <f>$E53*P53</f>
        <v>387189.935</v>
      </c>
      <c r="S53" s="31">
        <f>P53-$Q$116</f>
        <v>3.4200052958817873</v>
      </c>
      <c r="T53" s="5">
        <f>$E53*S53</f>
        <v>287867.74526350544</v>
      </c>
      <c r="V53" s="7" t="s">
        <v>69</v>
      </c>
      <c r="W53" s="6"/>
      <c r="X53" s="12">
        <f t="shared" si="3"/>
        <v>84171.725000000006</v>
      </c>
      <c r="Y53" s="12"/>
      <c r="Z53" s="6"/>
      <c r="AA53" s="6"/>
      <c r="AB53" s="24"/>
      <c r="AC53" s="5"/>
    </row>
    <row r="54" spans="2:30" x14ac:dyDescent="0.25">
      <c r="C54" s="7" t="s">
        <v>70</v>
      </c>
      <c r="D54" s="6"/>
      <c r="E54" s="12">
        <f>$Q$6</f>
        <v>172578.64999999997</v>
      </c>
      <c r="F54" s="12"/>
      <c r="G54" s="24"/>
      <c r="H54" s="5"/>
      <c r="J54" s="25"/>
      <c r="K54" s="5"/>
      <c r="L54" s="1"/>
      <c r="M54" s="25"/>
      <c r="N54" s="5"/>
      <c r="P54" s="31"/>
      <c r="Q54" s="5"/>
      <c r="S54" s="31"/>
      <c r="T54" s="5"/>
      <c r="V54" s="7" t="s">
        <v>70</v>
      </c>
      <c r="W54" s="6"/>
      <c r="X54" s="12"/>
      <c r="Y54" s="12"/>
      <c r="Z54" s="6"/>
      <c r="AA54" s="6"/>
      <c r="AB54" s="24"/>
      <c r="AC54" s="5"/>
    </row>
    <row r="55" spans="2:30" x14ac:dyDescent="0.25">
      <c r="C55" s="7"/>
      <c r="D55" s="6"/>
      <c r="E55" s="12"/>
      <c r="F55" s="12"/>
      <c r="G55" s="24"/>
      <c r="H55" s="5"/>
      <c r="J55" s="25"/>
      <c r="K55" s="5"/>
      <c r="L55" s="1"/>
      <c r="M55" s="25"/>
      <c r="N55" s="5"/>
      <c r="P55" s="31"/>
      <c r="Q55" s="5"/>
      <c r="S55" s="31"/>
      <c r="T55" s="5"/>
      <c r="V55" s="7"/>
      <c r="W55" s="6"/>
      <c r="X55" s="12"/>
      <c r="Y55" s="12"/>
      <c r="Z55" s="6"/>
      <c r="AA55" s="6"/>
      <c r="AB55" s="24"/>
      <c r="AC55" s="5"/>
    </row>
    <row r="56" spans="2:30" x14ac:dyDescent="0.25">
      <c r="C56" s="7" t="s">
        <v>71</v>
      </c>
      <c r="D56" s="6"/>
      <c r="E56" s="12">
        <f>$F$6</f>
        <v>455608.05</v>
      </c>
      <c r="F56" s="12"/>
      <c r="G56" s="24"/>
      <c r="H56" s="5">
        <f>$AB56*G56</f>
        <v>0</v>
      </c>
      <c r="J56" s="25"/>
      <c r="K56" s="5"/>
      <c r="L56" s="1"/>
      <c r="M56" s="25"/>
      <c r="N56" s="5"/>
      <c r="P56" s="31">
        <v>5.0999999999999996</v>
      </c>
      <c r="Q56" s="5">
        <f>$E56*P56</f>
        <v>2323601.0549999997</v>
      </c>
      <c r="S56" s="31">
        <f>P56-$Q$116</f>
        <v>3.9200052958817873</v>
      </c>
      <c r="T56" s="5">
        <f>$E56*S56</f>
        <v>1785985.9688463742</v>
      </c>
      <c r="V56" s="7" t="s">
        <v>71</v>
      </c>
      <c r="W56" s="6"/>
      <c r="X56" s="12">
        <f t="shared" si="3"/>
        <v>455608.05</v>
      </c>
      <c r="Y56" s="12"/>
      <c r="Z56" s="6"/>
      <c r="AA56" s="6"/>
      <c r="AB56" s="24"/>
      <c r="AC56" s="5"/>
    </row>
    <row r="57" spans="2:30" x14ac:dyDescent="0.25">
      <c r="C57" s="7" t="s">
        <v>65</v>
      </c>
      <c r="D57" s="6"/>
      <c r="E57" s="12">
        <f>$K$6</f>
        <v>4421.9500000000007</v>
      </c>
      <c r="F57" s="12"/>
      <c r="G57" s="24"/>
      <c r="H57" s="5">
        <f>$AB57*G57</f>
        <v>0</v>
      </c>
      <c r="J57" s="25"/>
      <c r="K57" s="5"/>
      <c r="L57" s="1"/>
      <c r="M57" s="25"/>
      <c r="N57" s="5"/>
      <c r="P57" s="31">
        <v>5.0999999999999996</v>
      </c>
      <c r="Q57" s="5">
        <f>$E57*P57</f>
        <v>22551.945000000003</v>
      </c>
      <c r="S57" s="31">
        <f>P57-$Q$116</f>
        <v>3.9200052958817873</v>
      </c>
      <c r="T57" s="5">
        <f>$E57*S57</f>
        <v>17334.067418124472</v>
      </c>
      <c r="V57" s="7" t="s">
        <v>65</v>
      </c>
      <c r="W57" s="6"/>
      <c r="X57" s="12">
        <f t="shared" si="3"/>
        <v>4421.9500000000007</v>
      </c>
      <c r="Y57" s="12"/>
      <c r="Z57" s="6"/>
      <c r="AA57" s="6"/>
      <c r="AB57" s="24"/>
      <c r="AC57" s="5"/>
    </row>
    <row r="58" spans="2:30" x14ac:dyDescent="0.25">
      <c r="C58" s="7"/>
      <c r="D58" s="6"/>
      <c r="E58" s="12"/>
      <c r="F58" s="12"/>
      <c r="G58" s="24"/>
      <c r="H58" s="5"/>
      <c r="J58" s="25"/>
      <c r="K58" s="5"/>
      <c r="L58" s="1"/>
      <c r="M58" s="25"/>
      <c r="N58" s="5"/>
      <c r="P58" s="31"/>
      <c r="Q58" s="5"/>
      <c r="S58" s="7"/>
      <c r="T58" s="5"/>
      <c r="V58" s="7"/>
      <c r="W58" s="6"/>
      <c r="X58" s="12"/>
      <c r="Y58" s="12"/>
      <c r="Z58" s="6"/>
      <c r="AA58" s="6"/>
      <c r="AB58" s="24"/>
      <c r="AC58" s="5"/>
    </row>
    <row r="59" spans="2:30" x14ac:dyDescent="0.25">
      <c r="C59" s="7" t="s">
        <v>72</v>
      </c>
      <c r="D59" s="6"/>
      <c r="E59" s="12">
        <f>$E$6</f>
        <v>455608.05</v>
      </c>
      <c r="F59" s="12"/>
      <c r="G59" s="24"/>
      <c r="H59" s="5">
        <f>$AB59*G59</f>
        <v>0</v>
      </c>
      <c r="J59" s="25"/>
      <c r="K59" s="5"/>
      <c r="L59" s="1"/>
      <c r="M59" s="25"/>
      <c r="N59" s="5"/>
      <c r="P59" s="31">
        <v>6.74</v>
      </c>
      <c r="Q59" s="5">
        <f>$E59*P59</f>
        <v>3070798.2570000002</v>
      </c>
      <c r="S59" s="31">
        <f>P59-$Q$116</f>
        <v>5.5600052958817878</v>
      </c>
      <c r="T59" s="5">
        <f>$E59*S59</f>
        <v>2533183.1708463742</v>
      </c>
      <c r="V59" s="7" t="s">
        <v>72</v>
      </c>
      <c r="W59" s="6"/>
      <c r="X59" s="12">
        <f t="shared" si="3"/>
        <v>455608.05</v>
      </c>
      <c r="Y59" s="12"/>
      <c r="Z59" s="6"/>
      <c r="AA59" s="6"/>
      <c r="AB59" s="24"/>
      <c r="AC59" s="5"/>
    </row>
    <row r="60" spans="2:30" x14ac:dyDescent="0.25">
      <c r="C60" s="7" t="s">
        <v>65</v>
      </c>
      <c r="D60" s="6"/>
      <c r="E60" s="12">
        <f>$J$6</f>
        <v>4421.95</v>
      </c>
      <c r="F60" s="12"/>
      <c r="G60" s="6"/>
      <c r="H60" s="5">
        <f>$AB60*G60</f>
        <v>0</v>
      </c>
      <c r="J60" s="25"/>
      <c r="K60" s="5"/>
      <c r="L60" s="1"/>
      <c r="M60" s="25"/>
      <c r="N60" s="5"/>
      <c r="P60" s="31">
        <v>6.74</v>
      </c>
      <c r="Q60" s="5">
        <f>$E60*P60</f>
        <v>29803.942999999999</v>
      </c>
      <c r="S60" s="31">
        <f>P60-$Q$116</f>
        <v>5.5600052958817878</v>
      </c>
      <c r="T60" s="5">
        <f>$E60*S60</f>
        <v>24586.065418124472</v>
      </c>
      <c r="V60" s="7" t="s">
        <v>65</v>
      </c>
      <c r="W60" s="6"/>
      <c r="X60" s="12">
        <v>4334.45</v>
      </c>
      <c r="Y60" s="12"/>
      <c r="Z60" s="6"/>
      <c r="AA60" s="6"/>
      <c r="AB60" s="24"/>
      <c r="AC60" s="5"/>
    </row>
    <row r="61" spans="2:30" x14ac:dyDescent="0.25">
      <c r="C61" s="7"/>
      <c r="D61" s="6"/>
      <c r="E61" s="6"/>
      <c r="F61" s="6"/>
      <c r="G61" s="6"/>
      <c r="H61" s="11"/>
      <c r="J61" s="29"/>
      <c r="K61" s="11"/>
      <c r="L61" s="1"/>
      <c r="M61" s="29"/>
      <c r="N61" s="11"/>
      <c r="P61" s="31"/>
      <c r="Q61" s="11"/>
      <c r="S61" s="31"/>
      <c r="T61" s="11"/>
      <c r="V61" s="7"/>
      <c r="W61" s="6"/>
      <c r="X61" s="6"/>
      <c r="Y61" s="6"/>
      <c r="Z61" s="6"/>
      <c r="AA61" s="6"/>
      <c r="AB61" s="4"/>
      <c r="AC61" s="11"/>
    </row>
    <row r="62" spans="2:30" ht="15.75" thickBot="1" x14ac:dyDescent="0.3">
      <c r="C62" s="9" t="s">
        <v>67</v>
      </c>
      <c r="D62" s="10"/>
      <c r="E62" s="10"/>
      <c r="F62" s="10"/>
      <c r="G62" s="10"/>
      <c r="H62" s="3">
        <f>SUM(H42:H61)</f>
        <v>12419232.271</v>
      </c>
      <c r="J62" s="26"/>
      <c r="K62" s="3">
        <f>SUM(K42:K61)</f>
        <v>13217359.495240001</v>
      </c>
      <c r="L62" s="1"/>
      <c r="M62" s="26"/>
      <c r="N62" s="3">
        <f>SUM(N42:N61)</f>
        <v>11417359.495239999</v>
      </c>
      <c r="O62" s="1">
        <f>K62-N62</f>
        <v>1800000.0000000019</v>
      </c>
      <c r="P62" s="26"/>
      <c r="Q62" s="3">
        <f>SUM(Q42:Q61)</f>
        <v>13439278.19974</v>
      </c>
      <c r="S62" s="26"/>
      <c r="T62" s="3">
        <f>SUM(T42:T61)</f>
        <v>11716674.996378878</v>
      </c>
      <c r="U62" s="1">
        <f>Q62-T62</f>
        <v>1722603.2033611219</v>
      </c>
      <c r="V62" s="9" t="s">
        <v>67</v>
      </c>
      <c r="W62" s="10"/>
      <c r="X62" s="10"/>
      <c r="Y62" s="10"/>
      <c r="Z62" s="10"/>
      <c r="AA62" s="233">
        <f>SUM(AA42:AA61)</f>
        <v>13217359.495240001</v>
      </c>
      <c r="AB62" s="233"/>
      <c r="AC62" s="3">
        <f>SUM(AC42:AC61)</f>
        <v>11417359.495239999</v>
      </c>
      <c r="AD62" s="1">
        <f>AA62-AC62</f>
        <v>1800000.0000000019</v>
      </c>
    </row>
    <row r="63" spans="2:30" x14ac:dyDescent="0.25">
      <c r="C63" s="6"/>
      <c r="D63" s="6"/>
      <c r="E63" s="6"/>
      <c r="F63" s="6"/>
      <c r="G63" s="6"/>
      <c r="H63" s="4"/>
      <c r="J63" s="4">
        <v>1800000</v>
      </c>
      <c r="K63" s="37">
        <f>J89/SUM(E46:E50)</f>
        <v>3.9127882964154512</v>
      </c>
      <c r="L63" s="1"/>
      <c r="Q63" s="4"/>
      <c r="S63" s="28"/>
    </row>
    <row r="64" spans="2:30" x14ac:dyDescent="0.25">
      <c r="C64" s="6"/>
      <c r="D64" s="6"/>
      <c r="E64" s="6"/>
      <c r="F64" s="6"/>
      <c r="G64" s="6"/>
      <c r="H64" s="4"/>
      <c r="J64" s="4"/>
      <c r="K64" s="4"/>
      <c r="L64" s="1"/>
      <c r="Q64" s="4"/>
      <c r="S64" s="28"/>
    </row>
    <row r="65" spans="2:29" ht="15.75" thickBot="1" x14ac:dyDescent="0.3">
      <c r="C65" s="6"/>
      <c r="D65" s="6"/>
      <c r="E65" s="6"/>
      <c r="F65" s="6"/>
      <c r="G65" s="6"/>
      <c r="H65" s="4"/>
      <c r="J65" s="4"/>
      <c r="K65" s="4"/>
      <c r="L65" s="1"/>
      <c r="Q65" s="4"/>
      <c r="S65" s="28"/>
    </row>
    <row r="66" spans="2:29" ht="15.75" thickBot="1" x14ac:dyDescent="0.3">
      <c r="C66" s="8"/>
      <c r="D66" s="248" t="s">
        <v>82</v>
      </c>
      <c r="E66" s="248" t="s">
        <v>80</v>
      </c>
      <c r="F66" s="248" t="s">
        <v>81</v>
      </c>
      <c r="G66" s="288" t="s">
        <v>34</v>
      </c>
      <c r="H66" s="281"/>
      <c r="J66" s="280" t="s">
        <v>35</v>
      </c>
      <c r="K66" s="281"/>
      <c r="M66" s="280" t="s">
        <v>35</v>
      </c>
      <c r="N66" s="281"/>
      <c r="P66" s="280" t="s">
        <v>36</v>
      </c>
      <c r="Q66" s="281"/>
      <c r="S66" s="280" t="s">
        <v>36</v>
      </c>
      <c r="T66" s="281"/>
      <c r="V66" s="8"/>
      <c r="W66" s="232" t="s">
        <v>82</v>
      </c>
      <c r="X66" s="232" t="s">
        <v>80</v>
      </c>
      <c r="Y66" s="232" t="s">
        <v>81</v>
      </c>
      <c r="Z66" s="282" t="s">
        <v>87</v>
      </c>
      <c r="AA66" s="282"/>
      <c r="AB66" s="282" t="s">
        <v>88</v>
      </c>
      <c r="AC66" s="282"/>
    </row>
    <row r="67" spans="2:29" x14ac:dyDescent="0.25">
      <c r="C67" s="7"/>
      <c r="D67" s="6"/>
      <c r="E67" s="6"/>
      <c r="F67" s="6"/>
      <c r="G67" s="6"/>
      <c r="H67" s="11"/>
      <c r="J67" s="7"/>
      <c r="K67" s="11"/>
      <c r="M67" s="7"/>
      <c r="N67" s="11"/>
      <c r="P67" s="7"/>
      <c r="Q67" s="11"/>
      <c r="S67" s="7"/>
      <c r="T67" s="11"/>
      <c r="V67" s="7"/>
      <c r="W67" s="6"/>
      <c r="X67" s="6"/>
      <c r="Y67" s="6"/>
      <c r="Z67" s="6"/>
      <c r="AA67" s="6"/>
      <c r="AB67" s="6"/>
      <c r="AC67" s="11"/>
    </row>
    <row r="68" spans="2:29" x14ac:dyDescent="0.25">
      <c r="C68" s="7" t="s">
        <v>60</v>
      </c>
      <c r="D68" s="12">
        <f>12*B8</f>
        <v>60</v>
      </c>
      <c r="E68" s="6"/>
      <c r="F68" s="6"/>
      <c r="G68" s="20">
        <v>40</v>
      </c>
      <c r="H68" s="5">
        <f>D68*G68</f>
        <v>2400</v>
      </c>
      <c r="J68" s="25">
        <v>90</v>
      </c>
      <c r="K68" s="5">
        <f>$D68*J68</f>
        <v>5400</v>
      </c>
      <c r="L68" s="1"/>
      <c r="M68" s="25">
        <v>90</v>
      </c>
      <c r="N68" s="5">
        <f>$D68*M68</f>
        <v>5400</v>
      </c>
      <c r="P68" s="31">
        <v>200</v>
      </c>
      <c r="Q68" s="5">
        <f>$D68*P68</f>
        <v>12000</v>
      </c>
      <c r="S68" s="31">
        <v>200</v>
      </c>
      <c r="T68" s="5">
        <f>$D68*S68</f>
        <v>12000</v>
      </c>
      <c r="V68" s="7" t="s">
        <v>60</v>
      </c>
      <c r="W68" s="12">
        <f>D68</f>
        <v>60</v>
      </c>
      <c r="X68" s="6"/>
      <c r="Y68" s="6"/>
      <c r="Z68" s="24">
        <v>200</v>
      </c>
      <c r="AA68" s="4">
        <f>W68*Z68</f>
        <v>12000</v>
      </c>
      <c r="AB68" s="20">
        <v>200</v>
      </c>
      <c r="AC68" s="5">
        <f>W68*AB68</f>
        <v>12000</v>
      </c>
    </row>
    <row r="69" spans="2:29" x14ac:dyDescent="0.25">
      <c r="C69" s="7"/>
      <c r="D69" s="6"/>
      <c r="E69" s="6"/>
      <c r="F69" s="6"/>
      <c r="G69" s="20"/>
      <c r="H69" s="5"/>
      <c r="J69" s="25"/>
      <c r="K69" s="5"/>
      <c r="L69" s="1"/>
      <c r="M69" s="25"/>
      <c r="N69" s="5"/>
      <c r="P69" s="31"/>
      <c r="Q69" s="5"/>
      <c r="S69" s="31"/>
      <c r="T69" s="5"/>
      <c r="V69" s="7"/>
      <c r="W69" s="6"/>
      <c r="X69" s="6"/>
      <c r="Y69" s="6"/>
      <c r="Z69" s="6"/>
      <c r="AA69" s="4"/>
      <c r="AB69" s="20"/>
      <c r="AC69" s="5"/>
    </row>
    <row r="70" spans="2:29" x14ac:dyDescent="0.25">
      <c r="C70" s="7" t="s">
        <v>61</v>
      </c>
      <c r="D70" s="6"/>
      <c r="E70" s="12"/>
      <c r="F70" s="12">
        <f>D8</f>
        <v>6358039</v>
      </c>
      <c r="G70" s="21">
        <v>9.6500000000000002E-2</v>
      </c>
      <c r="H70" s="5">
        <f>F70*G70</f>
        <v>613550.7635</v>
      </c>
      <c r="J70" s="22">
        <v>4.0710000000000003E-2</v>
      </c>
      <c r="K70" s="5">
        <f>J70*$F70</f>
        <v>258835.76769000001</v>
      </c>
      <c r="L70" s="1"/>
      <c r="M70" s="22">
        <v>4.0710000000000003E-2</v>
      </c>
      <c r="N70" s="5">
        <f>M70*$F70</f>
        <v>258835.76769000001</v>
      </c>
      <c r="P70" s="30">
        <v>4.0489999999999998E-2</v>
      </c>
      <c r="Q70" s="5">
        <f>$F70*P70</f>
        <v>257436.99910999998</v>
      </c>
      <c r="S70" s="30">
        <v>4.0489999999999998E-2</v>
      </c>
      <c r="T70" s="5">
        <f>$F70*S70</f>
        <v>257436.99910999998</v>
      </c>
      <c r="V70" s="7" t="s">
        <v>61</v>
      </c>
      <c r="W70" s="6"/>
      <c r="X70" s="12"/>
      <c r="Y70" s="12">
        <f>F70</f>
        <v>6358039</v>
      </c>
      <c r="Z70" s="231">
        <v>4.0489999999999998E-2</v>
      </c>
      <c r="AA70" s="4">
        <f>Y70*Z70</f>
        <v>257436.99910999998</v>
      </c>
      <c r="AB70" s="21">
        <v>4.0489999999999998E-2</v>
      </c>
      <c r="AC70" s="5">
        <f>Y70*AB70</f>
        <v>257436.99910999998</v>
      </c>
    </row>
    <row r="71" spans="2:29" x14ac:dyDescent="0.25">
      <c r="C71" s="7"/>
      <c r="D71" s="6"/>
      <c r="E71" s="12"/>
      <c r="F71" s="12"/>
      <c r="G71" s="21"/>
      <c r="H71" s="5"/>
      <c r="J71" s="7"/>
      <c r="K71" s="5"/>
      <c r="L71" s="1"/>
      <c r="M71" s="7"/>
      <c r="N71" s="5"/>
      <c r="P71" s="31"/>
      <c r="Q71" s="5"/>
      <c r="S71" s="22"/>
      <c r="T71" s="5"/>
      <c r="V71" s="7"/>
      <c r="W71" s="6"/>
      <c r="X71" s="12"/>
      <c r="Y71" s="12"/>
      <c r="Z71" s="6"/>
      <c r="AA71" s="4"/>
      <c r="AB71" s="231"/>
      <c r="AC71" s="11"/>
    </row>
    <row r="72" spans="2:29" x14ac:dyDescent="0.25">
      <c r="C72" s="7" t="s">
        <v>64</v>
      </c>
      <c r="D72" s="6"/>
      <c r="E72" s="12">
        <f>H8</f>
        <v>9281.5</v>
      </c>
      <c r="F72" s="12"/>
      <c r="G72" s="21"/>
      <c r="H72" s="5"/>
      <c r="J72" s="25">
        <v>18.399999999999999</v>
      </c>
      <c r="K72" s="5">
        <f>$E72*J72</f>
        <v>170779.59999999998</v>
      </c>
      <c r="L72" s="1"/>
      <c r="M72" s="25">
        <f>J72-$K$116</f>
        <v>14.66149007659272</v>
      </c>
      <c r="N72" s="5">
        <f>$E72*M72</f>
        <v>136080.62014589534</v>
      </c>
      <c r="P72" s="31"/>
      <c r="Q72" s="5">
        <f>$E72*P72</f>
        <v>0</v>
      </c>
      <c r="S72" s="25"/>
      <c r="T72" s="5">
        <f>K72*S72</f>
        <v>0</v>
      </c>
      <c r="V72" s="7" t="s">
        <v>64</v>
      </c>
      <c r="W72" s="6"/>
      <c r="X72" s="12">
        <f>E72</f>
        <v>9281.5</v>
      </c>
      <c r="Y72" s="12"/>
      <c r="Z72" s="6"/>
      <c r="AA72" s="4"/>
      <c r="AB72" s="24"/>
      <c r="AC72" s="11"/>
    </row>
    <row r="73" spans="2:29" x14ac:dyDescent="0.25">
      <c r="B73" t="s">
        <v>36</v>
      </c>
      <c r="C73" s="7" t="s">
        <v>65</v>
      </c>
      <c r="D73" s="6"/>
      <c r="E73" s="12">
        <f>M8</f>
        <v>30.6</v>
      </c>
      <c r="F73" s="12"/>
      <c r="G73" s="21"/>
      <c r="H73" s="5"/>
      <c r="J73" s="25">
        <v>18.399999999999999</v>
      </c>
      <c r="K73" s="5">
        <f>$E73*J73</f>
        <v>563.04</v>
      </c>
      <c r="L73" s="1"/>
      <c r="M73" s="25">
        <f>J73-$K$116</f>
        <v>14.66149007659272</v>
      </c>
      <c r="N73" s="5">
        <f>$E73*M73</f>
        <v>448.64159634373726</v>
      </c>
      <c r="P73" s="31"/>
      <c r="Q73" s="5">
        <f>$E73*P73</f>
        <v>0</v>
      </c>
      <c r="S73" s="25"/>
      <c r="T73" s="5">
        <f>K73*S73</f>
        <v>0</v>
      </c>
      <c r="V73" s="7" t="s">
        <v>65</v>
      </c>
      <c r="W73" s="6"/>
      <c r="X73" s="12">
        <f t="shared" ref="X73:X86" si="8">E73</f>
        <v>30.6</v>
      </c>
      <c r="Y73" s="12"/>
      <c r="Z73" s="6"/>
      <c r="AA73" s="4"/>
      <c r="AB73" s="24"/>
      <c r="AC73" s="11"/>
    </row>
    <row r="74" spans="2:29" x14ac:dyDescent="0.25">
      <c r="C74" s="7"/>
      <c r="D74" s="6"/>
      <c r="E74" s="12"/>
      <c r="F74" s="12"/>
      <c r="G74" s="21"/>
      <c r="H74" s="5"/>
      <c r="J74" s="25"/>
      <c r="K74" s="5"/>
      <c r="L74" s="1"/>
      <c r="M74" s="25"/>
      <c r="N74" s="5"/>
      <c r="P74" s="31"/>
      <c r="Q74" s="5"/>
      <c r="S74" s="25"/>
      <c r="T74" s="5"/>
      <c r="V74" s="7"/>
      <c r="W74" s="6"/>
      <c r="X74" s="12"/>
      <c r="Y74" s="12"/>
      <c r="Z74" s="6"/>
      <c r="AA74" s="4"/>
      <c r="AB74" s="24"/>
      <c r="AC74" s="11"/>
    </row>
    <row r="75" spans="2:29" x14ac:dyDescent="0.25">
      <c r="C75" s="7" t="s">
        <v>66</v>
      </c>
      <c r="D75" s="6"/>
      <c r="E75" s="12">
        <f>I8</f>
        <v>11900.3</v>
      </c>
      <c r="F75" s="12"/>
      <c r="G75" s="21"/>
      <c r="H75" s="5"/>
      <c r="J75" s="25">
        <v>15.99</v>
      </c>
      <c r="K75" s="5">
        <f>$E75*J75</f>
        <v>190285.79699999999</v>
      </c>
      <c r="L75" s="1"/>
      <c r="M75" s="25">
        <f>J75-$K$116</f>
        <v>12.251490076592722</v>
      </c>
      <c r="N75" s="5">
        <f>$E75*M75</f>
        <v>145796.40735847637</v>
      </c>
      <c r="P75" s="31"/>
      <c r="Q75" s="5">
        <f>$E75*P75</f>
        <v>0</v>
      </c>
      <c r="S75" s="25"/>
      <c r="T75" s="5">
        <f>K75*S75</f>
        <v>0</v>
      </c>
      <c r="V75" s="7" t="s">
        <v>66</v>
      </c>
      <c r="W75" s="6"/>
      <c r="X75" s="12">
        <f t="shared" si="8"/>
        <v>11900.3</v>
      </c>
      <c r="Y75" s="12"/>
      <c r="Z75" s="6"/>
      <c r="AA75" s="4"/>
      <c r="AB75" s="24"/>
      <c r="AC75" s="11"/>
    </row>
    <row r="76" spans="2:29" x14ac:dyDescent="0.25">
      <c r="C76" s="7" t="s">
        <v>65</v>
      </c>
      <c r="D76" s="6"/>
      <c r="E76" s="12">
        <f>N8</f>
        <v>232.85</v>
      </c>
      <c r="F76" s="12"/>
      <c r="G76" s="21"/>
      <c r="H76" s="5"/>
      <c r="J76" s="25">
        <v>15.99</v>
      </c>
      <c r="K76" s="5">
        <f>$E76*J76</f>
        <v>3723.2714999999998</v>
      </c>
      <c r="L76" s="1"/>
      <c r="M76" s="25">
        <f>J76-$K$116</f>
        <v>12.251490076592722</v>
      </c>
      <c r="N76" s="5">
        <f>$E76*M76</f>
        <v>2852.7594643346151</v>
      </c>
      <c r="P76" s="31"/>
      <c r="Q76" s="5">
        <f>$E76*P76</f>
        <v>0</v>
      </c>
      <c r="S76" s="25"/>
      <c r="T76" s="5">
        <f>K76*S76</f>
        <v>0</v>
      </c>
      <c r="V76" s="7" t="s">
        <v>65</v>
      </c>
      <c r="W76" s="6"/>
      <c r="X76" s="12">
        <f t="shared" si="8"/>
        <v>232.85</v>
      </c>
      <c r="Y76" s="12"/>
      <c r="Z76" s="6"/>
      <c r="AA76" s="4"/>
      <c r="AB76" s="24"/>
      <c r="AC76" s="11"/>
    </row>
    <row r="77" spans="2:29" x14ac:dyDescent="0.25">
      <c r="C77" s="7"/>
      <c r="D77" s="6"/>
      <c r="E77" s="12"/>
      <c r="F77" s="12"/>
      <c r="G77" s="21"/>
      <c r="H77" s="5"/>
      <c r="J77" s="7"/>
      <c r="K77" s="5"/>
      <c r="L77" s="1"/>
      <c r="M77" s="22"/>
      <c r="N77" s="5"/>
      <c r="P77" s="31"/>
      <c r="Q77" s="5"/>
      <c r="S77" s="22"/>
      <c r="T77" s="5"/>
      <c r="V77" s="7"/>
      <c r="W77" s="6"/>
      <c r="X77" s="12"/>
      <c r="Y77" s="12"/>
      <c r="Z77" s="6"/>
      <c r="AA77" s="4"/>
      <c r="AB77" s="231"/>
      <c r="AC77" s="11"/>
    </row>
    <row r="78" spans="2:29" x14ac:dyDescent="0.25">
      <c r="C78" s="7" t="s">
        <v>68</v>
      </c>
      <c r="D78" s="6"/>
      <c r="E78" s="12">
        <f>G8</f>
        <v>21652</v>
      </c>
      <c r="F78" s="12"/>
      <c r="G78" s="24"/>
      <c r="H78" s="5">
        <f>$AB78*G78</f>
        <v>0</v>
      </c>
      <c r="J78" s="25"/>
      <c r="K78" s="5"/>
      <c r="L78" s="1"/>
      <c r="M78" s="25"/>
      <c r="N78" s="5"/>
      <c r="P78" s="31">
        <v>4.5999999999999996</v>
      </c>
      <c r="Q78" s="5">
        <f>$E78*P78</f>
        <v>99599.2</v>
      </c>
      <c r="S78" s="31">
        <f>P78-$Q$89</f>
        <v>3.3776749188155963</v>
      </c>
      <c r="T78" s="5">
        <f>$E78*S78</f>
        <v>73133.417342195287</v>
      </c>
      <c r="V78" s="7" t="s">
        <v>68</v>
      </c>
      <c r="W78" s="6"/>
      <c r="X78" s="12">
        <f t="shared" si="8"/>
        <v>21652</v>
      </c>
      <c r="Y78" s="12"/>
      <c r="Z78" s="24">
        <v>4.5999999999999996</v>
      </c>
      <c r="AA78" s="4">
        <f>X78*Z78</f>
        <v>99599.2</v>
      </c>
      <c r="AB78" s="20">
        <f>S78</f>
        <v>3.3776749188155963</v>
      </c>
      <c r="AC78" s="5">
        <f>X78*AB78</f>
        <v>73133.417342195287</v>
      </c>
    </row>
    <row r="79" spans="2:29" x14ac:dyDescent="0.25">
      <c r="C79" s="7" t="s">
        <v>69</v>
      </c>
      <c r="D79" s="6"/>
      <c r="E79" s="12">
        <f>L8</f>
        <v>695.49999999999977</v>
      </c>
      <c r="F79" s="12"/>
      <c r="G79" s="24"/>
      <c r="H79" s="5">
        <f>$AB79*G79</f>
        <v>0</v>
      </c>
      <c r="J79" s="25"/>
      <c r="K79" s="5"/>
      <c r="L79" s="1"/>
      <c r="M79" s="25"/>
      <c r="N79" s="5"/>
      <c r="P79" s="31">
        <v>4.5999999999999996</v>
      </c>
      <c r="Q79" s="5">
        <f>$E79*P79</f>
        <v>3199.2999999999988</v>
      </c>
      <c r="S79" s="31">
        <f t="shared" ref="S79:S86" si="9">P79-$Q$89</f>
        <v>3.3776749188155963</v>
      </c>
      <c r="T79" s="5">
        <f>$E79*S79</f>
        <v>2349.1729060362463</v>
      </c>
      <c r="V79" s="7" t="s">
        <v>69</v>
      </c>
      <c r="W79" s="6"/>
      <c r="X79" s="12">
        <f t="shared" si="8"/>
        <v>695.49999999999977</v>
      </c>
      <c r="Y79" s="12"/>
      <c r="Z79" s="24">
        <v>4.5999999999999996</v>
      </c>
      <c r="AA79" s="4">
        <f t="shared" ref="AA79:AA86" si="10">X79*Z79</f>
        <v>3199.2999999999988</v>
      </c>
      <c r="AB79" s="20">
        <f t="shared" ref="AB79:AB86" si="11">S79</f>
        <v>3.3776749188155963</v>
      </c>
      <c r="AC79" s="5">
        <f t="shared" ref="AC79:AC86" si="12">X79*AB79</f>
        <v>2349.1729060362463</v>
      </c>
    </row>
    <row r="80" spans="2:29" x14ac:dyDescent="0.25">
      <c r="C80" s="7" t="s">
        <v>70</v>
      </c>
      <c r="D80" s="6"/>
      <c r="E80" s="12">
        <f>Q8</f>
        <v>4593.1999999999989</v>
      </c>
      <c r="F80" s="12"/>
      <c r="G80" s="24"/>
      <c r="H80" s="5"/>
      <c r="J80" s="25"/>
      <c r="K80" s="5"/>
      <c r="L80" s="1"/>
      <c r="M80" s="25"/>
      <c r="N80" s="5"/>
      <c r="P80" s="31"/>
      <c r="Q80" s="5"/>
      <c r="S80" s="31"/>
      <c r="T80" s="5"/>
      <c r="V80" s="7" t="s">
        <v>70</v>
      </c>
      <c r="W80" s="6"/>
      <c r="X80" s="12">
        <f t="shared" si="8"/>
        <v>4593.1999999999989</v>
      </c>
      <c r="Y80" s="12"/>
      <c r="Z80" s="24"/>
      <c r="AA80" s="4"/>
      <c r="AB80" s="20"/>
      <c r="AC80" s="5"/>
    </row>
    <row r="81" spans="3:30" x14ac:dyDescent="0.25">
      <c r="C81" s="7"/>
      <c r="D81" s="6"/>
      <c r="E81" s="12"/>
      <c r="F81" s="12"/>
      <c r="G81" s="24"/>
      <c r="H81" s="5"/>
      <c r="J81" s="25"/>
      <c r="K81" s="5"/>
      <c r="L81" s="1"/>
      <c r="M81" s="25"/>
      <c r="N81" s="5"/>
      <c r="P81" s="31"/>
      <c r="Q81" s="5"/>
      <c r="S81" s="31"/>
      <c r="T81" s="5"/>
      <c r="V81" s="7"/>
      <c r="W81" s="6"/>
      <c r="X81" s="12"/>
      <c r="Y81" s="12"/>
      <c r="Z81" s="24"/>
      <c r="AA81" s="4"/>
      <c r="AB81" s="20"/>
      <c r="AC81" s="5"/>
    </row>
    <row r="82" spans="3:30" x14ac:dyDescent="0.25">
      <c r="C82" s="7" t="s">
        <v>71</v>
      </c>
      <c r="D82" s="6"/>
      <c r="E82" s="12">
        <f>F8</f>
        <v>21550.199999999997</v>
      </c>
      <c r="F82" s="12"/>
      <c r="G82" s="24"/>
      <c r="H82" s="5">
        <f>$AB82*G82</f>
        <v>0</v>
      </c>
      <c r="J82" s="25"/>
      <c r="K82" s="5"/>
      <c r="L82" s="1"/>
      <c r="M82" s="25"/>
      <c r="N82" s="5"/>
      <c r="P82" s="31">
        <v>5.0999999999999996</v>
      </c>
      <c r="Q82" s="5">
        <f>$E82*P82</f>
        <v>109906.01999999997</v>
      </c>
      <c r="S82" s="31">
        <f t="shared" si="9"/>
        <v>3.8776749188155963</v>
      </c>
      <c r="T82" s="5">
        <f>$E82*S82</f>
        <v>83564.670035459858</v>
      </c>
      <c r="V82" s="7" t="s">
        <v>71</v>
      </c>
      <c r="W82" s="6"/>
      <c r="X82" s="12">
        <f t="shared" si="8"/>
        <v>21550.199999999997</v>
      </c>
      <c r="Y82" s="12"/>
      <c r="Z82" s="24">
        <v>5.0999999999999996</v>
      </c>
      <c r="AA82" s="4">
        <f t="shared" si="10"/>
        <v>109906.01999999997</v>
      </c>
      <c r="AB82" s="20">
        <f t="shared" si="11"/>
        <v>3.8776749188155963</v>
      </c>
      <c r="AC82" s="5">
        <f t="shared" si="12"/>
        <v>83564.670035459858</v>
      </c>
    </row>
    <row r="83" spans="3:30" x14ac:dyDescent="0.25">
      <c r="C83" s="7" t="s">
        <v>65</v>
      </c>
      <c r="D83" s="6"/>
      <c r="E83" s="12">
        <f>K8</f>
        <v>247.85</v>
      </c>
      <c r="F83" s="12"/>
      <c r="G83" s="24"/>
      <c r="H83" s="5">
        <f>$AB83*G83</f>
        <v>0</v>
      </c>
      <c r="J83" s="25"/>
      <c r="K83" s="5"/>
      <c r="L83" s="1"/>
      <c r="M83" s="25"/>
      <c r="N83" s="5"/>
      <c r="P83" s="31">
        <v>5.0999999999999996</v>
      </c>
      <c r="Q83" s="5">
        <f>$E83*P83</f>
        <v>1264.0349999999999</v>
      </c>
      <c r="S83" s="31">
        <f t="shared" si="9"/>
        <v>3.8776749188155963</v>
      </c>
      <c r="T83" s="5">
        <f>$E83*S83</f>
        <v>961.08172862844549</v>
      </c>
      <c r="V83" s="7" t="s">
        <v>65</v>
      </c>
      <c r="W83" s="6"/>
      <c r="X83" s="12">
        <f t="shared" si="8"/>
        <v>247.85</v>
      </c>
      <c r="Y83" s="12"/>
      <c r="Z83" s="24">
        <v>5.0999999999999996</v>
      </c>
      <c r="AA83" s="4">
        <f t="shared" si="10"/>
        <v>1264.0349999999999</v>
      </c>
      <c r="AB83" s="20">
        <f t="shared" si="11"/>
        <v>3.8776749188155963</v>
      </c>
      <c r="AC83" s="5">
        <f t="shared" si="12"/>
        <v>961.08172862844549</v>
      </c>
    </row>
    <row r="84" spans="3:30" x14ac:dyDescent="0.25">
      <c r="C84" s="7"/>
      <c r="D84" s="6"/>
      <c r="E84" s="12"/>
      <c r="F84" s="12"/>
      <c r="G84" s="24"/>
      <c r="H84" s="5"/>
      <c r="J84" s="25"/>
      <c r="K84" s="5"/>
      <c r="L84" s="1"/>
      <c r="M84" s="25"/>
      <c r="N84" s="5"/>
      <c r="P84" s="31"/>
      <c r="Q84" s="5"/>
      <c r="S84" s="31"/>
      <c r="T84" s="5"/>
      <c r="V84" s="7"/>
      <c r="W84" s="6"/>
      <c r="X84" s="12"/>
      <c r="Y84" s="12"/>
      <c r="Z84" s="24"/>
      <c r="AA84" s="4"/>
      <c r="AB84" s="20"/>
      <c r="AC84" s="5">
        <f t="shared" si="12"/>
        <v>0</v>
      </c>
    </row>
    <row r="85" spans="3:30" x14ac:dyDescent="0.25">
      <c r="C85" s="7" t="s">
        <v>72</v>
      </c>
      <c r="D85" s="6"/>
      <c r="E85" s="12">
        <f>E8</f>
        <v>21181.8</v>
      </c>
      <c r="F85" s="12"/>
      <c r="G85" s="24"/>
      <c r="H85" s="5">
        <f>$AB85*G85</f>
        <v>0</v>
      </c>
      <c r="J85" s="25"/>
      <c r="K85" s="5"/>
      <c r="L85" s="1"/>
      <c r="M85" s="25"/>
      <c r="N85" s="5"/>
      <c r="P85" s="31">
        <v>6.74</v>
      </c>
      <c r="Q85" s="5">
        <f>$E85*P85</f>
        <v>142765.33199999999</v>
      </c>
      <c r="S85" s="31">
        <f t="shared" si="9"/>
        <v>5.5176749188155974</v>
      </c>
      <c r="T85" s="5">
        <f>$E85*S85</f>
        <v>116874.28659536822</v>
      </c>
      <c r="V85" s="7" t="s">
        <v>72</v>
      </c>
      <c r="W85" s="6"/>
      <c r="X85" s="12">
        <f t="shared" si="8"/>
        <v>21181.8</v>
      </c>
      <c r="Y85" s="12"/>
      <c r="Z85" s="24">
        <v>6.74</v>
      </c>
      <c r="AA85" s="4">
        <f t="shared" si="10"/>
        <v>142765.33199999999</v>
      </c>
      <c r="AB85" s="20">
        <f t="shared" si="11"/>
        <v>5.5176749188155974</v>
      </c>
      <c r="AC85" s="5">
        <f t="shared" si="12"/>
        <v>116874.28659536822</v>
      </c>
    </row>
    <row r="86" spans="3:30" x14ac:dyDescent="0.25">
      <c r="C86" s="7" t="s">
        <v>65</v>
      </c>
      <c r="D86" s="6"/>
      <c r="E86" s="12">
        <f>J8</f>
        <v>263.44999999999993</v>
      </c>
      <c r="F86" s="12"/>
      <c r="G86" s="6"/>
      <c r="H86" s="5">
        <f>$AB86*G86</f>
        <v>0</v>
      </c>
      <c r="J86" s="25"/>
      <c r="K86" s="5"/>
      <c r="L86" s="1"/>
      <c r="M86" s="25"/>
      <c r="N86" s="5"/>
      <c r="P86" s="31">
        <v>6.74</v>
      </c>
      <c r="Q86" s="5">
        <f>$E86*P86</f>
        <v>1775.6529999999996</v>
      </c>
      <c r="S86" s="31">
        <f t="shared" si="9"/>
        <v>5.5176749188155974</v>
      </c>
      <c r="T86" s="5">
        <f>$E86*S86</f>
        <v>1453.6314573619688</v>
      </c>
      <c r="V86" s="7" t="s">
        <v>65</v>
      </c>
      <c r="W86" s="6"/>
      <c r="X86" s="12">
        <f t="shared" si="8"/>
        <v>263.44999999999993</v>
      </c>
      <c r="Y86" s="12"/>
      <c r="Z86" s="24">
        <v>6.74</v>
      </c>
      <c r="AA86" s="4">
        <f t="shared" si="10"/>
        <v>1775.6529999999996</v>
      </c>
      <c r="AB86" s="20">
        <f t="shared" si="11"/>
        <v>5.5176749188155974</v>
      </c>
      <c r="AC86" s="5">
        <f t="shared" si="12"/>
        <v>1453.6314573619688</v>
      </c>
    </row>
    <row r="87" spans="3:30" x14ac:dyDescent="0.25">
      <c r="C87" s="7"/>
      <c r="D87" s="6"/>
      <c r="E87" s="6"/>
      <c r="F87" s="6"/>
      <c r="G87" s="6"/>
      <c r="H87" s="11"/>
      <c r="J87" s="29"/>
      <c r="K87" s="11"/>
      <c r="L87" s="1"/>
      <c r="M87" s="29"/>
      <c r="N87" s="11"/>
      <c r="P87" s="31"/>
      <c r="Q87" s="11"/>
      <c r="S87" s="31"/>
      <c r="T87" s="11"/>
      <c r="V87" s="7"/>
      <c r="W87" s="6"/>
      <c r="X87" s="12"/>
      <c r="Y87" s="6"/>
      <c r="Z87" s="6"/>
      <c r="AA87" s="4"/>
      <c r="AB87" s="6"/>
      <c r="AC87" s="11"/>
    </row>
    <row r="88" spans="3:30" ht="15.75" thickBot="1" x14ac:dyDescent="0.3">
      <c r="C88" s="9" t="s">
        <v>67</v>
      </c>
      <c r="D88" s="10"/>
      <c r="E88" s="10"/>
      <c r="F88" s="10"/>
      <c r="G88" s="10"/>
      <c r="H88" s="3">
        <f>SUM(H68:H87)</f>
        <v>615950.7635</v>
      </c>
      <c r="J88" s="26"/>
      <c r="K88" s="3">
        <f>SUM(K68:K87)</f>
        <v>629587.47618999996</v>
      </c>
      <c r="L88" s="1"/>
      <c r="M88" s="26"/>
      <c r="N88" s="3">
        <f>SUM(N68:N87)</f>
        <v>549414.19625505002</v>
      </c>
      <c r="P88" s="26"/>
      <c r="Q88" s="3">
        <f>SUM(Q68:Q87)</f>
        <v>627946.5391099999</v>
      </c>
      <c r="S88" s="26"/>
      <c r="T88" s="3">
        <f>SUM(T68:T87)</f>
        <v>547773.25917504996</v>
      </c>
      <c r="V88" s="9" t="s">
        <v>67</v>
      </c>
      <c r="W88" s="10"/>
      <c r="X88" s="10"/>
      <c r="Y88" s="10"/>
      <c r="Z88" s="10"/>
      <c r="AA88" s="233">
        <f>SUM(AA68:AA87)</f>
        <v>627946.5391099999</v>
      </c>
      <c r="AB88" s="10"/>
      <c r="AC88" s="3">
        <f>SUM(AC68:AC87)</f>
        <v>547773.25917504996</v>
      </c>
      <c r="AD88" s="1">
        <f>AA88-AC88</f>
        <v>80173.27993494994</v>
      </c>
    </row>
    <row r="89" spans="3:30" ht="15.75" thickBot="1" x14ac:dyDescent="0.3">
      <c r="J89" s="1">
        <v>1800000</v>
      </c>
      <c r="O89" s="1">
        <f>K88-N88</f>
        <v>80173.27993494994</v>
      </c>
      <c r="P89" s="244">
        <v>825000</v>
      </c>
      <c r="Q89" s="244">
        <f>O89/(SUM(E78:E79)+SUM(E85:E86)+SUM(E82:E83))</f>
        <v>1.2223250811844033</v>
      </c>
      <c r="U89" s="1">
        <f>Q88-T88</f>
        <v>80173.27993494994</v>
      </c>
    </row>
    <row r="90" spans="3:30" ht="15.75" thickBot="1" x14ac:dyDescent="0.3">
      <c r="C90" s="8"/>
      <c r="D90" s="248" t="s">
        <v>82</v>
      </c>
      <c r="E90" s="248" t="s">
        <v>80</v>
      </c>
      <c r="F90" s="248" t="s">
        <v>81</v>
      </c>
      <c r="G90" s="288" t="s">
        <v>34</v>
      </c>
      <c r="H90" s="281"/>
      <c r="J90" s="280" t="s">
        <v>35</v>
      </c>
      <c r="K90" s="281"/>
      <c r="M90" s="280" t="s">
        <v>35</v>
      </c>
      <c r="N90" s="281"/>
      <c r="P90" s="280" t="s">
        <v>36</v>
      </c>
      <c r="Q90" s="281"/>
      <c r="S90" s="280" t="s">
        <v>36</v>
      </c>
      <c r="T90" s="281"/>
      <c r="V90" s="8"/>
      <c r="W90" s="232" t="s">
        <v>82</v>
      </c>
      <c r="X90" s="232" t="s">
        <v>80</v>
      </c>
      <c r="Y90" s="232" t="s">
        <v>81</v>
      </c>
      <c r="Z90" s="282" t="s">
        <v>87</v>
      </c>
      <c r="AA90" s="282"/>
      <c r="AB90" s="282" t="s">
        <v>88</v>
      </c>
      <c r="AC90" s="282"/>
    </row>
    <row r="91" spans="3:30" x14ac:dyDescent="0.25">
      <c r="C91" s="7"/>
      <c r="D91" s="6"/>
      <c r="E91" s="6"/>
      <c r="F91" s="6"/>
      <c r="G91" s="6"/>
      <c r="H91" s="11"/>
      <c r="J91" s="7"/>
      <c r="K91" s="11"/>
      <c r="M91" s="7"/>
      <c r="N91" s="11"/>
      <c r="P91" s="7"/>
      <c r="Q91" s="11"/>
      <c r="S91" s="7"/>
      <c r="T91" s="11"/>
      <c r="V91" s="7"/>
      <c r="W91" s="6"/>
      <c r="X91" s="6"/>
      <c r="Y91" s="6"/>
      <c r="Z91" s="6"/>
      <c r="AA91" s="6"/>
      <c r="AB91" s="6"/>
      <c r="AC91" s="11"/>
    </row>
    <row r="92" spans="3:30" x14ac:dyDescent="0.25">
      <c r="C92" s="7" t="s">
        <v>60</v>
      </c>
      <c r="D92" s="12">
        <f>D42+D68</f>
        <v>1536</v>
      </c>
      <c r="E92" s="6"/>
      <c r="F92" s="6"/>
      <c r="G92" s="20">
        <v>40</v>
      </c>
      <c r="H92" s="5">
        <f>D92*G92</f>
        <v>61440</v>
      </c>
      <c r="J92" s="25">
        <v>90</v>
      </c>
      <c r="K92" s="5">
        <f>$D$92*J92</f>
        <v>138240</v>
      </c>
      <c r="L92" s="1"/>
      <c r="M92" s="25">
        <v>90</v>
      </c>
      <c r="N92" s="5">
        <f>$D$92*J92</f>
        <v>138240</v>
      </c>
      <c r="P92" s="31">
        <v>200</v>
      </c>
      <c r="Q92" s="5">
        <f>$D92*P92</f>
        <v>307200</v>
      </c>
      <c r="S92" s="31">
        <v>200</v>
      </c>
      <c r="T92" s="5">
        <f>$D92*S92</f>
        <v>307200</v>
      </c>
      <c r="V92" s="7" t="s">
        <v>60</v>
      </c>
      <c r="W92" s="12">
        <f>D92</f>
        <v>1536</v>
      </c>
      <c r="X92" s="6"/>
      <c r="Y92" s="6"/>
      <c r="Z92" s="24">
        <v>200</v>
      </c>
      <c r="AA92" s="4">
        <f>W92*Z92</f>
        <v>307200</v>
      </c>
      <c r="AB92" s="20">
        <v>200</v>
      </c>
      <c r="AC92" s="5">
        <f>W92*AB92</f>
        <v>307200</v>
      </c>
    </row>
    <row r="93" spans="3:30" x14ac:dyDescent="0.25">
      <c r="C93" s="7"/>
      <c r="D93" s="6"/>
      <c r="E93" s="6"/>
      <c r="F93" s="6"/>
      <c r="G93" s="20"/>
      <c r="H93" s="5"/>
      <c r="J93" s="25"/>
      <c r="K93" s="5"/>
      <c r="L93" s="1"/>
      <c r="M93" s="25"/>
      <c r="N93" s="5"/>
      <c r="P93" s="31"/>
      <c r="Q93" s="5"/>
      <c r="S93" s="31"/>
      <c r="T93" s="5"/>
      <c r="V93" s="7"/>
      <c r="W93" s="6"/>
      <c r="X93" s="6"/>
      <c r="Y93" s="6"/>
      <c r="Z93" s="6"/>
      <c r="AA93" s="4"/>
      <c r="AB93" s="20"/>
      <c r="AC93" s="5"/>
    </row>
    <row r="94" spans="3:30" x14ac:dyDescent="0.25">
      <c r="C94" s="7" t="s">
        <v>61</v>
      </c>
      <c r="D94" s="6"/>
      <c r="E94" s="12"/>
      <c r="F94" s="12">
        <f>F44+F70</f>
        <v>134442933</v>
      </c>
      <c r="G94" s="21">
        <v>9.6500000000000002E-2</v>
      </c>
      <c r="H94" s="5">
        <f>F94*G94</f>
        <v>12973743.034500001</v>
      </c>
      <c r="J94" s="22">
        <v>4.0710000000000003E-2</v>
      </c>
      <c r="K94" s="5">
        <f>J$94*$F$94</f>
        <v>5473171.8024300002</v>
      </c>
      <c r="L94" s="1"/>
      <c r="M94" s="22">
        <v>4.0710000000000003E-2</v>
      </c>
      <c r="N94" s="5">
        <f>M$94*$F$94</f>
        <v>5473171.8024300002</v>
      </c>
      <c r="P94" s="30">
        <v>4.0489999999999998E-2</v>
      </c>
      <c r="Q94" s="5">
        <f>$F94*P94</f>
        <v>5443594.3571699997</v>
      </c>
      <c r="S94" s="30">
        <v>4.0489999999999998E-2</v>
      </c>
      <c r="T94" s="5">
        <f>$F94*S94</f>
        <v>5443594.3571699997</v>
      </c>
      <c r="V94" s="7" t="s">
        <v>61</v>
      </c>
      <c r="W94" s="6"/>
      <c r="X94" s="12"/>
      <c r="Y94" s="12">
        <f>F94</f>
        <v>134442933</v>
      </c>
      <c r="Z94" s="231">
        <v>4.0489999999999998E-2</v>
      </c>
      <c r="AA94" s="4">
        <f>Y94*Z94</f>
        <v>5443594.3571699997</v>
      </c>
      <c r="AB94" s="21">
        <v>4.0489999999999998E-2</v>
      </c>
      <c r="AC94" s="5">
        <f>Y94*AB94</f>
        <v>5443594.3571699997</v>
      </c>
    </row>
    <row r="95" spans="3:30" x14ac:dyDescent="0.25">
      <c r="C95" s="7"/>
      <c r="D95" s="6"/>
      <c r="E95" s="12"/>
      <c r="F95" s="12"/>
      <c r="G95" s="21"/>
      <c r="H95" s="5"/>
      <c r="J95" s="7"/>
      <c r="K95" s="5"/>
      <c r="L95" s="1"/>
      <c r="M95" s="7"/>
      <c r="N95" s="5"/>
      <c r="P95" s="31"/>
      <c r="Q95" s="5"/>
      <c r="S95" s="22"/>
      <c r="T95" s="5"/>
      <c r="V95" s="7"/>
      <c r="W95" s="6"/>
      <c r="X95" s="12"/>
      <c r="Y95" s="12"/>
      <c r="Z95" s="6"/>
      <c r="AA95" s="4"/>
      <c r="AB95" s="231"/>
      <c r="AC95" s="11"/>
    </row>
    <row r="96" spans="3:30" x14ac:dyDescent="0.25">
      <c r="C96" s="7" t="s">
        <v>64</v>
      </c>
      <c r="D96" s="6"/>
      <c r="E96" s="12">
        <f>E46+E72</f>
        <v>221605.90000000002</v>
      </c>
      <c r="F96" s="12"/>
      <c r="G96" s="21"/>
      <c r="H96" s="5"/>
      <c r="J96" s="25">
        <v>18.399999999999999</v>
      </c>
      <c r="K96" s="5">
        <f>$E$96*J96</f>
        <v>4077548.56</v>
      </c>
      <c r="L96" s="1"/>
      <c r="M96" s="25">
        <f>J96-$K$116</f>
        <v>14.66149007659272</v>
      </c>
      <c r="N96" s="5">
        <f>$E$96*M96</f>
        <v>3249072.703764399</v>
      </c>
      <c r="P96" s="31"/>
      <c r="Q96" s="5">
        <f>H96*P96</f>
        <v>0</v>
      </c>
      <c r="S96" s="25"/>
      <c r="T96" s="5">
        <f>K96*S96</f>
        <v>0</v>
      </c>
      <c r="V96" s="7" t="s">
        <v>64</v>
      </c>
      <c r="W96" s="6"/>
      <c r="X96" s="12">
        <f>E96</f>
        <v>221605.90000000002</v>
      </c>
      <c r="Y96" s="12"/>
      <c r="Z96" s="6"/>
      <c r="AA96" s="4"/>
      <c r="AB96" s="24"/>
      <c r="AC96" s="11"/>
    </row>
    <row r="97" spans="2:30" x14ac:dyDescent="0.25">
      <c r="C97" s="7" t="s">
        <v>65</v>
      </c>
      <c r="D97" s="6"/>
      <c r="E97" s="12">
        <f>E47+E73</f>
        <v>1110.25</v>
      </c>
      <c r="F97" s="12"/>
      <c r="G97" s="21"/>
      <c r="H97" s="5"/>
      <c r="J97" s="25">
        <v>18.399999999999999</v>
      </c>
      <c r="K97" s="5">
        <f>$E$97*J97</f>
        <v>20428.599999999999</v>
      </c>
      <c r="L97" s="1"/>
      <c r="M97" s="25">
        <f>J97-$K$116</f>
        <v>14.66149007659272</v>
      </c>
      <c r="N97" s="5">
        <f>$E$97*M97</f>
        <v>16277.919357537068</v>
      </c>
      <c r="P97" s="31"/>
      <c r="Q97" s="5">
        <f>H97*P97</f>
        <v>0</v>
      </c>
      <c r="S97" s="25"/>
      <c r="T97" s="5">
        <f>K97*S97</f>
        <v>0</v>
      </c>
      <c r="V97" s="7" t="s">
        <v>65</v>
      </c>
      <c r="W97" s="6"/>
      <c r="X97" s="12">
        <f t="shared" ref="X97:X110" si="13">E97</f>
        <v>1110.25</v>
      </c>
      <c r="Y97" s="12"/>
      <c r="Z97" s="6"/>
      <c r="AA97" s="4"/>
      <c r="AB97" s="24"/>
      <c r="AC97" s="11"/>
    </row>
    <row r="98" spans="2:30" x14ac:dyDescent="0.25">
      <c r="C98" s="7"/>
      <c r="D98" s="6"/>
      <c r="E98" s="12"/>
      <c r="F98" s="12"/>
      <c r="G98" s="21"/>
      <c r="H98" s="5"/>
      <c r="J98" s="25"/>
      <c r="K98" s="5"/>
      <c r="L98" s="1"/>
      <c r="M98" s="25"/>
      <c r="N98" s="5"/>
      <c r="P98" s="31"/>
      <c r="Q98" s="5"/>
      <c r="S98" s="25"/>
      <c r="T98" s="5"/>
      <c r="V98" s="7"/>
      <c r="W98" s="6"/>
      <c r="X98" s="12"/>
      <c r="Y98" s="12"/>
      <c r="Z98" s="6"/>
      <c r="AA98" s="4"/>
      <c r="AB98" s="24"/>
      <c r="AC98" s="11"/>
    </row>
    <row r="99" spans="2:30" x14ac:dyDescent="0.25">
      <c r="C99" s="7" t="s">
        <v>66</v>
      </c>
      <c r="D99" s="6"/>
      <c r="E99" s="12">
        <f>E49+E75</f>
        <v>255183.94999999998</v>
      </c>
      <c r="F99" s="12"/>
      <c r="G99" s="21"/>
      <c r="H99" s="5"/>
      <c r="J99" s="25">
        <v>15.99</v>
      </c>
      <c r="K99" s="5">
        <f>$E$99*J99</f>
        <v>4080391.3605</v>
      </c>
      <c r="L99" s="1"/>
      <c r="M99" s="25">
        <f>J99-$K$116</f>
        <v>12.251490076592722</v>
      </c>
      <c r="N99" s="5">
        <f>$E$99*M99</f>
        <v>3126383.6311307331</v>
      </c>
      <c r="P99" s="31"/>
      <c r="Q99" s="5">
        <f>H99*P99</f>
        <v>0</v>
      </c>
      <c r="S99" s="25"/>
      <c r="T99" s="5">
        <f>K99*S99</f>
        <v>0</v>
      </c>
      <c r="V99" s="7" t="s">
        <v>66</v>
      </c>
      <c r="W99" s="6"/>
      <c r="X99" s="12">
        <f t="shared" si="13"/>
        <v>255183.94999999998</v>
      </c>
      <c r="Y99" s="12"/>
      <c r="Z99" s="6"/>
      <c r="AA99" s="4"/>
      <c r="AB99" s="24"/>
      <c r="AC99" s="11"/>
    </row>
    <row r="100" spans="2:30" x14ac:dyDescent="0.25">
      <c r="C100" s="7" t="s">
        <v>65</v>
      </c>
      <c r="D100" s="6"/>
      <c r="E100" s="12">
        <f>E50+E76</f>
        <v>3575.1499999999996</v>
      </c>
      <c r="F100" s="12"/>
      <c r="G100" s="21"/>
      <c r="H100" s="5"/>
      <c r="J100" s="25">
        <v>15.99</v>
      </c>
      <c r="K100" s="5">
        <f>$E$100*J100</f>
        <v>57166.648499999996</v>
      </c>
      <c r="L100" s="1"/>
      <c r="M100" s="25">
        <f>J100-$K$116</f>
        <v>12.251490076592722</v>
      </c>
      <c r="N100" s="5">
        <f>$E$100*M100</f>
        <v>43800.914747330462</v>
      </c>
      <c r="P100" s="31"/>
      <c r="Q100" s="5">
        <f>H100*P100</f>
        <v>0</v>
      </c>
      <c r="S100" s="25"/>
      <c r="T100" s="5">
        <f>K100*S100</f>
        <v>0</v>
      </c>
      <c r="V100" s="7" t="s">
        <v>65</v>
      </c>
      <c r="W100" s="6"/>
      <c r="X100" s="12">
        <f t="shared" si="13"/>
        <v>3575.1499999999996</v>
      </c>
      <c r="Y100" s="12"/>
      <c r="Z100" s="6"/>
      <c r="AA100" s="4"/>
      <c r="AB100" s="24"/>
      <c r="AC100" s="11"/>
    </row>
    <row r="101" spans="2:30" x14ac:dyDescent="0.25">
      <c r="C101" s="7"/>
      <c r="D101" s="6"/>
      <c r="E101" s="12"/>
      <c r="F101" s="12"/>
      <c r="G101" s="21"/>
      <c r="H101" s="5"/>
      <c r="J101" s="22"/>
      <c r="K101" s="5"/>
      <c r="L101" s="1"/>
      <c r="M101" s="22"/>
      <c r="N101" s="5"/>
      <c r="P101" s="31"/>
      <c r="Q101" s="5"/>
      <c r="S101" s="22"/>
      <c r="T101" s="5"/>
      <c r="V101" s="7"/>
      <c r="W101" s="6"/>
      <c r="X101" s="12"/>
      <c r="Y101" s="12"/>
      <c r="Z101" s="6"/>
      <c r="AA101" s="4"/>
      <c r="AB101" s="231"/>
      <c r="AC101" s="11"/>
    </row>
    <row r="102" spans="2:30" x14ac:dyDescent="0.25">
      <c r="B102" s="289" t="s">
        <v>83</v>
      </c>
      <c r="C102" s="7" t="s">
        <v>68</v>
      </c>
      <c r="D102" s="6"/>
      <c r="E102" s="12">
        <f>E52+E78</f>
        <v>477260.05</v>
      </c>
      <c r="F102" s="12"/>
      <c r="G102" s="24"/>
      <c r="H102" s="5">
        <f>$AB102*G102</f>
        <v>0</v>
      </c>
      <c r="J102" s="25"/>
      <c r="K102" s="5"/>
      <c r="L102" s="1"/>
      <c r="M102" s="25"/>
      <c r="N102" s="5"/>
      <c r="P102" s="31">
        <v>4.5999999999999996</v>
      </c>
      <c r="Q102" s="5">
        <f>$E102*P102</f>
        <v>2195396.23</v>
      </c>
      <c r="S102" s="31">
        <f>P102-$Q$116</f>
        <v>3.4200052958817873</v>
      </c>
      <c r="T102" s="5">
        <f>$E102*S102</f>
        <v>1632231.8985128065</v>
      </c>
      <c r="V102" s="7" t="s">
        <v>68</v>
      </c>
      <c r="W102" s="6"/>
      <c r="X102" s="12">
        <f t="shared" si="13"/>
        <v>477260.05</v>
      </c>
      <c r="Y102" s="12"/>
      <c r="Z102" s="24">
        <v>4.5999999999999996</v>
      </c>
      <c r="AA102" s="4">
        <f>X102*Z102</f>
        <v>2195396.23</v>
      </c>
      <c r="AB102" s="20">
        <f>S102</f>
        <v>3.4200052958817873</v>
      </c>
      <c r="AC102" s="5">
        <f>X102*AB102</f>
        <v>1632231.8985128065</v>
      </c>
    </row>
    <row r="103" spans="2:30" x14ac:dyDescent="0.25">
      <c r="B103" s="289"/>
      <c r="C103" s="7" t="s">
        <v>69</v>
      </c>
      <c r="D103" s="6"/>
      <c r="E103" s="12">
        <f>E53+E79</f>
        <v>84867.225000000006</v>
      </c>
      <c r="F103" s="12"/>
      <c r="G103" s="24"/>
      <c r="H103" s="5">
        <f>$AB103*G103</f>
        <v>0</v>
      </c>
      <c r="J103" s="25"/>
      <c r="K103" s="5"/>
      <c r="L103" s="1"/>
      <c r="M103" s="25"/>
      <c r="N103" s="5"/>
      <c r="P103" s="31">
        <v>4.5999999999999996</v>
      </c>
      <c r="Q103" s="5">
        <f>$E103*P103</f>
        <v>390389.23499999999</v>
      </c>
      <c r="S103" s="31">
        <f>P103-$Q$116</f>
        <v>3.4200052958817873</v>
      </c>
      <c r="T103" s="5">
        <f>$E103*S103</f>
        <v>290246.35894679121</v>
      </c>
      <c r="V103" s="7" t="s">
        <v>69</v>
      </c>
      <c r="W103" s="6"/>
      <c r="X103" s="12">
        <f t="shared" si="13"/>
        <v>84867.225000000006</v>
      </c>
      <c r="Y103" s="12"/>
      <c r="Z103" s="24">
        <v>4.5999999999999996</v>
      </c>
      <c r="AA103" s="4">
        <f t="shared" ref="AA103" si="14">X103*Z103</f>
        <v>390389.23499999999</v>
      </c>
      <c r="AB103" s="20">
        <f t="shared" ref="AB103" si="15">S103</f>
        <v>3.4200052958817873</v>
      </c>
      <c r="AC103" s="5">
        <f t="shared" ref="AC103" si="16">X103*AB103</f>
        <v>290246.35894679121</v>
      </c>
    </row>
    <row r="104" spans="2:30" x14ac:dyDescent="0.25">
      <c r="C104" s="7" t="s">
        <v>70</v>
      </c>
      <c r="D104" s="6"/>
      <c r="E104" s="12">
        <f>E54+E80</f>
        <v>177171.84999999998</v>
      </c>
      <c r="F104" s="12"/>
      <c r="G104" s="24"/>
      <c r="H104" s="5"/>
      <c r="J104" s="25"/>
      <c r="K104" s="5"/>
      <c r="L104" s="1"/>
      <c r="M104" s="25"/>
      <c r="N104" s="5"/>
      <c r="P104" s="31"/>
      <c r="Q104" s="5"/>
      <c r="S104" s="31"/>
      <c r="T104" s="5"/>
      <c r="V104" s="7" t="s">
        <v>70</v>
      </c>
      <c r="W104" s="6"/>
      <c r="X104" s="12">
        <f t="shared" si="13"/>
        <v>177171.84999999998</v>
      </c>
      <c r="Y104" s="12"/>
      <c r="Z104" s="24"/>
      <c r="AA104" s="4"/>
      <c r="AB104" s="20"/>
      <c r="AC104" s="5"/>
    </row>
    <row r="105" spans="2:30" x14ac:dyDescent="0.25">
      <c r="C105" s="7"/>
      <c r="D105" s="6"/>
      <c r="E105" s="12"/>
      <c r="F105" s="12"/>
      <c r="G105" s="24"/>
      <c r="H105" s="5"/>
      <c r="J105" s="25"/>
      <c r="K105" s="5"/>
      <c r="L105" s="1"/>
      <c r="M105" s="25"/>
      <c r="N105" s="5"/>
      <c r="P105" s="31"/>
      <c r="Q105" s="5"/>
      <c r="S105" s="31"/>
      <c r="T105" s="5"/>
      <c r="V105" s="7"/>
      <c r="W105" s="6"/>
      <c r="X105" s="12"/>
      <c r="Y105" s="12"/>
      <c r="Z105" s="24"/>
      <c r="AA105" s="4"/>
      <c r="AB105" s="20"/>
      <c r="AC105" s="5"/>
    </row>
    <row r="106" spans="2:30" x14ac:dyDescent="0.25">
      <c r="C106" s="7" t="s">
        <v>71</v>
      </c>
      <c r="D106" s="6"/>
      <c r="E106" s="12">
        <f>E56+E82</f>
        <v>477158.25</v>
      </c>
      <c r="F106" s="12"/>
      <c r="G106" s="24"/>
      <c r="H106" s="5">
        <f>$AB106*G106</f>
        <v>0</v>
      </c>
      <c r="J106" s="25"/>
      <c r="K106" s="5"/>
      <c r="L106" s="1"/>
      <c r="M106" s="25"/>
      <c r="N106" s="5"/>
      <c r="P106" s="31">
        <v>5.0999999999999996</v>
      </c>
      <c r="Q106" s="5">
        <f>$E106*P106</f>
        <v>2433507.0749999997</v>
      </c>
      <c r="S106" s="31">
        <f>P106-$Q$116</f>
        <v>3.9200052958817873</v>
      </c>
      <c r="T106" s="5">
        <f>$E106*S106</f>
        <v>1870462.8669736858</v>
      </c>
      <c r="V106" s="7" t="s">
        <v>71</v>
      </c>
      <c r="W106" s="6"/>
      <c r="X106" s="12">
        <f t="shared" si="13"/>
        <v>477158.25</v>
      </c>
      <c r="Y106" s="12"/>
      <c r="Z106" s="24">
        <v>5.0999999999999996</v>
      </c>
      <c r="AA106" s="4">
        <f t="shared" ref="AA106:AA107" si="17">X106*Z106</f>
        <v>2433507.0749999997</v>
      </c>
      <c r="AB106" s="20">
        <f t="shared" ref="AB106:AB107" si="18">S106</f>
        <v>3.9200052958817873</v>
      </c>
      <c r="AC106" s="5">
        <f t="shared" ref="AC106:AC110" si="19">X106*AB106</f>
        <v>1870462.8669736858</v>
      </c>
    </row>
    <row r="107" spans="2:30" x14ac:dyDescent="0.25">
      <c r="C107" s="7" t="s">
        <v>65</v>
      </c>
      <c r="D107" s="6"/>
      <c r="E107" s="12">
        <f>E57+E83</f>
        <v>4669.8000000000011</v>
      </c>
      <c r="F107" s="12"/>
      <c r="G107" s="24"/>
      <c r="H107" s="5">
        <f>$AB107*G107</f>
        <v>0</v>
      </c>
      <c r="J107" s="25"/>
      <c r="K107" s="5"/>
      <c r="L107" s="1"/>
      <c r="M107" s="25"/>
      <c r="N107" s="5"/>
      <c r="P107" s="31">
        <v>5.0999999999999996</v>
      </c>
      <c r="Q107" s="5">
        <f>$E107*P107</f>
        <v>23815.980000000003</v>
      </c>
      <c r="S107" s="31">
        <f>P107-$Q$116</f>
        <v>3.9200052958817873</v>
      </c>
      <c r="T107" s="5">
        <f>$E107*S107</f>
        <v>18305.640730708776</v>
      </c>
      <c r="V107" s="7" t="s">
        <v>65</v>
      </c>
      <c r="W107" s="6"/>
      <c r="X107" s="12">
        <f t="shared" si="13"/>
        <v>4669.8000000000011</v>
      </c>
      <c r="Y107" s="12"/>
      <c r="Z107" s="24">
        <v>5.0999999999999996</v>
      </c>
      <c r="AA107" s="4">
        <f t="shared" si="17"/>
        <v>23815.980000000003</v>
      </c>
      <c r="AB107" s="20">
        <f t="shared" si="18"/>
        <v>3.9200052958817873</v>
      </c>
      <c r="AC107" s="5">
        <f t="shared" si="19"/>
        <v>18305.640730708776</v>
      </c>
    </row>
    <row r="108" spans="2:30" x14ac:dyDescent="0.25">
      <c r="C108" s="7"/>
      <c r="D108" s="6"/>
      <c r="E108" s="12"/>
      <c r="F108" s="12"/>
      <c r="G108" s="24"/>
      <c r="H108" s="5"/>
      <c r="J108" s="25"/>
      <c r="K108" s="5"/>
      <c r="L108" s="1"/>
      <c r="M108" s="25"/>
      <c r="N108" s="5"/>
      <c r="P108" s="31"/>
      <c r="Q108" s="5"/>
      <c r="S108" s="7"/>
      <c r="T108" s="5"/>
      <c r="V108" s="7"/>
      <c r="W108" s="6"/>
      <c r="X108" s="12"/>
      <c r="Y108" s="12"/>
      <c r="Z108" s="24"/>
      <c r="AA108" s="4"/>
      <c r="AB108" s="20"/>
      <c r="AC108" s="5">
        <f t="shared" si="19"/>
        <v>0</v>
      </c>
    </row>
    <row r="109" spans="2:30" x14ac:dyDescent="0.25">
      <c r="C109" s="7" t="s">
        <v>72</v>
      </c>
      <c r="D109" s="6"/>
      <c r="E109" s="12">
        <f>E59+E85</f>
        <v>476789.85</v>
      </c>
      <c r="F109" s="12"/>
      <c r="G109" s="24"/>
      <c r="H109" s="5">
        <f>$AB109*G109</f>
        <v>0</v>
      </c>
      <c r="J109" s="25"/>
      <c r="K109" s="5"/>
      <c r="L109" s="1"/>
      <c r="M109" s="25"/>
      <c r="N109" s="5"/>
      <c r="P109" s="31">
        <v>6.74</v>
      </c>
      <c r="Q109" s="5">
        <f>$E109*P109</f>
        <v>3213563.5890000002</v>
      </c>
      <c r="S109" s="31">
        <f>P109-$Q$116</f>
        <v>5.5600052958817878</v>
      </c>
      <c r="T109" s="5">
        <f>$E109*S109</f>
        <v>2650954.0910226833</v>
      </c>
      <c r="V109" s="7" t="s">
        <v>72</v>
      </c>
      <c r="W109" s="6"/>
      <c r="X109" s="12">
        <f t="shared" si="13"/>
        <v>476789.85</v>
      </c>
      <c r="Y109" s="12"/>
      <c r="Z109" s="24">
        <v>6.74</v>
      </c>
      <c r="AA109" s="4">
        <f t="shared" ref="AA109:AA110" si="20">X109*Z109</f>
        <v>3213563.5890000002</v>
      </c>
      <c r="AB109" s="20">
        <f t="shared" ref="AB109:AB110" si="21">S109</f>
        <v>5.5600052958817878</v>
      </c>
      <c r="AC109" s="5">
        <f t="shared" si="19"/>
        <v>2650954.0910226833</v>
      </c>
    </row>
    <row r="110" spans="2:30" x14ac:dyDescent="0.25">
      <c r="C110" s="7" t="s">
        <v>65</v>
      </c>
      <c r="D110" s="6"/>
      <c r="E110" s="12">
        <f>E60+E86</f>
        <v>4685.3999999999996</v>
      </c>
      <c r="F110" s="12"/>
      <c r="G110" s="6"/>
      <c r="H110" s="5">
        <f>$AB110*G110</f>
        <v>0</v>
      </c>
      <c r="J110" s="25"/>
      <c r="K110" s="5"/>
      <c r="L110" s="1"/>
      <c r="M110" s="25"/>
      <c r="N110" s="5"/>
      <c r="P110" s="31">
        <v>6.74</v>
      </c>
      <c r="Q110" s="5">
        <f>$E110*P110</f>
        <v>31579.595999999998</v>
      </c>
      <c r="S110" s="31">
        <f>P110-$Q$116</f>
        <v>5.5600052958817878</v>
      </c>
      <c r="T110" s="5">
        <f>$E110*S110</f>
        <v>26050.848813324526</v>
      </c>
      <c r="V110" s="7" t="s">
        <v>65</v>
      </c>
      <c r="W110" s="6"/>
      <c r="X110" s="12">
        <f t="shared" si="13"/>
        <v>4685.3999999999996</v>
      </c>
      <c r="Y110" s="12"/>
      <c r="Z110" s="24">
        <v>6.74</v>
      </c>
      <c r="AA110" s="4">
        <f t="shared" si="20"/>
        <v>31579.595999999998</v>
      </c>
      <c r="AB110" s="20">
        <f t="shared" si="21"/>
        <v>5.5600052958817878</v>
      </c>
      <c r="AC110" s="5">
        <f t="shared" si="19"/>
        <v>26050.848813324526</v>
      </c>
    </row>
    <row r="111" spans="2:30" x14ac:dyDescent="0.25">
      <c r="C111" s="7"/>
      <c r="D111" s="6"/>
      <c r="E111" s="6"/>
      <c r="F111" s="6"/>
      <c r="G111" s="6"/>
      <c r="H111" s="11"/>
      <c r="J111" s="29"/>
      <c r="K111" s="11"/>
      <c r="L111" s="1"/>
      <c r="M111" s="29"/>
      <c r="N111" s="11"/>
      <c r="P111" s="31"/>
      <c r="Q111" s="11"/>
      <c r="S111" s="31"/>
      <c r="T111" s="11"/>
      <c r="V111" s="7"/>
      <c r="W111" s="6"/>
      <c r="X111" s="6"/>
      <c r="Y111" s="6"/>
      <c r="Z111" s="6"/>
      <c r="AA111" s="4"/>
      <c r="AB111" s="6"/>
      <c r="AC111" s="11"/>
    </row>
    <row r="112" spans="2:30" ht="15.75" thickBot="1" x14ac:dyDescent="0.3">
      <c r="C112" s="9" t="s">
        <v>67</v>
      </c>
      <c r="D112" s="10"/>
      <c r="E112" s="10"/>
      <c r="F112" s="10"/>
      <c r="G112" s="10"/>
      <c r="H112" s="3">
        <f>SUM(H92:H111)</f>
        <v>13035183.034500001</v>
      </c>
      <c r="J112" s="26"/>
      <c r="K112" s="3">
        <f>SUM(K92:K111)</f>
        <v>13846946.97143</v>
      </c>
      <c r="L112" s="1"/>
      <c r="M112" s="26"/>
      <c r="N112" s="3">
        <f>SUM(N92:N111)</f>
        <v>12046946.97143</v>
      </c>
      <c r="O112" s="1">
        <f>K112-N112</f>
        <v>1800000</v>
      </c>
      <c r="P112" s="26"/>
      <c r="Q112" s="3">
        <f>SUM(Q92:Q111)</f>
        <v>14039046.062170001</v>
      </c>
      <c r="S112" s="26"/>
      <c r="T112" s="3">
        <f>SUM(T92:T111)</f>
        <v>12239046.062170001</v>
      </c>
      <c r="U112" s="1">
        <f>Q112-T112</f>
        <v>1800000</v>
      </c>
      <c r="V112" s="9" t="s">
        <v>67</v>
      </c>
      <c r="W112" s="10"/>
      <c r="X112" s="10"/>
      <c r="Y112" s="10"/>
      <c r="Z112" s="10"/>
      <c r="AA112" s="233">
        <f>SUM(AA92:AA111)</f>
        <v>14039046.062170001</v>
      </c>
      <c r="AB112" s="10"/>
      <c r="AC112" s="3">
        <f>SUM(AC92:AC111)</f>
        <v>12239046.062170001</v>
      </c>
      <c r="AD112" s="1">
        <f>AA112-AC112</f>
        <v>1800000</v>
      </c>
    </row>
    <row r="114" spans="3:20" x14ac:dyDescent="0.25">
      <c r="J114" t="s">
        <v>86</v>
      </c>
      <c r="K114" s="1">
        <v>1800000</v>
      </c>
      <c r="N114" s="1">
        <f>K112-N112</f>
        <v>1800000</v>
      </c>
      <c r="P114" t="s">
        <v>86</v>
      </c>
      <c r="Q114" s="1">
        <v>1800000</v>
      </c>
      <c r="T114" s="1">
        <f>Q112-T112</f>
        <v>1800000</v>
      </c>
    </row>
    <row r="116" spans="3:20" x14ac:dyDescent="0.25">
      <c r="K116" s="37">
        <f>K114/SUM(E96:E100)</f>
        <v>3.7385099234072778</v>
      </c>
      <c r="Q116" s="37">
        <f>Q114/(SUM(E102:E103)+SUM(E106:E107)+SUM(E109:E110))</f>
        <v>1.1799947041182126</v>
      </c>
    </row>
    <row r="117" spans="3:20" x14ac:dyDescent="0.25">
      <c r="K117" s="37"/>
      <c r="Q117" s="37"/>
    </row>
    <row r="118" spans="3:20" ht="15.75" thickBot="1" x14ac:dyDescent="0.3">
      <c r="K118" s="37"/>
      <c r="Q118" s="37"/>
    </row>
    <row r="119" spans="3:20" ht="15.75" thickBot="1" x14ac:dyDescent="0.3">
      <c r="C119" s="8"/>
      <c r="D119" s="249"/>
      <c r="E119" s="249"/>
      <c r="F119" s="250"/>
      <c r="G119" s="294" t="s">
        <v>97</v>
      </c>
      <c r="H119" s="295"/>
      <c r="I119" s="294" t="s">
        <v>98</v>
      </c>
      <c r="J119" s="295"/>
      <c r="K119" s="294" t="s">
        <v>99</v>
      </c>
      <c r="L119" s="295"/>
    </row>
    <row r="120" spans="3:20" x14ac:dyDescent="0.25">
      <c r="C120" s="7"/>
      <c r="D120" s="251" t="s">
        <v>82</v>
      </c>
      <c r="E120" s="251" t="s">
        <v>80</v>
      </c>
      <c r="F120" s="252" t="s">
        <v>81</v>
      </c>
      <c r="G120" s="280" t="s">
        <v>35</v>
      </c>
      <c r="H120" s="281"/>
      <c r="I120" s="280" t="s">
        <v>35</v>
      </c>
      <c r="J120" s="281"/>
      <c r="K120" s="245" t="s">
        <v>36</v>
      </c>
      <c r="L120" s="246"/>
    </row>
    <row r="121" spans="3:20" x14ac:dyDescent="0.25">
      <c r="C121" s="7"/>
      <c r="D121" s="6"/>
      <c r="E121" s="6"/>
      <c r="F121" s="11"/>
      <c r="G121" s="7"/>
      <c r="H121" s="11"/>
      <c r="I121" s="7"/>
      <c r="J121" s="11"/>
      <c r="K121" s="7"/>
      <c r="L121" s="11"/>
    </row>
    <row r="122" spans="3:20" x14ac:dyDescent="0.25">
      <c r="C122" s="7" t="s">
        <v>60</v>
      </c>
      <c r="D122" s="12">
        <v>1476</v>
      </c>
      <c r="E122" s="6"/>
      <c r="F122" s="11"/>
      <c r="G122" s="25">
        <v>90</v>
      </c>
      <c r="H122" s="5">
        <f>G122*D122</f>
        <v>132840</v>
      </c>
      <c r="I122" s="25">
        <v>90</v>
      </c>
      <c r="J122" s="5">
        <f>$D122*I122</f>
        <v>132840</v>
      </c>
      <c r="K122" s="31">
        <v>90</v>
      </c>
      <c r="L122" s="5">
        <f>$D122*K122</f>
        <v>132840</v>
      </c>
    </row>
    <row r="123" spans="3:20" x14ac:dyDescent="0.25">
      <c r="C123" s="7"/>
      <c r="D123" s="6"/>
      <c r="E123" s="6"/>
      <c r="F123" s="11"/>
      <c r="G123" s="25"/>
      <c r="H123" s="5"/>
      <c r="I123" s="25"/>
      <c r="J123" s="5"/>
      <c r="K123" s="31"/>
      <c r="L123" s="5"/>
    </row>
    <row r="124" spans="3:20" x14ac:dyDescent="0.25">
      <c r="C124" s="7" t="s">
        <v>61</v>
      </c>
      <c r="D124" s="6"/>
      <c r="E124" s="6"/>
      <c r="F124" s="253">
        <v>128084894</v>
      </c>
      <c r="G124" s="22">
        <v>4.0710000000000003E-2</v>
      </c>
      <c r="H124" s="5">
        <f>F124*G124</f>
        <v>5214336.03474</v>
      </c>
      <c r="I124" s="22">
        <v>4.0710000000000003E-2</v>
      </c>
      <c r="J124" s="5">
        <f>I124*$F124</f>
        <v>5214336.03474</v>
      </c>
      <c r="K124" s="30">
        <v>4.0489999999999998E-2</v>
      </c>
      <c r="L124" s="5">
        <f>$F124*K124</f>
        <v>5186157.3580599995</v>
      </c>
    </row>
    <row r="125" spans="3:20" x14ac:dyDescent="0.25">
      <c r="C125" s="7"/>
      <c r="D125" s="6"/>
      <c r="E125" s="6"/>
      <c r="F125" s="11"/>
      <c r="G125" s="25"/>
      <c r="H125" s="5"/>
      <c r="I125" s="7"/>
      <c r="J125" s="5"/>
      <c r="K125" s="22"/>
      <c r="L125" s="5"/>
    </row>
    <row r="126" spans="3:20" x14ac:dyDescent="0.25">
      <c r="C126" s="7" t="s">
        <v>64</v>
      </c>
      <c r="D126" s="6"/>
      <c r="E126" s="12">
        <v>212324.40000000002</v>
      </c>
      <c r="F126" s="11"/>
      <c r="G126" s="25">
        <v>18.399999999999999</v>
      </c>
      <c r="H126" s="5">
        <f>E126*G126</f>
        <v>3906768.96</v>
      </c>
      <c r="I126" s="25">
        <f>G126-$J$143</f>
        <v>14.530687129100276</v>
      </c>
      <c r="J126" s="5">
        <f>$E126*I126</f>
        <v>3085219.4262739387</v>
      </c>
      <c r="K126" s="25"/>
      <c r="L126" s="5"/>
    </row>
    <row r="127" spans="3:20" x14ac:dyDescent="0.25">
      <c r="C127" s="7" t="s">
        <v>65</v>
      </c>
      <c r="D127" s="6"/>
      <c r="E127" s="12">
        <v>1079.6500000000001</v>
      </c>
      <c r="F127" s="11"/>
      <c r="G127" s="25">
        <v>18.399999999999999</v>
      </c>
      <c r="H127" s="5">
        <f t="shared" ref="H127:H130" si="22">E127*G127</f>
        <v>19865.560000000001</v>
      </c>
      <c r="I127" s="25">
        <f t="shared" ref="I127:I130" si="23">G127-$J$143</f>
        <v>14.530687129100276</v>
      </c>
      <c r="J127" s="5">
        <f>$E127*I127</f>
        <v>15688.056358933114</v>
      </c>
      <c r="K127" s="25"/>
      <c r="L127" s="5"/>
    </row>
    <row r="128" spans="3:20" x14ac:dyDescent="0.25">
      <c r="C128" s="7"/>
      <c r="D128" s="6"/>
      <c r="E128" s="12"/>
      <c r="F128" s="11"/>
      <c r="G128" s="25"/>
      <c r="H128" s="5"/>
      <c r="I128" s="25"/>
      <c r="J128" s="5"/>
      <c r="K128" s="25"/>
      <c r="L128" s="5"/>
    </row>
    <row r="129" spans="3:14" x14ac:dyDescent="0.25">
      <c r="C129" s="7" t="s">
        <v>66</v>
      </c>
      <c r="D129" s="6"/>
      <c r="E129" s="12">
        <v>243283.65</v>
      </c>
      <c r="F129" s="11"/>
      <c r="G129" s="25">
        <v>15.99</v>
      </c>
      <c r="H129" s="5">
        <f t="shared" si="22"/>
        <v>3890105.5635000002</v>
      </c>
      <c r="I129" s="25">
        <f t="shared" si="23"/>
        <v>12.120687129100276</v>
      </c>
      <c r="J129" s="5">
        <f>$E129*I129</f>
        <v>2948765.0052755363</v>
      </c>
      <c r="K129" s="25"/>
      <c r="L129" s="5"/>
    </row>
    <row r="130" spans="3:14" x14ac:dyDescent="0.25">
      <c r="C130" s="7" t="s">
        <v>65</v>
      </c>
      <c r="D130" s="6"/>
      <c r="E130" s="12">
        <v>3342.2999999999997</v>
      </c>
      <c r="F130" s="11"/>
      <c r="G130" s="25">
        <v>15.99</v>
      </c>
      <c r="H130" s="5">
        <f t="shared" si="22"/>
        <v>53443.376999999993</v>
      </c>
      <c r="I130" s="25">
        <f t="shared" si="23"/>
        <v>12.120687129100276</v>
      </c>
      <c r="J130" s="5">
        <f>$E130*I130</f>
        <v>40510.972591591846</v>
      </c>
      <c r="K130" s="25"/>
      <c r="L130" s="5"/>
    </row>
    <row r="131" spans="3:14" x14ac:dyDescent="0.25">
      <c r="C131" s="7"/>
      <c r="D131" s="6"/>
      <c r="E131" s="12"/>
      <c r="F131" s="11"/>
      <c r="G131" s="7"/>
      <c r="H131" s="11"/>
      <c r="I131" s="22"/>
      <c r="J131" s="5"/>
      <c r="K131" s="22"/>
      <c r="L131" s="5"/>
    </row>
    <row r="132" spans="3:14" x14ac:dyDescent="0.25">
      <c r="C132" s="7" t="s">
        <v>68</v>
      </c>
      <c r="D132" s="6"/>
      <c r="E132" s="12">
        <v>455608.05</v>
      </c>
      <c r="F132" s="11"/>
      <c r="G132" s="7"/>
      <c r="H132" s="11"/>
      <c r="I132" s="25"/>
      <c r="J132" s="5"/>
      <c r="K132" s="31">
        <f>G152-$H$143</f>
        <v>3.3669879730465624</v>
      </c>
      <c r="L132" s="5">
        <f>$E132*K132</f>
        <v>1534026.8247731968</v>
      </c>
    </row>
    <row r="133" spans="3:14" x14ac:dyDescent="0.25">
      <c r="C133" s="7" t="s">
        <v>69</v>
      </c>
      <c r="D133" s="6"/>
      <c r="E133" s="12">
        <v>84171.725000000006</v>
      </c>
      <c r="F133" s="11"/>
      <c r="G133" s="7"/>
      <c r="H133" s="11"/>
      <c r="I133" s="25"/>
      <c r="J133" s="5"/>
      <c r="K133" s="31">
        <f>G153-$H$143</f>
        <v>3.3669879730465624</v>
      </c>
      <c r="L133" s="5">
        <f>$E133*K133</f>
        <v>283405.18574558268</v>
      </c>
    </row>
    <row r="134" spans="3:14" x14ac:dyDescent="0.25">
      <c r="C134" s="7" t="s">
        <v>70</v>
      </c>
      <c r="D134" s="6"/>
      <c r="E134" s="12">
        <v>172578.64999999997</v>
      </c>
      <c r="F134" s="11"/>
      <c r="G134" s="7"/>
      <c r="H134" s="11"/>
      <c r="I134" s="25"/>
      <c r="J134" s="5"/>
      <c r="K134" s="31"/>
      <c r="L134" s="5"/>
    </row>
    <row r="135" spans="3:14" x14ac:dyDescent="0.25">
      <c r="C135" s="7"/>
      <c r="D135" s="6"/>
      <c r="E135" s="12"/>
      <c r="F135" s="11"/>
      <c r="G135" s="7"/>
      <c r="H135" s="11"/>
      <c r="I135" s="25"/>
      <c r="J135" s="5"/>
      <c r="K135" s="31"/>
      <c r="L135" s="5"/>
    </row>
    <row r="136" spans="3:14" x14ac:dyDescent="0.25">
      <c r="C136" s="7" t="s">
        <v>71</v>
      </c>
      <c r="D136" s="6"/>
      <c r="E136" s="12">
        <v>455608.05</v>
      </c>
      <c r="F136" s="11"/>
      <c r="G136" s="7"/>
      <c r="H136" s="11"/>
      <c r="I136" s="25"/>
      <c r="J136" s="5"/>
      <c r="K136" s="31">
        <f>G156-$H$143</f>
        <v>3.8669879730465624</v>
      </c>
      <c r="L136" s="5">
        <f>$E136*K136</f>
        <v>1761830.8497731967</v>
      </c>
    </row>
    <row r="137" spans="3:14" x14ac:dyDescent="0.25">
      <c r="C137" s="7" t="s">
        <v>65</v>
      </c>
      <c r="D137" s="6"/>
      <c r="E137" s="12">
        <v>4421.9500000000007</v>
      </c>
      <c r="F137" s="11"/>
      <c r="G137" s="7"/>
      <c r="H137" s="11"/>
      <c r="I137" s="25"/>
      <c r="J137" s="5"/>
      <c r="K137" s="31">
        <f>G157-$H$143</f>
        <v>3.8669879730465624</v>
      </c>
      <c r="L137" s="5">
        <f>$E137*K137</f>
        <v>17099.627467413251</v>
      </c>
    </row>
    <row r="138" spans="3:14" x14ac:dyDescent="0.25">
      <c r="C138" s="7"/>
      <c r="D138" s="6"/>
      <c r="E138" s="12"/>
      <c r="F138" s="11"/>
      <c r="G138" s="7"/>
      <c r="H138" s="11"/>
      <c r="I138" s="25"/>
      <c r="J138" s="5"/>
      <c r="K138" s="31"/>
      <c r="L138" s="5"/>
    </row>
    <row r="139" spans="3:14" x14ac:dyDescent="0.25">
      <c r="C139" s="7" t="s">
        <v>72</v>
      </c>
      <c r="D139" s="6"/>
      <c r="E139" s="12">
        <v>455608.05</v>
      </c>
      <c r="F139" s="11"/>
      <c r="G139" s="7"/>
      <c r="H139" s="11"/>
      <c r="I139" s="25"/>
      <c r="J139" s="5"/>
      <c r="K139" s="31">
        <f>G159-$H$143</f>
        <v>5.506987973046563</v>
      </c>
      <c r="L139" s="5">
        <f>$E139*K139</f>
        <v>2509028.051773197</v>
      </c>
    </row>
    <row r="140" spans="3:14" x14ac:dyDescent="0.25">
      <c r="C140" s="7" t="s">
        <v>65</v>
      </c>
      <c r="D140" s="6"/>
      <c r="E140" s="12">
        <v>4421.95</v>
      </c>
      <c r="F140" s="11"/>
      <c r="G140" s="7"/>
      <c r="H140" s="11"/>
      <c r="I140" s="25"/>
      <c r="J140" s="5"/>
      <c r="K140" s="31">
        <f>G160-$H$143</f>
        <v>5.506987973046563</v>
      </c>
      <c r="L140" s="5">
        <f>$E140*K140</f>
        <v>24351.625467413247</v>
      </c>
    </row>
    <row r="141" spans="3:14" x14ac:dyDescent="0.25">
      <c r="C141" s="7"/>
      <c r="D141" s="6"/>
      <c r="E141" s="6"/>
      <c r="F141" s="11"/>
      <c r="G141" s="7"/>
      <c r="H141" s="11"/>
      <c r="I141" s="29"/>
      <c r="J141" s="11"/>
      <c r="K141" s="31"/>
      <c r="L141" s="11"/>
    </row>
    <row r="142" spans="3:14" ht="15.75" thickBot="1" x14ac:dyDescent="0.3">
      <c r="C142" s="9" t="s">
        <v>67</v>
      </c>
      <c r="D142" s="10"/>
      <c r="E142" s="10"/>
      <c r="F142" s="254"/>
      <c r="G142" s="26"/>
      <c r="H142" s="3">
        <f>SUM(H122:H141)</f>
        <v>13217359.495240001</v>
      </c>
      <c r="I142" s="26"/>
      <c r="J142" s="3">
        <f>SUM(J122:J141)</f>
        <v>11437359.495240001</v>
      </c>
      <c r="K142" s="26"/>
      <c r="L142" s="3">
        <f>SUM(L122:L141)</f>
        <v>11448739.52306</v>
      </c>
      <c r="N142" s="1">
        <f>H142-L142</f>
        <v>1768619.9721800014</v>
      </c>
    </row>
    <row r="143" spans="3:14" x14ac:dyDescent="0.25">
      <c r="G143" s="4">
        <v>1800000</v>
      </c>
      <c r="H143" s="37">
        <f>G143/(SUM(E132:E133)+SUM(E136:E137)+SUM(E139:E140))</f>
        <v>1.2330120269534375</v>
      </c>
      <c r="I143" s="1">
        <v>1780000</v>
      </c>
      <c r="J143" s="244">
        <f>I143/SUM(E126:E130)</f>
        <v>3.8693128708997238</v>
      </c>
      <c r="L143" s="1"/>
    </row>
    <row r="144" spans="3:14" ht="15.75" thickBot="1" x14ac:dyDescent="0.3"/>
    <row r="145" spans="3:12" x14ac:dyDescent="0.25">
      <c r="C145" s="8"/>
      <c r="D145" s="249"/>
      <c r="E145" s="249"/>
      <c r="F145" s="250"/>
      <c r="G145" s="292" t="s">
        <v>100</v>
      </c>
      <c r="H145" s="293"/>
      <c r="J145" s="1"/>
      <c r="K145" s="280" t="s">
        <v>99</v>
      </c>
      <c r="L145" s="281"/>
    </row>
    <row r="146" spans="3:12" x14ac:dyDescent="0.25">
      <c r="C146" s="7"/>
      <c r="D146" s="251" t="s">
        <v>82</v>
      </c>
      <c r="E146" s="251" t="s">
        <v>80</v>
      </c>
      <c r="F146" s="252" t="s">
        <v>81</v>
      </c>
      <c r="G146" s="290" t="s">
        <v>36</v>
      </c>
      <c r="H146" s="291"/>
      <c r="K146" s="290" t="s">
        <v>36</v>
      </c>
      <c r="L146" s="291"/>
    </row>
    <row r="147" spans="3:12" x14ac:dyDescent="0.25">
      <c r="C147" s="7"/>
      <c r="D147" s="6"/>
      <c r="E147" s="6"/>
      <c r="F147" s="11"/>
      <c r="G147" s="7"/>
      <c r="H147" s="11"/>
      <c r="K147" s="7"/>
      <c r="L147" s="11"/>
    </row>
    <row r="148" spans="3:12" x14ac:dyDescent="0.25">
      <c r="C148" s="7" t="s">
        <v>60</v>
      </c>
      <c r="D148" s="12">
        <v>1536</v>
      </c>
      <c r="E148" s="12"/>
      <c r="F148" s="253"/>
      <c r="G148" s="31">
        <v>200</v>
      </c>
      <c r="H148" s="5">
        <f>$D148*G148</f>
        <v>307200</v>
      </c>
      <c r="K148" s="25">
        <v>200</v>
      </c>
      <c r="L148" s="5">
        <v>307200</v>
      </c>
    </row>
    <row r="149" spans="3:12" x14ac:dyDescent="0.25">
      <c r="C149" s="7"/>
      <c r="D149" s="12"/>
      <c r="E149" s="12"/>
      <c r="F149" s="253"/>
      <c r="G149" s="31"/>
      <c r="H149" s="5"/>
      <c r="K149" s="25"/>
      <c r="L149" s="5"/>
    </row>
    <row r="150" spans="3:12" x14ac:dyDescent="0.25">
      <c r="C150" s="7" t="s">
        <v>61</v>
      </c>
      <c r="D150" s="12"/>
      <c r="E150" s="12"/>
      <c r="F150" s="253">
        <v>134442933</v>
      </c>
      <c r="G150" s="30">
        <v>4.0489999999999998E-2</v>
      </c>
      <c r="H150" s="5">
        <f>$F150*G150</f>
        <v>5443594.3571699997</v>
      </c>
      <c r="K150" s="22">
        <v>4.0489999999999998E-2</v>
      </c>
      <c r="L150" s="5">
        <v>5443594.3571699997</v>
      </c>
    </row>
    <row r="151" spans="3:12" x14ac:dyDescent="0.25">
      <c r="C151" s="7"/>
      <c r="D151" s="12"/>
      <c r="E151" s="12"/>
      <c r="F151" s="253"/>
      <c r="G151" s="7"/>
      <c r="H151" s="5"/>
      <c r="K151" s="25"/>
      <c r="L151" s="5"/>
    </row>
    <row r="152" spans="3:12" x14ac:dyDescent="0.25">
      <c r="C152" s="7" t="s">
        <v>68</v>
      </c>
      <c r="D152" s="12"/>
      <c r="E152" s="12">
        <v>477260.05</v>
      </c>
      <c r="F152" s="253"/>
      <c r="G152" s="25">
        <v>4.5999999999999996</v>
      </c>
      <c r="H152" s="5">
        <f>$E152*G152</f>
        <v>2195396.23</v>
      </c>
      <c r="K152" s="25">
        <f>G152-$I$163</f>
        <v>3.4200052958817873</v>
      </c>
      <c r="L152" s="5">
        <v>1632231.8985128065</v>
      </c>
    </row>
    <row r="153" spans="3:12" x14ac:dyDescent="0.25">
      <c r="C153" s="7" t="s">
        <v>69</v>
      </c>
      <c r="D153" s="12"/>
      <c r="E153" s="12">
        <v>84867.225000000006</v>
      </c>
      <c r="F153" s="253"/>
      <c r="G153" s="25">
        <v>4.5999999999999996</v>
      </c>
      <c r="H153" s="5">
        <f>$E153*G153</f>
        <v>390389.23499999999</v>
      </c>
      <c r="K153" s="25">
        <f>G153-$I$163</f>
        <v>3.4200052958817873</v>
      </c>
      <c r="L153" s="5">
        <v>290246.35894679121</v>
      </c>
    </row>
    <row r="154" spans="3:12" x14ac:dyDescent="0.25">
      <c r="C154" s="7" t="s">
        <v>70</v>
      </c>
      <c r="D154" s="12"/>
      <c r="E154" s="12">
        <v>177171.84999999998</v>
      </c>
      <c r="F154" s="253"/>
      <c r="G154" s="25"/>
      <c r="H154" s="5"/>
      <c r="K154" s="25"/>
      <c r="L154" s="5"/>
    </row>
    <row r="155" spans="3:12" x14ac:dyDescent="0.25">
      <c r="C155" s="7"/>
      <c r="D155" s="12"/>
      <c r="E155" s="12"/>
      <c r="F155" s="253"/>
      <c r="G155" s="25"/>
      <c r="H155" s="5"/>
      <c r="K155" s="25"/>
      <c r="L155" s="5"/>
    </row>
    <row r="156" spans="3:12" x14ac:dyDescent="0.25">
      <c r="C156" s="7" t="s">
        <v>71</v>
      </c>
      <c r="D156" s="12"/>
      <c r="E156" s="12">
        <v>477158.25</v>
      </c>
      <c r="F156" s="253"/>
      <c r="G156" s="25">
        <v>5.0999999999999996</v>
      </c>
      <c r="H156" s="5">
        <f>$E156*G156</f>
        <v>2433507.0749999997</v>
      </c>
      <c r="K156" s="25">
        <f>G156-$I$163</f>
        <v>3.9200052958817873</v>
      </c>
      <c r="L156" s="5">
        <v>1870462.8669736858</v>
      </c>
    </row>
    <row r="157" spans="3:12" x14ac:dyDescent="0.25">
      <c r="C157" s="7" t="s">
        <v>65</v>
      </c>
      <c r="D157" s="12"/>
      <c r="E157" s="12">
        <v>4669.8000000000011</v>
      </c>
      <c r="F157" s="253"/>
      <c r="G157" s="25">
        <v>5.0999999999999996</v>
      </c>
      <c r="H157" s="5">
        <f>$E157*G157</f>
        <v>23815.980000000003</v>
      </c>
      <c r="K157" s="25">
        <f>G157-$I$163</f>
        <v>3.9200052958817873</v>
      </c>
      <c r="L157" s="5">
        <v>18305.640730708776</v>
      </c>
    </row>
    <row r="158" spans="3:12" x14ac:dyDescent="0.25">
      <c r="C158" s="7"/>
      <c r="D158" s="6"/>
      <c r="E158" s="6"/>
      <c r="F158" s="11"/>
      <c r="G158" s="25"/>
      <c r="H158" s="5"/>
      <c r="K158" s="25"/>
      <c r="L158" s="5"/>
    </row>
    <row r="159" spans="3:12" x14ac:dyDescent="0.25">
      <c r="C159" s="7" t="s">
        <v>72</v>
      </c>
      <c r="D159" s="6"/>
      <c r="E159" s="255">
        <v>476789.85</v>
      </c>
      <c r="F159" s="11"/>
      <c r="G159" s="25">
        <v>6.74</v>
      </c>
      <c r="H159" s="5">
        <f>$E159*G159</f>
        <v>3213563.5890000002</v>
      </c>
      <c r="K159" s="25">
        <f>G159-$I$163</f>
        <v>5.5600052958817878</v>
      </c>
      <c r="L159" s="5">
        <v>2650954.0910226833</v>
      </c>
    </row>
    <row r="160" spans="3:12" x14ac:dyDescent="0.25">
      <c r="C160" s="7" t="s">
        <v>65</v>
      </c>
      <c r="D160" s="6"/>
      <c r="E160" s="255">
        <v>4685.3999999999996</v>
      </c>
      <c r="F160" s="11"/>
      <c r="G160" s="25">
        <v>6.74</v>
      </c>
      <c r="H160" s="5">
        <f>$E160*G160</f>
        <v>31579.595999999998</v>
      </c>
      <c r="K160" s="25">
        <f>G160-$I$163</f>
        <v>5.5600052958817878</v>
      </c>
      <c r="L160" s="5">
        <v>26050.848813324526</v>
      </c>
    </row>
    <row r="161" spans="3:13" x14ac:dyDescent="0.25">
      <c r="C161" s="7"/>
      <c r="D161" s="6"/>
      <c r="E161" s="6"/>
      <c r="F161" s="11"/>
      <c r="G161" s="7"/>
      <c r="H161" s="11"/>
      <c r="K161" s="7"/>
      <c r="L161" s="5"/>
    </row>
    <row r="162" spans="3:13" ht="15.75" thickBot="1" x14ac:dyDescent="0.3">
      <c r="C162" s="9" t="s">
        <v>67</v>
      </c>
      <c r="D162" s="10"/>
      <c r="E162" s="10"/>
      <c r="F162" s="254"/>
      <c r="G162" s="9"/>
      <c r="H162" s="3">
        <f>SUM(H148:H161)</f>
        <v>14039046.062170001</v>
      </c>
      <c r="K162" s="9"/>
      <c r="L162" s="3">
        <v>12239046.062170001</v>
      </c>
      <c r="M162" s="1">
        <f>H162-L162</f>
        <v>1800000</v>
      </c>
    </row>
    <row r="163" spans="3:13" x14ac:dyDescent="0.25">
      <c r="H163" s="1">
        <v>1800000</v>
      </c>
      <c r="I163" s="256">
        <f>H163/(SUM(E152:E153)+SUM(E156:E157)+SUM(E159:E160))</f>
        <v>1.1799947041182126</v>
      </c>
    </row>
  </sheetData>
  <mergeCells count="47">
    <mergeCell ref="J1:L1"/>
    <mergeCell ref="M1:N1"/>
    <mergeCell ref="O1:Q1"/>
    <mergeCell ref="R1:S1"/>
    <mergeCell ref="E2:I2"/>
    <mergeCell ref="J2:L2"/>
    <mergeCell ref="M2:N2"/>
    <mergeCell ref="O2:Q2"/>
    <mergeCell ref="R2:S2"/>
    <mergeCell ref="J10:K10"/>
    <mergeCell ref="M10:N10"/>
    <mergeCell ref="P10:Q10"/>
    <mergeCell ref="S10:T10"/>
    <mergeCell ref="G14:H14"/>
    <mergeCell ref="J14:K14"/>
    <mergeCell ref="M14:N14"/>
    <mergeCell ref="AB40:AC40"/>
    <mergeCell ref="G66:H66"/>
    <mergeCell ref="J66:K66"/>
    <mergeCell ref="M66:N66"/>
    <mergeCell ref="P66:Q66"/>
    <mergeCell ref="S66:T66"/>
    <mergeCell ref="Z66:AA66"/>
    <mergeCell ref="AB66:AC66"/>
    <mergeCell ref="G40:H40"/>
    <mergeCell ref="J40:K40"/>
    <mergeCell ref="M40:N40"/>
    <mergeCell ref="P40:Q40"/>
    <mergeCell ref="S40:T40"/>
    <mergeCell ref="Z40:AA40"/>
    <mergeCell ref="B102:B103"/>
    <mergeCell ref="I119:J119"/>
    <mergeCell ref="K119:L119"/>
    <mergeCell ref="I120:J120"/>
    <mergeCell ref="G119:H119"/>
    <mergeCell ref="G120:H120"/>
    <mergeCell ref="G146:H146"/>
    <mergeCell ref="K146:L146"/>
    <mergeCell ref="K145:L145"/>
    <mergeCell ref="G145:H145"/>
    <mergeCell ref="AB90:AC90"/>
    <mergeCell ref="G90:H90"/>
    <mergeCell ref="J90:K90"/>
    <mergeCell ref="M90:N90"/>
    <mergeCell ref="P90:Q90"/>
    <mergeCell ref="S90:T90"/>
    <mergeCell ref="Z90:AA90"/>
  </mergeCells>
  <pageMargins left="0.7" right="0.7" top="0.75" bottom="0.75" header="0.3" footer="0.3"/>
  <pageSetup scale="50" orientation="landscape" r:id="rId1"/>
  <rowBreaks count="1" manualBreakCount="1">
    <brk id="62" max="16383" man="1"/>
  </rowBreaks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Billing Data</vt:lpstr>
      <vt:lpstr>Rate Design</vt:lpstr>
      <vt:lpstr>'Billing Data'!Print_Area</vt:lpstr>
      <vt:lpstr>'Rate Design'!Print_Titles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Willhite, Ron - KSBA</dc:creator>
  <cp:lastModifiedBy>Willhite, Ron - KSBA</cp:lastModifiedBy>
  <cp:lastPrinted>2017-04-11T22:44:34Z</cp:lastPrinted>
  <dcterms:created xsi:type="dcterms:W3CDTF">2017-01-31T02:49:51Z</dcterms:created>
  <dcterms:modified xsi:type="dcterms:W3CDTF">2017-04-14T14:05:31Z</dcterms:modified>
</cp:coreProperties>
</file>