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/>
  <bookViews>
    <workbookView xWindow="0" yWindow="0" windowWidth="24000" windowHeight="9135" tabRatio="601" activeTab="1"/>
  </bookViews>
  <sheets>
    <sheet name="Functional Assignment" sheetId="1" r:id="rId1"/>
    <sheet name="Allocation" sheetId="2" r:id="rId2"/>
    <sheet name="Summary of Returns" sheetId="4" r:id="rId3"/>
    <sheet name="Billing Det" sheetId="5" r:id="rId4"/>
    <sheet name="Meters" sheetId="7" r:id="rId5"/>
    <sheet name="RS" sheetId="14" r:id="rId6"/>
    <sheet name="Services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\" hidden="1">#REF!</definedName>
    <definedName name="\\\" hidden="1">#REF!</definedName>
    <definedName name="\\\\" hidden="1">#REF!</definedName>
    <definedName name="\C" localSheetId="5">#REF!</definedName>
    <definedName name="\C">#REF!</definedName>
    <definedName name="\D">#REF!</definedName>
    <definedName name="\E" localSheetId="5">#REF!</definedName>
    <definedName name="\E">#REF!</definedName>
    <definedName name="\M">#REF!</definedName>
    <definedName name="\P">[1]dbase!#REF!</definedName>
    <definedName name="\R" localSheetId="5">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Allocation!$D$2:$E$1240</definedName>
    <definedName name="_xlnm._FilterDatabase" localSheetId="0" hidden="1">'Functional Assignment'!$C$2:$D$669</definedName>
    <definedName name="_may1">#REF!</definedName>
    <definedName name="_Order1" hidden="1">0</definedName>
    <definedName name="_Order2" hidden="1">0</definedName>
    <definedName name="_P" localSheetId="5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 localSheetId="5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5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 localSheetId="5">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 localSheetId="5">RS!Choices_Wrapper</definedName>
    <definedName name="Choices_Wrapper">[0]!Choices_Wrapper</definedName>
    <definedName name="CM" localSheetId="5">#REF!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 localSheetId="5">RS!Comp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 localSheetId="5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 localSheetId="5">#REF!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 localSheetId="5">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 localSheetId="5">#REF!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 localSheetId="5">#REF!</definedName>
    <definedName name="PAGE">#REF!</definedName>
    <definedName name="PAGE10" localSheetId="5">#REF!</definedName>
    <definedName name="PAGE10">#REF!</definedName>
    <definedName name="PAGE1B">[2]d20!#REF!</definedName>
    <definedName name="PAGE7" localSheetId="5">#REF!</definedName>
    <definedName name="PAGE7">#REF!</definedName>
    <definedName name="page8" localSheetId="5">#REF!</definedName>
    <definedName name="page8">#REF!</definedName>
    <definedName name="PAGE9" localSheetId="5">#REF!</definedName>
    <definedName name="PAGE9">#REF!</definedName>
    <definedName name="PgFERC_449">#REF!</definedName>
    <definedName name="Plan">#REF!</definedName>
    <definedName name="_xlnm.Print_Area" localSheetId="1">Allocation!$A$1:$U$1102</definedName>
    <definedName name="_xlnm.Print_Area" localSheetId="3">'Billing Det'!$A$1:$D$32</definedName>
    <definedName name="_xlnm.Print_Area" localSheetId="0">'Functional Assignment'!$A$1:$AE$669</definedName>
    <definedName name="_xlnm.Print_Area" localSheetId="5">RS!$A$1:$K$57</definedName>
    <definedName name="_xlnm.Print_Area" localSheetId="2">'Summary of Returns'!$A$1:$G$67</definedName>
    <definedName name="_xlnm.Print_Titles" localSheetId="1">Allocation!$A:$E,Allocation!$2:$4</definedName>
    <definedName name="_xlnm.Print_Titles" localSheetId="3">'Billing Det'!$A:$A,'Billing Det'!$31:$32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 localSheetId="5">#REF!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5">#REF!</definedName>
    <definedName name="RevCol01B">[12]RevDatabase!#REF!</definedName>
    <definedName name="RevCol02">#REF!</definedName>
    <definedName name="RevCol02A">#REF!</definedName>
    <definedName name="RevCol02B" localSheetId="5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5">#REF!</definedName>
    <definedName name="RevColTmp">[12]RevDatabase!#REF!</definedName>
    <definedName name="RevColTmpA" localSheetId="5">#REF!</definedName>
    <definedName name="RevColTmpA">[12]RevDatabase!#REF!</definedName>
    <definedName name="RevColTmpB" localSheetId="5">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 localSheetId="5">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 localSheetId="5">#REF!</definedName>
    <definedName name="Support">#REF!</definedName>
    <definedName name="SUPPORT5" localSheetId="5">#REF!</definedName>
    <definedName name="SUPPORT5">#REF!</definedName>
    <definedName name="SUPPORT6" localSheetId="5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 localSheetId="5">RS!test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5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 localSheetId="5">#REF!</definedName>
    <definedName name="YTD">#REF!</definedName>
  </definedNames>
  <calcPr calcId="125725" iterateCount="10000" iterateDelta="1.0000000000000001E-5"/>
</workbook>
</file>

<file path=xl/calcChain.xml><?xml version="1.0" encoding="utf-8"?>
<calcChain xmlns="http://schemas.openxmlformats.org/spreadsheetml/2006/main">
  <c r="P1102" i="2"/>
  <c r="P1100" s="1"/>
  <c r="F1100" s="1"/>
  <c r="F1102" l="1"/>
  <c r="K55" i="14"/>
  <c r="E58" l="1"/>
  <c r="H58" l="1"/>
  <c r="G1041" i="2" l="1"/>
  <c r="F846" l="1"/>
  <c r="E893"/>
  <c r="E892"/>
  <c r="E31" i="5" l="1"/>
  <c r="S1070" i="2" l="1"/>
  <c r="H1077"/>
  <c r="U1077"/>
  <c r="T1077"/>
  <c r="S1077"/>
  <c r="R1077"/>
  <c r="Q1077"/>
  <c r="P1077"/>
  <c r="O1077"/>
  <c r="N1077"/>
  <c r="K1077"/>
  <c r="J1077"/>
  <c r="F703"/>
  <c r="F813" l="1"/>
  <c r="F722"/>
  <c r="F112" i="1" l="1"/>
  <c r="F103"/>
  <c r="R1033" i="2" l="1"/>
  <c r="Q1033"/>
  <c r="P1033"/>
  <c r="O1033"/>
  <c r="N1033"/>
  <c r="K1033"/>
  <c r="J1033"/>
  <c r="H1033"/>
  <c r="G1033"/>
  <c r="E868" l="1"/>
  <c r="F577" i="1" l="1"/>
  <c r="F600" l="1"/>
  <c r="F327"/>
  <c r="F101" l="1"/>
  <c r="F104"/>
  <c r="F102"/>
  <c r="F64"/>
  <c r="F65"/>
  <c r="F77"/>
  <c r="F62"/>
  <c r="F60"/>
  <c r="F40"/>
  <c r="F39"/>
  <c r="F38"/>
  <c r="F30" i="5" l="1"/>
  <c r="F28"/>
  <c r="F26"/>
  <c r="F24"/>
  <c r="F22"/>
  <c r="F20"/>
  <c r="F18"/>
  <c r="F16"/>
  <c r="F14"/>
  <c r="F12"/>
  <c r="F10"/>
  <c r="D8"/>
  <c r="F8" s="1"/>
  <c r="S1025" i="2" l="1"/>
  <c r="B30" i="5"/>
  <c r="B28"/>
  <c r="B26"/>
  <c r="B24"/>
  <c r="B22"/>
  <c r="B20"/>
  <c r="B18"/>
  <c r="B16"/>
  <c r="B14"/>
  <c r="B12"/>
  <c r="B10"/>
  <c r="B8"/>
  <c r="C14"/>
  <c r="C10"/>
  <c r="C8"/>
  <c r="H632" i="1" l="1"/>
  <c r="N1097" i="2" l="1"/>
  <c r="G30" i="5"/>
  <c r="U1033" i="2" s="1"/>
  <c r="G28" i="5"/>
  <c r="T1033" i="2" s="1"/>
  <c r="G26" i="5"/>
  <c r="S1033" i="2" s="1"/>
  <c r="G1036"/>
  <c r="N1034"/>
  <c r="N1010"/>
  <c r="N1006"/>
  <c r="N1005"/>
  <c r="C24" i="7"/>
  <c r="H1006" i="2"/>
  <c r="H1005"/>
  <c r="H1010"/>
  <c r="H1034"/>
  <c r="H1035"/>
  <c r="H1036"/>
  <c r="H30" i="5"/>
  <c r="H28"/>
  <c r="H26"/>
  <c r="H24"/>
  <c r="H22"/>
  <c r="H20"/>
  <c r="H18"/>
  <c r="H16"/>
  <c r="H14"/>
  <c r="H12"/>
  <c r="H10"/>
  <c r="H8"/>
  <c r="H1007" i="2" l="1"/>
  <c r="AA1033"/>
  <c r="AB1033" s="1"/>
  <c r="F465" i="1"/>
  <c r="W619" l="1"/>
  <c r="V619"/>
  <c r="U619"/>
  <c r="T619"/>
  <c r="W617"/>
  <c r="V617"/>
  <c r="U617"/>
  <c r="T617"/>
  <c r="F255" l="1"/>
  <c r="F254"/>
  <c r="F238"/>
  <c r="F236"/>
  <c r="F232"/>
  <c r="F235"/>
  <c r="F231"/>
  <c r="F229"/>
  <c r="F228"/>
  <c r="F227"/>
  <c r="F107" l="1"/>
  <c r="F48"/>
  <c r="F35"/>
  <c r="F29"/>
  <c r="F50" l="1"/>
  <c r="F116" l="1"/>
  <c r="N1051" i="2" l="1"/>
  <c r="E935"/>
  <c r="U1035"/>
  <c r="T1035"/>
  <c r="S1035"/>
  <c r="K1035"/>
  <c r="G1035"/>
  <c r="J1030"/>
  <c r="L1030"/>
  <c r="M1030"/>
  <c r="N1030"/>
  <c r="P1030"/>
  <c r="Q1030"/>
  <c r="R1030"/>
  <c r="A42" i="4"/>
  <c r="A65" s="1"/>
  <c r="A43"/>
  <c r="A66" s="1"/>
  <c r="A33"/>
  <c r="A56" s="1"/>
  <c r="A34"/>
  <c r="A57" s="1"/>
  <c r="A35"/>
  <c r="A58" s="1"/>
  <c r="A36"/>
  <c r="A59" s="1"/>
  <c r="A37"/>
  <c r="A60" s="1"/>
  <c r="A38"/>
  <c r="A61" s="1"/>
  <c r="A39"/>
  <c r="A62" s="1"/>
  <c r="A40"/>
  <c r="A63" s="1"/>
  <c r="A41"/>
  <c r="A64" s="1"/>
  <c r="A32"/>
  <c r="A55" s="1"/>
  <c r="AA768" i="2"/>
  <c r="AB768" s="1"/>
  <c r="T1005"/>
  <c r="S1005"/>
  <c r="R1005"/>
  <c r="P1005"/>
  <c r="O1005"/>
  <c r="V618" i="1"/>
  <c r="U618"/>
  <c r="Q1005" i="2"/>
  <c r="S1010"/>
  <c r="S1011" s="1"/>
  <c r="S1014" s="1"/>
  <c r="AA1014" s="1"/>
  <c r="AB1014" s="1"/>
  <c r="D30" i="8"/>
  <c r="E30" s="1"/>
  <c r="Q1010" i="2"/>
  <c r="Q1011" s="1"/>
  <c r="D22" i="8"/>
  <c r="E22" s="1"/>
  <c r="D20"/>
  <c r="E20" s="1"/>
  <c r="O1035" i="2"/>
  <c r="O1044"/>
  <c r="L1011"/>
  <c r="L1012" s="1"/>
  <c r="L1013" s="1"/>
  <c r="J1005"/>
  <c r="D14" i="7"/>
  <c r="E14" s="1"/>
  <c r="K1010" i="2"/>
  <c r="I1011"/>
  <c r="I1022" s="1"/>
  <c r="I1029" s="1"/>
  <c r="U1005"/>
  <c r="G1010"/>
  <c r="G1011" s="1"/>
  <c r="G1022" s="1"/>
  <c r="T1044"/>
  <c r="N1044"/>
  <c r="L1044"/>
  <c r="T1051"/>
  <c r="I1051"/>
  <c r="H1051"/>
  <c r="G1044"/>
  <c r="G1051"/>
  <c r="T1036"/>
  <c r="T1034"/>
  <c r="K1034"/>
  <c r="J1034"/>
  <c r="G1034"/>
  <c r="J1044"/>
  <c r="J1051"/>
  <c r="V954"/>
  <c r="Z866"/>
  <c r="Y866"/>
  <c r="X866"/>
  <c r="W866"/>
  <c r="V866"/>
  <c r="U866"/>
  <c r="T866"/>
  <c r="S866"/>
  <c r="R866"/>
  <c r="Q866"/>
  <c r="P866"/>
  <c r="O866"/>
  <c r="N866"/>
  <c r="M866"/>
  <c r="L866"/>
  <c r="K866"/>
  <c r="J866"/>
  <c r="I866"/>
  <c r="H866"/>
  <c r="G866"/>
  <c r="F866"/>
  <c r="M784"/>
  <c r="V1007"/>
  <c r="V1058" s="1"/>
  <c r="W1007"/>
  <c r="W1058" s="1"/>
  <c r="M1044"/>
  <c r="M1051"/>
  <c r="O1006"/>
  <c r="C32" i="7"/>
  <c r="C30"/>
  <c r="F130" i="1"/>
  <c r="U1044" i="2"/>
  <c r="S1044"/>
  <c r="R1044"/>
  <c r="Q1044"/>
  <c r="P1044"/>
  <c r="U1051"/>
  <c r="S1051"/>
  <c r="R1051"/>
  <c r="Q1051"/>
  <c r="P1051"/>
  <c r="U1036"/>
  <c r="S1036"/>
  <c r="U1034"/>
  <c r="S1034"/>
  <c r="R1034"/>
  <c r="Q1034"/>
  <c r="V1080"/>
  <c r="W1080"/>
  <c r="X1080"/>
  <c r="Y1080"/>
  <c r="Z1080"/>
  <c r="E37" i="7"/>
  <c r="D30"/>
  <c r="D18"/>
  <c r="E18" s="1"/>
  <c r="D16"/>
  <c r="E16" s="1"/>
  <c r="D10"/>
  <c r="E10" s="1"/>
  <c r="D18" i="8"/>
  <c r="E18" s="1"/>
  <c r="D16"/>
  <c r="E16" s="1"/>
  <c r="D10"/>
  <c r="E10" s="1"/>
  <c r="E37"/>
  <c r="F783" i="2"/>
  <c r="I632" i="1"/>
  <c r="J632"/>
  <c r="F643"/>
  <c r="W618"/>
  <c r="AF617"/>
  <c r="AG617" s="1"/>
  <c r="O1051" i="2"/>
  <c r="O1034"/>
  <c r="O784"/>
  <c r="E2"/>
  <c r="F2" s="1"/>
  <c r="G2" s="1"/>
  <c r="F778"/>
  <c r="F779"/>
  <c r="G784"/>
  <c r="H784"/>
  <c r="I784"/>
  <c r="J784"/>
  <c r="K784"/>
  <c r="L784"/>
  <c r="N784"/>
  <c r="Q784"/>
  <c r="R784"/>
  <c r="S784"/>
  <c r="T784"/>
  <c r="U784"/>
  <c r="V784"/>
  <c r="W784"/>
  <c r="X784"/>
  <c r="Y784"/>
  <c r="Z784"/>
  <c r="F819"/>
  <c r="F902" s="1"/>
  <c r="AA891"/>
  <c r="AB891" s="1"/>
  <c r="Z948"/>
  <c r="G1006"/>
  <c r="J1006"/>
  <c r="K1006"/>
  <c r="L1007"/>
  <c r="L1058" s="1"/>
  <c r="P1006"/>
  <c r="Q1006"/>
  <c r="Q1007" s="1"/>
  <c r="R1006"/>
  <c r="R1007" s="1"/>
  <c r="S1006"/>
  <c r="T1006"/>
  <c r="U1006"/>
  <c r="U1007" s="1"/>
  <c r="V1011"/>
  <c r="V1012" s="1"/>
  <c r="V1013" s="1"/>
  <c r="W1011"/>
  <c r="W1012" s="1"/>
  <c r="W1015" s="1"/>
  <c r="X1011"/>
  <c r="X1012" s="1"/>
  <c r="X1013" s="1"/>
  <c r="X1015" s="1"/>
  <c r="Y1011"/>
  <c r="Y1012" s="1"/>
  <c r="Y1013" s="1"/>
  <c r="Y1015" s="1"/>
  <c r="Z1011"/>
  <c r="Z1012" s="1"/>
  <c r="Z1013" s="1"/>
  <c r="Z1015" s="1"/>
  <c r="X1018"/>
  <c r="Y1018"/>
  <c r="Z1018"/>
  <c r="V1023"/>
  <c r="V1024" s="1"/>
  <c r="W1023"/>
  <c r="W1024" s="1"/>
  <c r="X1023"/>
  <c r="X1024" s="1"/>
  <c r="X1026" s="1"/>
  <c r="Y1023"/>
  <c r="Y1024" s="1"/>
  <c r="Y1026" s="1"/>
  <c r="Z1023"/>
  <c r="Z1024" s="1"/>
  <c r="Z1026" s="1"/>
  <c r="V1029"/>
  <c r="W1029"/>
  <c r="X1029"/>
  <c r="Y1029"/>
  <c r="Z1029"/>
  <c r="F1044"/>
  <c r="V1044"/>
  <c r="W1044"/>
  <c r="X1044"/>
  <c r="Y1044"/>
  <c r="Z1044"/>
  <c r="AA1046"/>
  <c r="AB1046" s="1"/>
  <c r="F1051"/>
  <c r="V1051"/>
  <c r="W1051"/>
  <c r="X1051"/>
  <c r="Y1051"/>
  <c r="Z1051"/>
  <c r="AA1053"/>
  <c r="AB1053" s="1"/>
  <c r="F1058"/>
  <c r="X1058"/>
  <c r="Y1058"/>
  <c r="Z1058"/>
  <c r="AA1060"/>
  <c r="AB1060" s="1"/>
  <c r="F1084"/>
  <c r="H1097"/>
  <c r="P1097"/>
  <c r="Q1097"/>
  <c r="R1097"/>
  <c r="U1097"/>
  <c r="F1071"/>
  <c r="AA1073"/>
  <c r="AB1073" s="1"/>
  <c r="AA1074"/>
  <c r="AB1074" s="1"/>
  <c r="AA1075"/>
  <c r="AB1075" s="1"/>
  <c r="AA1078"/>
  <c r="AB1078" s="1"/>
  <c r="D2" i="1"/>
  <c r="E2" s="1"/>
  <c r="F2" s="1"/>
  <c r="G2" s="1"/>
  <c r="H2" s="1"/>
  <c r="G15"/>
  <c r="F79"/>
  <c r="F96" s="1"/>
  <c r="F122"/>
  <c r="F138"/>
  <c r="F155"/>
  <c r="F164"/>
  <c r="F176"/>
  <c r="F185"/>
  <c r="F196"/>
  <c r="F206"/>
  <c r="F221"/>
  <c r="F241"/>
  <c r="G241"/>
  <c r="F259"/>
  <c r="G259"/>
  <c r="F273"/>
  <c r="G273"/>
  <c r="F291"/>
  <c r="G291"/>
  <c r="F306"/>
  <c r="G306"/>
  <c r="F331"/>
  <c r="G331"/>
  <c r="G335"/>
  <c r="F372"/>
  <c r="F381"/>
  <c r="F393"/>
  <c r="F402"/>
  <c r="F415"/>
  <c r="F423"/>
  <c r="F425" s="1"/>
  <c r="F434"/>
  <c r="F450"/>
  <c r="G450"/>
  <c r="G465"/>
  <c r="F484"/>
  <c r="G484"/>
  <c r="F499"/>
  <c r="G499"/>
  <c r="F514"/>
  <c r="G514"/>
  <c r="F538"/>
  <c r="G538"/>
  <c r="G542"/>
  <c r="F580"/>
  <c r="F588"/>
  <c r="F596"/>
  <c r="G610"/>
  <c r="AF616"/>
  <c r="AG616" s="1"/>
  <c r="AF620"/>
  <c r="AG620" s="1"/>
  <c r="AF621"/>
  <c r="AG621" s="1"/>
  <c r="AF622"/>
  <c r="AG622" s="1"/>
  <c r="AF623"/>
  <c r="AG623" s="1"/>
  <c r="AF624"/>
  <c r="AG624" s="1"/>
  <c r="AF625"/>
  <c r="AG625" s="1"/>
  <c r="AF627"/>
  <c r="AG627" s="1"/>
  <c r="AF628"/>
  <c r="AG628" s="1"/>
  <c r="AF629"/>
  <c r="AG629" s="1"/>
  <c r="AF630"/>
  <c r="AG630" s="1"/>
  <c r="F631"/>
  <c r="F633"/>
  <c r="F634"/>
  <c r="F635"/>
  <c r="F636"/>
  <c r="F637"/>
  <c r="AF638"/>
  <c r="AG638" s="1"/>
  <c r="AF639"/>
  <c r="AG639" s="1"/>
  <c r="F640"/>
  <c r="G640"/>
  <c r="AF644"/>
  <c r="AG644" s="1"/>
  <c r="AF645"/>
  <c r="AG645" s="1"/>
  <c r="AF646"/>
  <c r="AG646" s="1"/>
  <c r="AF647"/>
  <c r="AG647" s="1"/>
  <c r="AF648"/>
  <c r="AG648" s="1"/>
  <c r="AA1079" i="2"/>
  <c r="AB1079" s="1"/>
  <c r="AA1076"/>
  <c r="AB1076" s="1"/>
  <c r="AA1069"/>
  <c r="AB1069" s="1"/>
  <c r="G31" i="5"/>
  <c r="K31"/>
  <c r="J31"/>
  <c r="F15" i="1"/>
  <c r="AA1072" i="2"/>
  <c r="AB1072" s="1"/>
  <c r="B31" i="5"/>
  <c r="M1011" i="2"/>
  <c r="M1012" s="1"/>
  <c r="T618" i="1"/>
  <c r="F1088" i="2"/>
  <c r="F1089" s="1"/>
  <c r="M1007"/>
  <c r="M1058" s="1"/>
  <c r="G792"/>
  <c r="G790"/>
  <c r="G766"/>
  <c r="G764"/>
  <c r="G763"/>
  <c r="G793"/>
  <c r="D34" i="14" s="1"/>
  <c r="G794" i="2"/>
  <c r="H790"/>
  <c r="H766"/>
  <c r="H764"/>
  <c r="H792"/>
  <c r="H763"/>
  <c r="H794"/>
  <c r="H793"/>
  <c r="I794"/>
  <c r="I764"/>
  <c r="I763"/>
  <c r="I793"/>
  <c r="I766"/>
  <c r="I790"/>
  <c r="I792"/>
  <c r="J763"/>
  <c r="J792"/>
  <c r="J793"/>
  <c r="J790"/>
  <c r="J764"/>
  <c r="J766"/>
  <c r="J794"/>
  <c r="K792"/>
  <c r="K764"/>
  <c r="K790"/>
  <c r="K793"/>
  <c r="K766"/>
  <c r="K763"/>
  <c r="K794"/>
  <c r="L790"/>
  <c r="L766"/>
  <c r="L763"/>
  <c r="L792"/>
  <c r="L793"/>
  <c r="L764"/>
  <c r="L794"/>
  <c r="M792"/>
  <c r="M763"/>
  <c r="M764"/>
  <c r="M793"/>
  <c r="M790"/>
  <c r="M766"/>
  <c r="M794"/>
  <c r="N763"/>
  <c r="N764"/>
  <c r="N793"/>
  <c r="N790"/>
  <c r="N766"/>
  <c r="N792"/>
  <c r="N794"/>
  <c r="O792"/>
  <c r="O764"/>
  <c r="O766"/>
  <c r="O763"/>
  <c r="O790"/>
  <c r="O793"/>
  <c r="O794"/>
  <c r="P793"/>
  <c r="P792"/>
  <c r="P766"/>
  <c r="P763"/>
  <c r="P764"/>
  <c r="P790"/>
  <c r="P794"/>
  <c r="Q764"/>
  <c r="Q793"/>
  <c r="Q763"/>
  <c r="Q790"/>
  <c r="Q792"/>
  <c r="Q766"/>
  <c r="Q794"/>
  <c r="R792"/>
  <c r="R766"/>
  <c r="R793"/>
  <c r="R790"/>
  <c r="R763"/>
  <c r="R764"/>
  <c r="R794"/>
  <c r="S793"/>
  <c r="S792"/>
  <c r="S763"/>
  <c r="S766"/>
  <c r="S790"/>
  <c r="S764"/>
  <c r="S794"/>
  <c r="T766"/>
  <c r="T794"/>
  <c r="T764"/>
  <c r="T763"/>
  <c r="T792"/>
  <c r="T790"/>
  <c r="T793"/>
  <c r="U793"/>
  <c r="U792"/>
  <c r="U766"/>
  <c r="U794"/>
  <c r="U790"/>
  <c r="U764"/>
  <c r="U763"/>
  <c r="V793"/>
  <c r="V790"/>
  <c r="V764"/>
  <c r="V766"/>
  <c r="V763"/>
  <c r="V794"/>
  <c r="V792"/>
  <c r="W763"/>
  <c r="W790"/>
  <c r="W764"/>
  <c r="W766"/>
  <c r="W794"/>
  <c r="W793"/>
  <c r="W792"/>
  <c r="X793"/>
  <c r="X792"/>
  <c r="X764"/>
  <c r="X790"/>
  <c r="X794"/>
  <c r="X763"/>
  <c r="X766"/>
  <c r="Y793"/>
  <c r="Y763"/>
  <c r="Y766"/>
  <c r="Y790"/>
  <c r="Y794"/>
  <c r="Y764"/>
  <c r="Y792"/>
  <c r="Z766"/>
  <c r="Z790"/>
  <c r="Z792"/>
  <c r="Z763"/>
  <c r="Z793"/>
  <c r="Z794"/>
  <c r="Z764"/>
  <c r="H1011"/>
  <c r="H1012" s="1"/>
  <c r="D26" i="8"/>
  <c r="E26" s="1"/>
  <c r="R1010" i="2"/>
  <c r="R1011" s="1"/>
  <c r="R1022" s="1"/>
  <c r="R1029" s="1"/>
  <c r="U1010"/>
  <c r="U1011" s="1"/>
  <c r="U1022" s="1"/>
  <c r="D32" i="7"/>
  <c r="E32" s="1"/>
  <c r="P1010" i="2"/>
  <c r="D26" i="7"/>
  <c r="D32" i="8"/>
  <c r="E32" s="1"/>
  <c r="D31" i="5"/>
  <c r="H1044" i="2"/>
  <c r="D28" i="7"/>
  <c r="E28" s="1"/>
  <c r="D22"/>
  <c r="E22" s="1"/>
  <c r="C26"/>
  <c r="D28" i="8"/>
  <c r="E28" s="1"/>
  <c r="G1097" i="2"/>
  <c r="O1010"/>
  <c r="T1010"/>
  <c r="T1011" s="1"/>
  <c r="G1005"/>
  <c r="V1015"/>
  <c r="V1016" s="1"/>
  <c r="L1051"/>
  <c r="I1007"/>
  <c r="I1058" s="1"/>
  <c r="I1044"/>
  <c r="T1007" l="1"/>
  <c r="P1011"/>
  <c r="P1022" s="1"/>
  <c r="P1070"/>
  <c r="K1011"/>
  <c r="K1012" s="1"/>
  <c r="O1011"/>
  <c r="O1022" s="1"/>
  <c r="O1023" s="1"/>
  <c r="O1070"/>
  <c r="N1070"/>
  <c r="G1001"/>
  <c r="AA1080"/>
  <c r="AB1080" s="1"/>
  <c r="G767"/>
  <c r="W1018"/>
  <c r="W1016"/>
  <c r="W1017" s="1"/>
  <c r="L1022"/>
  <c r="L1023" s="1"/>
  <c r="L1026" s="1"/>
  <c r="W1026"/>
  <c r="W1027" s="1"/>
  <c r="W1028" s="1"/>
  <c r="W1013"/>
  <c r="F608" i="1"/>
  <c r="G275"/>
  <c r="G277" s="1"/>
  <c r="G308" s="1"/>
  <c r="AA1077" i="2"/>
  <c r="AB1077" s="1"/>
  <c r="G705"/>
  <c r="AA866"/>
  <c r="AB866" s="1"/>
  <c r="G704"/>
  <c r="L1016"/>
  <c r="G765"/>
  <c r="F1091"/>
  <c r="H2"/>
  <c r="H791" s="1"/>
  <c r="AA784"/>
  <c r="G789"/>
  <c r="L1015"/>
  <c r="L1018" s="1"/>
  <c r="G977"/>
  <c r="J1007"/>
  <c r="Q1058"/>
  <c r="U1058"/>
  <c r="T1058"/>
  <c r="G1007"/>
  <c r="R1058"/>
  <c r="G49" i="14"/>
  <c r="AF632" i="1"/>
  <c r="AG632" s="1"/>
  <c r="AA1036" i="2"/>
  <c r="AB1036" s="1"/>
  <c r="I1012"/>
  <c r="I1016" s="1"/>
  <c r="I1017" s="1"/>
  <c r="AA1034"/>
  <c r="AB1034" s="1"/>
  <c r="E26" i="7"/>
  <c r="E30"/>
  <c r="S1022" i="2"/>
  <c r="H31" i="5"/>
  <c r="S1007" i="2"/>
  <c r="R1012"/>
  <c r="R1015" s="1"/>
  <c r="R1016" s="1"/>
  <c r="E49" i="14"/>
  <c r="S1012" i="2"/>
  <c r="S1015" s="1"/>
  <c r="S1018" s="1"/>
  <c r="S1019" s="1"/>
  <c r="S1030" s="1"/>
  <c r="K1007"/>
  <c r="N1007"/>
  <c r="AA1006"/>
  <c r="AB1006" s="1"/>
  <c r="G1012"/>
  <c r="G1013" s="1"/>
  <c r="G1002" s="1"/>
  <c r="F49" i="14"/>
  <c r="H1022" i="2"/>
  <c r="H49" i="14"/>
  <c r="G760" i="2"/>
  <c r="F486" i="1"/>
  <c r="F488" s="1"/>
  <c r="F69"/>
  <c r="F95" s="1"/>
  <c r="F98" s="1"/>
  <c r="U668"/>
  <c r="AA668"/>
  <c r="V668"/>
  <c r="W668"/>
  <c r="Z668"/>
  <c r="AA766" i="2"/>
  <c r="AB766" s="1"/>
  <c r="R668" i="1"/>
  <c r="AA764" i="2"/>
  <c r="AB764" s="1"/>
  <c r="AA790"/>
  <c r="AB790" s="1"/>
  <c r="AA794"/>
  <c r="AB794" s="1"/>
  <c r="AA792"/>
  <c r="AB792" s="1"/>
  <c r="AA763"/>
  <c r="AB763" s="1"/>
  <c r="AA793"/>
  <c r="AB793" s="1"/>
  <c r="H378" i="1"/>
  <c r="H180"/>
  <c r="H193"/>
  <c r="H460"/>
  <c r="H300"/>
  <c r="H115"/>
  <c r="H40"/>
  <c r="H478" s="1"/>
  <c r="H219"/>
  <c r="H160"/>
  <c r="H413"/>
  <c r="H159"/>
  <c r="H387"/>
  <c r="H289"/>
  <c r="H133"/>
  <c r="H583"/>
  <c r="H296"/>
  <c r="H494"/>
  <c r="H511"/>
  <c r="H304"/>
  <c r="H365"/>
  <c r="H44"/>
  <c r="H461" s="1"/>
  <c r="H409"/>
  <c r="H285"/>
  <c r="H151"/>
  <c r="H398"/>
  <c r="H173"/>
  <c r="H420"/>
  <c r="H65"/>
  <c r="H506"/>
  <c r="H39"/>
  <c r="H456" s="1"/>
  <c r="H41"/>
  <c r="H268" s="1"/>
  <c r="H217"/>
  <c r="H391"/>
  <c r="H288"/>
  <c r="H150"/>
  <c r="H181"/>
  <c r="H152"/>
  <c r="H183"/>
  <c r="H147"/>
  <c r="H503"/>
  <c r="H202"/>
  <c r="H510"/>
  <c r="H299"/>
  <c r="H493"/>
  <c r="H201"/>
  <c r="H431"/>
  <c r="H172"/>
  <c r="H502"/>
  <c r="H75"/>
  <c r="H497"/>
  <c r="H45"/>
  <c r="H251" s="1"/>
  <c r="H412"/>
  <c r="H295"/>
  <c r="H162"/>
  <c r="H253"/>
  <c r="H369"/>
  <c r="H192"/>
  <c r="H43"/>
  <c r="H459" s="1"/>
  <c r="H370"/>
  <c r="H419"/>
  <c r="H171"/>
  <c r="H377"/>
  <c r="H194"/>
  <c r="H642"/>
  <c r="H303"/>
  <c r="H390"/>
  <c r="H74"/>
  <c r="K1051" i="2"/>
  <c r="AA1051" s="1"/>
  <c r="AB1051" s="1"/>
  <c r="H705"/>
  <c r="G761"/>
  <c r="F404" i="1"/>
  <c r="S1097" i="2"/>
  <c r="V1018"/>
  <c r="G708"/>
  <c r="V1026"/>
  <c r="V1027" s="1"/>
  <c r="F933"/>
  <c r="F975"/>
  <c r="P1023"/>
  <c r="T1022"/>
  <c r="T1012"/>
  <c r="R1023"/>
  <c r="I1023"/>
  <c r="M1022"/>
  <c r="AA1025"/>
  <c r="AB1025" s="1"/>
  <c r="F187" i="1"/>
  <c r="F166"/>
  <c r="M1016" i="2"/>
  <c r="M1013"/>
  <c r="M1015"/>
  <c r="M1018" s="1"/>
  <c r="Q1012"/>
  <c r="Q1015" s="1"/>
  <c r="Q1016" s="1"/>
  <c r="Q1022"/>
  <c r="F784"/>
  <c r="F785"/>
  <c r="K1097"/>
  <c r="K1005"/>
  <c r="F31" i="5"/>
  <c r="F383" i="1"/>
  <c r="F275"/>
  <c r="F277" s="1"/>
  <c r="D24" i="8"/>
  <c r="E24" s="1"/>
  <c r="AF626" i="1"/>
  <c r="AG626" s="1"/>
  <c r="AF618"/>
  <c r="AG618" s="1"/>
  <c r="AF619"/>
  <c r="AG619" s="1"/>
  <c r="G486"/>
  <c r="G488" s="1"/>
  <c r="G490" s="1"/>
  <c r="F208"/>
  <c r="N1011" i="2"/>
  <c r="D20" i="7"/>
  <c r="E20" s="1"/>
  <c r="D24"/>
  <c r="E24" s="1"/>
  <c r="K1044" i="2"/>
  <c r="AA1044" s="1"/>
  <c r="AB1044" s="1"/>
  <c r="G279" i="1"/>
  <c r="H507"/>
  <c r="H301"/>
  <c r="H400"/>
  <c r="H495"/>
  <c r="H38"/>
  <c r="H265" s="1"/>
  <c r="H42"/>
  <c r="H148"/>
  <c r="H174"/>
  <c r="H218"/>
  <c r="H302"/>
  <c r="H397"/>
  <c r="H505"/>
  <c r="H149"/>
  <c r="I2"/>
  <c r="H297"/>
  <c r="H366"/>
  <c r="H410"/>
  <c r="H504"/>
  <c r="H46"/>
  <c r="H153"/>
  <c r="H182"/>
  <c r="H287"/>
  <c r="H368"/>
  <c r="H411"/>
  <c r="H509"/>
  <c r="H367"/>
  <c r="H399"/>
  <c r="H203"/>
  <c r="H379"/>
  <c r="H421"/>
  <c r="H508"/>
  <c r="H66"/>
  <c r="H161"/>
  <c r="H191"/>
  <c r="H294"/>
  <c r="H376"/>
  <c r="H418"/>
  <c r="H591"/>
  <c r="H19"/>
  <c r="H33"/>
  <c r="H35" s="1"/>
  <c r="H23"/>
  <c r="H286"/>
  <c r="H388"/>
  <c r="H432"/>
  <c r="H512"/>
  <c r="H101"/>
  <c r="H170"/>
  <c r="H204"/>
  <c r="H298"/>
  <c r="H389"/>
  <c r="H496"/>
  <c r="H641"/>
  <c r="H27"/>
  <c r="J1010" i="2"/>
  <c r="J1070" s="1"/>
  <c r="I31" i="5"/>
  <c r="T1097" i="2"/>
  <c r="J1097"/>
  <c r="P1007"/>
  <c r="C31" i="5"/>
  <c r="D12" i="8"/>
  <c r="E12" s="1"/>
  <c r="D14"/>
  <c r="E14" s="1"/>
  <c r="D12" i="7"/>
  <c r="E12" s="1"/>
  <c r="O1097" i="2"/>
  <c r="O1007"/>
  <c r="AA1035"/>
  <c r="AB1035" s="1"/>
  <c r="U1029"/>
  <c r="U1023"/>
  <c r="U1024" s="1"/>
  <c r="G1023"/>
  <c r="J49" i="14"/>
  <c r="G1026" i="2"/>
  <c r="I49" i="14"/>
  <c r="U1012" i="2"/>
  <c r="H1016"/>
  <c r="H1015"/>
  <c r="H1018" s="1"/>
  <c r="H1013"/>
  <c r="L1027" l="1"/>
  <c r="O1029"/>
  <c r="O1012"/>
  <c r="K1022"/>
  <c r="P1012"/>
  <c r="H1029"/>
  <c r="K1070"/>
  <c r="AA1070" s="1"/>
  <c r="AB1070" s="1"/>
  <c r="H765"/>
  <c r="L1024"/>
  <c r="L1029"/>
  <c r="H1001"/>
  <c r="G701"/>
  <c r="AB784"/>
  <c r="H789"/>
  <c r="H767"/>
  <c r="I2"/>
  <c r="I1013"/>
  <c r="I1015"/>
  <c r="I1018" s="1"/>
  <c r="I1019" s="1"/>
  <c r="I1030" s="1"/>
  <c r="H704"/>
  <c r="H700"/>
  <c r="N1058"/>
  <c r="S1058"/>
  <c r="K1058"/>
  <c r="S1023"/>
  <c r="S1024" s="1"/>
  <c r="S1029"/>
  <c r="R1018"/>
  <c r="R1013"/>
  <c r="S1016"/>
  <c r="S1017"/>
  <c r="G1087"/>
  <c r="F427" i="1"/>
  <c r="F490" s="1"/>
  <c r="F540" s="1"/>
  <c r="F542" s="1"/>
  <c r="F109"/>
  <c r="F140" s="1"/>
  <c r="H442"/>
  <c r="H480"/>
  <c r="S1026" i="2"/>
  <c r="G1024"/>
  <c r="S1013"/>
  <c r="Q1013"/>
  <c r="Q1018"/>
  <c r="G700"/>
  <c r="G1016"/>
  <c r="G1003" s="1"/>
  <c r="G1058"/>
  <c r="H701"/>
  <c r="H788"/>
  <c r="H762"/>
  <c r="H995"/>
  <c r="H698" s="1"/>
  <c r="H702"/>
  <c r="H1058"/>
  <c r="H1087"/>
  <c r="G788"/>
  <c r="G1015"/>
  <c r="G976" s="1"/>
  <c r="G762"/>
  <c r="H1023"/>
  <c r="G702"/>
  <c r="G995"/>
  <c r="G698" s="1"/>
  <c r="G791"/>
  <c r="H477" i="1"/>
  <c r="H481"/>
  <c r="H249"/>
  <c r="H574"/>
  <c r="H269"/>
  <c r="H443"/>
  <c r="H264"/>
  <c r="H476"/>
  <c r="H455"/>
  <c r="H134"/>
  <c r="H252"/>
  <c r="H440"/>
  <c r="H231"/>
  <c r="F81"/>
  <c r="H444"/>
  <c r="H479"/>
  <c r="H445"/>
  <c r="H270"/>
  <c r="H267"/>
  <c r="H458"/>
  <c r="H250"/>
  <c r="H457"/>
  <c r="F210"/>
  <c r="F223" s="1"/>
  <c r="F279" s="1"/>
  <c r="F333" s="1"/>
  <c r="F610" s="1"/>
  <c r="H247"/>
  <c r="E34" i="7"/>
  <c r="F18" s="1"/>
  <c r="N1000" i="2" s="1"/>
  <c r="E34" i="8"/>
  <c r="F14" s="1"/>
  <c r="J999" i="2" s="1"/>
  <c r="H640" i="1"/>
  <c r="H123" s="1"/>
  <c r="H266"/>
  <c r="R1024" i="2"/>
  <c r="R1026"/>
  <c r="R1027" s="1"/>
  <c r="T1015"/>
  <c r="T1013"/>
  <c r="P1024"/>
  <c r="P1026"/>
  <c r="P1027" s="1"/>
  <c r="I1027"/>
  <c r="I1028" s="1"/>
  <c r="I1026"/>
  <c r="I1024"/>
  <c r="O1015"/>
  <c r="O1013"/>
  <c r="M1023"/>
  <c r="M1029"/>
  <c r="P1013"/>
  <c r="P1015"/>
  <c r="P1016" s="1"/>
  <c r="T1029"/>
  <c r="T1023"/>
  <c r="T1024" s="1"/>
  <c r="Q1023"/>
  <c r="Q1029"/>
  <c r="H232" i="1"/>
  <c r="H441"/>
  <c r="F697" i="2"/>
  <c r="H697" s="1"/>
  <c r="H575" i="1"/>
  <c r="AA1005" i="2"/>
  <c r="H760"/>
  <c r="H761"/>
  <c r="H708"/>
  <c r="O1058"/>
  <c r="AA1007"/>
  <c r="P1058"/>
  <c r="J1011"/>
  <c r="AA1010"/>
  <c r="AB1010" s="1"/>
  <c r="H634" i="1"/>
  <c r="H29"/>
  <c r="H423"/>
  <c r="H306"/>
  <c r="H206"/>
  <c r="H514"/>
  <c r="H631"/>
  <c r="H635"/>
  <c r="H248"/>
  <c r="H454"/>
  <c r="H475"/>
  <c r="H48"/>
  <c r="D34" i="8"/>
  <c r="H643" i="1"/>
  <c r="H291"/>
  <c r="H653"/>
  <c r="H238"/>
  <c r="H446"/>
  <c r="H448"/>
  <c r="H633"/>
  <c r="H415"/>
  <c r="I33"/>
  <c r="I35" s="1"/>
  <c r="I39"/>
  <c r="I266" s="1"/>
  <c r="I43"/>
  <c r="I270" s="1"/>
  <c r="I101"/>
  <c r="I191"/>
  <c r="I217"/>
  <c r="I40"/>
  <c r="I250" s="1"/>
  <c r="I66"/>
  <c r="I161"/>
  <c r="I182"/>
  <c r="I41"/>
  <c r="I268" s="1"/>
  <c r="I74"/>
  <c r="I193"/>
  <c r="I149"/>
  <c r="I151"/>
  <c r="I201"/>
  <c r="I303"/>
  <c r="I398"/>
  <c r="I421"/>
  <c r="I509"/>
  <c r="I304"/>
  <c r="I399"/>
  <c r="I495"/>
  <c r="I642"/>
  <c r="I409"/>
  <c r="I400"/>
  <c r="I419"/>
  <c r="I503"/>
  <c r="I65"/>
  <c r="I160"/>
  <c r="I181"/>
  <c r="I23"/>
  <c r="I153"/>
  <c r="I203"/>
  <c r="I27"/>
  <c r="I162"/>
  <c r="I183"/>
  <c r="I38"/>
  <c r="I454" s="1"/>
  <c r="I42"/>
  <c r="I159"/>
  <c r="I180"/>
  <c r="I387"/>
  <c r="I377"/>
  <c r="I591"/>
  <c r="I505"/>
  <c r="I287"/>
  <c r="I388"/>
  <c r="I378"/>
  <c r="I502"/>
  <c r="I294"/>
  <c r="I301"/>
  <c r="I510"/>
  <c r="I219"/>
  <c r="I302"/>
  <c r="I397"/>
  <c r="I460"/>
  <c r="I511"/>
  <c r="I379"/>
  <c r="I512"/>
  <c r="I285"/>
  <c r="I410"/>
  <c r="I376"/>
  <c r="I420"/>
  <c r="I497"/>
  <c r="I584"/>
  <c r="I249"/>
  <c r="I152"/>
  <c r="I202"/>
  <c r="J2"/>
  <c r="I44"/>
  <c r="I148"/>
  <c r="I173"/>
  <c r="I367"/>
  <c r="I45"/>
  <c r="I251" s="1"/>
  <c r="I115"/>
  <c r="I204"/>
  <c r="I46"/>
  <c r="I171"/>
  <c r="I286"/>
  <c r="I391"/>
  <c r="I413"/>
  <c r="I494"/>
  <c r="I297"/>
  <c r="I412"/>
  <c r="I506"/>
  <c r="I253"/>
  <c r="I365"/>
  <c r="I431"/>
  <c r="I496"/>
  <c r="I19"/>
  <c r="I147"/>
  <c r="I172"/>
  <c r="I295"/>
  <c r="I133"/>
  <c r="I192"/>
  <c r="I296"/>
  <c r="I150"/>
  <c r="I174"/>
  <c r="I218"/>
  <c r="I75"/>
  <c r="I194"/>
  <c r="I299"/>
  <c r="I368"/>
  <c r="I411"/>
  <c r="I641"/>
  <c r="I300"/>
  <c r="I369"/>
  <c r="I418"/>
  <c r="I508"/>
  <c r="I288"/>
  <c r="I370"/>
  <c r="I507"/>
  <c r="I289"/>
  <c r="I390"/>
  <c r="I583"/>
  <c r="I389"/>
  <c r="I493"/>
  <c r="I170"/>
  <c r="I298"/>
  <c r="I366"/>
  <c r="I432"/>
  <c r="I504"/>
  <c r="H499"/>
  <c r="N1012" i="2"/>
  <c r="N1022"/>
  <c r="AA1097"/>
  <c r="AB1097" s="1"/>
  <c r="H102" i="1"/>
  <c r="H447"/>
  <c r="H584"/>
  <c r="H592"/>
  <c r="D34" i="7"/>
  <c r="H977" i="2"/>
  <c r="K1029"/>
  <c r="K1023"/>
  <c r="K1015"/>
  <c r="K1013"/>
  <c r="K1016"/>
  <c r="U1013"/>
  <c r="U1015"/>
  <c r="G1027"/>
  <c r="U1026"/>
  <c r="O1024"/>
  <c r="O1026"/>
  <c r="O1027" s="1"/>
  <c r="O1028" s="1"/>
  <c r="H1002"/>
  <c r="H1017"/>
  <c r="H1003"/>
  <c r="H976"/>
  <c r="H1019"/>
  <c r="H998"/>
  <c r="I977" l="1"/>
  <c r="I701"/>
  <c r="I1001"/>
  <c r="I767"/>
  <c r="I700"/>
  <c r="I789"/>
  <c r="I705"/>
  <c r="I704"/>
  <c r="I791"/>
  <c r="J2"/>
  <c r="J1087" s="1"/>
  <c r="I1087"/>
  <c r="I702"/>
  <c r="I765"/>
  <c r="I995"/>
  <c r="I698" s="1"/>
  <c r="I788"/>
  <c r="I760"/>
  <c r="I708"/>
  <c r="I1002"/>
  <c r="I976"/>
  <c r="I1003"/>
  <c r="I762"/>
  <c r="I761"/>
  <c r="I998"/>
  <c r="K2"/>
  <c r="K1087" s="1"/>
  <c r="J701"/>
  <c r="S1027"/>
  <c r="S1028" s="1"/>
  <c r="G1018"/>
  <c r="G1019" s="1"/>
  <c r="G1030" s="1"/>
  <c r="F516" i="1"/>
  <c r="F308"/>
  <c r="H50"/>
  <c r="I653"/>
  <c r="F12" i="7"/>
  <c r="H1000" i="2" s="1"/>
  <c r="F26" i="7"/>
  <c r="R1000" i="2" s="1"/>
  <c r="G1017"/>
  <c r="F14" i="7"/>
  <c r="J1000" i="2" s="1"/>
  <c r="F32" i="7"/>
  <c r="U1000" i="2" s="1"/>
  <c r="D32" i="14"/>
  <c r="F32" s="1"/>
  <c r="F28" i="7"/>
  <c r="S1000" i="2" s="1"/>
  <c r="F22" i="7"/>
  <c r="P1000" i="2" s="1"/>
  <c r="H1024"/>
  <c r="H1027"/>
  <c r="H1028" s="1"/>
  <c r="H1026"/>
  <c r="F24" i="7"/>
  <c r="Q1000" i="2" s="1"/>
  <c r="F18" i="8"/>
  <c r="N999" i="2" s="1"/>
  <c r="F10" i="7"/>
  <c r="F20"/>
  <c r="O1000" i="2" s="1"/>
  <c r="F30" i="7"/>
  <c r="T1000" i="2" s="1"/>
  <c r="F16" i="7"/>
  <c r="K1000" i="2" s="1"/>
  <c r="I231" i="1"/>
  <c r="I592"/>
  <c r="I447"/>
  <c r="I102"/>
  <c r="I443"/>
  <c r="I441"/>
  <c r="I238"/>
  <c r="I575"/>
  <c r="I444"/>
  <c r="I445"/>
  <c r="I134"/>
  <c r="I440"/>
  <c r="I448"/>
  <c r="I446"/>
  <c r="I442"/>
  <c r="I574"/>
  <c r="I232"/>
  <c r="I456"/>
  <c r="I459"/>
  <c r="I479"/>
  <c r="I477"/>
  <c r="I29"/>
  <c r="I252"/>
  <c r="I423"/>
  <c r="I481"/>
  <c r="I476"/>
  <c r="I635"/>
  <c r="I396" s="1"/>
  <c r="I402" s="1"/>
  <c r="I179" s="1"/>
  <c r="I185" s="1"/>
  <c r="I247"/>
  <c r="I478"/>
  <c r="F12" i="8"/>
  <c r="H999" i="2" s="1"/>
  <c r="F20" i="8"/>
  <c r="O999" i="2" s="1"/>
  <c r="F24" i="8"/>
  <c r="Q999" i="2" s="1"/>
  <c r="I267" i="1"/>
  <c r="I455"/>
  <c r="I643"/>
  <c r="F32" i="8"/>
  <c r="U999" i="2" s="1"/>
  <c r="F16" i="8"/>
  <c r="K999" i="2" s="1"/>
  <c r="I457" i="1"/>
  <c r="I264"/>
  <c r="F10" i="8"/>
  <c r="I248" i="1"/>
  <c r="I475"/>
  <c r="F30" i="8"/>
  <c r="T999" i="2" s="1"/>
  <c r="F26" i="8"/>
  <c r="R999" i="2" s="1"/>
  <c r="F22" i="8"/>
  <c r="P999" i="2" s="1"/>
  <c r="I265" i="1"/>
  <c r="I269"/>
  <c r="F28" i="8"/>
  <c r="S999" i="2" s="1"/>
  <c r="T1016"/>
  <c r="T1018"/>
  <c r="T1019" s="1"/>
  <c r="T1030" s="1"/>
  <c r="T1017"/>
  <c r="T1026"/>
  <c r="T1027" s="1"/>
  <c r="M1024"/>
  <c r="M1027"/>
  <c r="M1026"/>
  <c r="O1018"/>
  <c r="O1019" s="1"/>
  <c r="O1030" s="1"/>
  <c r="O1016"/>
  <c r="L2"/>
  <c r="K705"/>
  <c r="I633" i="1"/>
  <c r="I375" s="1"/>
  <c r="I381" s="1"/>
  <c r="G697" i="2"/>
  <c r="F710"/>
  <c r="I697"/>
  <c r="J697"/>
  <c r="Q1026"/>
  <c r="Q1027" s="1"/>
  <c r="Q1024"/>
  <c r="I458" i="1"/>
  <c r="N1013" i="2"/>
  <c r="N1016"/>
  <c r="N1015"/>
  <c r="I499" i="1"/>
  <c r="J288"/>
  <c r="K2"/>
  <c r="J301"/>
  <c r="J65"/>
  <c r="J298"/>
  <c r="J192"/>
  <c r="J27"/>
  <c r="J378"/>
  <c r="J42"/>
  <c r="J409"/>
  <c r="J162"/>
  <c r="J370"/>
  <c r="J171"/>
  <c r="J504"/>
  <c r="J147"/>
  <c r="J418"/>
  <c r="J253"/>
  <c r="J494"/>
  <c r="J366"/>
  <c r="J376"/>
  <c r="J38"/>
  <c r="J476" s="1"/>
  <c r="J41"/>
  <c r="J479" s="1"/>
  <c r="J150"/>
  <c r="J420"/>
  <c r="J201"/>
  <c r="J512"/>
  <c r="J181"/>
  <c r="J583"/>
  <c r="J299"/>
  <c r="J204"/>
  <c r="J507"/>
  <c r="J180"/>
  <c r="J149"/>
  <c r="J219"/>
  <c r="J511"/>
  <c r="J389"/>
  <c r="J43"/>
  <c r="J270" s="1"/>
  <c r="J286"/>
  <c r="J193"/>
  <c r="J400"/>
  <c r="J152"/>
  <c r="J182"/>
  <c r="J431"/>
  <c r="J505"/>
  <c r="J591"/>
  <c r="J497"/>
  <c r="J287"/>
  <c r="J302"/>
  <c r="J303"/>
  <c r="J388"/>
  <c r="J151"/>
  <c r="J397"/>
  <c r="J297"/>
  <c r="J642"/>
  <c r="J369"/>
  <c r="J295"/>
  <c r="J641"/>
  <c r="J285"/>
  <c r="J74"/>
  <c r="J300"/>
  <c r="J33"/>
  <c r="J35" s="1"/>
  <c r="J46"/>
  <c r="J421"/>
  <c r="J410"/>
  <c r="J217"/>
  <c r="J460"/>
  <c r="J379"/>
  <c r="J202"/>
  <c r="J509"/>
  <c r="J294"/>
  <c r="J412"/>
  <c r="J367"/>
  <c r="J40"/>
  <c r="J250" s="1"/>
  <c r="J173"/>
  <c r="J101"/>
  <c r="J419"/>
  <c r="J493"/>
  <c r="J510"/>
  <c r="J194"/>
  <c r="J413"/>
  <c r="J66"/>
  <c r="J377"/>
  <c r="J191"/>
  <c r="J153"/>
  <c r="J399"/>
  <c r="J496"/>
  <c r="J506"/>
  <c r="J23"/>
  <c r="J174"/>
  <c r="J503"/>
  <c r="J296"/>
  <c r="J19"/>
  <c r="J160"/>
  <c r="J368"/>
  <c r="J218"/>
  <c r="J45"/>
  <c r="J251" s="1"/>
  <c r="J115"/>
  <c r="J365"/>
  <c r="J159"/>
  <c r="J411"/>
  <c r="J183"/>
  <c r="J432"/>
  <c r="J289"/>
  <c r="J495"/>
  <c r="J172"/>
  <c r="J39"/>
  <c r="J170"/>
  <c r="J304"/>
  <c r="J75"/>
  <c r="J508"/>
  <c r="J390"/>
  <c r="J161"/>
  <c r="J391"/>
  <c r="J398"/>
  <c r="J387"/>
  <c r="J502"/>
  <c r="J44"/>
  <c r="J461" s="1"/>
  <c r="J203"/>
  <c r="J133"/>
  <c r="J148"/>
  <c r="I291"/>
  <c r="I634"/>
  <c r="I386" s="1"/>
  <c r="I393" s="1"/>
  <c r="I206"/>
  <c r="I640"/>
  <c r="H425"/>
  <c r="H662"/>
  <c r="H190"/>
  <c r="H216"/>
  <c r="H430"/>
  <c r="H215"/>
  <c r="H213"/>
  <c r="H214"/>
  <c r="H396"/>
  <c r="H364"/>
  <c r="H668"/>
  <c r="H571"/>
  <c r="H573"/>
  <c r="H572"/>
  <c r="H386"/>
  <c r="F335"/>
  <c r="AB1007" i="2"/>
  <c r="AC1007"/>
  <c r="H800"/>
  <c r="I306" i="1"/>
  <c r="I48"/>
  <c r="H450"/>
  <c r="N1029" i="2"/>
  <c r="N1023"/>
  <c r="I631" i="1"/>
  <c r="I364" s="1"/>
  <c r="I372" s="1"/>
  <c r="I514"/>
  <c r="I415"/>
  <c r="H375"/>
  <c r="H103"/>
  <c r="H271"/>
  <c r="H462"/>
  <c r="H64"/>
  <c r="H593"/>
  <c r="H585"/>
  <c r="H482"/>
  <c r="H637" s="1"/>
  <c r="H652"/>
  <c r="H463"/>
  <c r="H257"/>
  <c r="H255"/>
  <c r="H256"/>
  <c r="H135"/>
  <c r="H576"/>
  <c r="H76"/>
  <c r="H67"/>
  <c r="H254"/>
  <c r="J1022" i="2"/>
  <c r="J1012"/>
  <c r="AA1011"/>
  <c r="AB1011" s="1"/>
  <c r="J1058"/>
  <c r="AC1005"/>
  <c r="AB1005"/>
  <c r="I480" i="1"/>
  <c r="I461"/>
  <c r="U1027" i="2"/>
  <c r="U1028"/>
  <c r="G1028"/>
  <c r="G1029"/>
  <c r="K1018"/>
  <c r="K1026"/>
  <c r="K1027"/>
  <c r="K1028" s="1"/>
  <c r="K1024"/>
  <c r="U1018"/>
  <c r="U1016"/>
  <c r="U1017"/>
  <c r="H1030"/>
  <c r="K32" i="14" l="1"/>
  <c r="L32" s="1"/>
  <c r="K1003" i="2"/>
  <c r="L697"/>
  <c r="L800" s="1"/>
  <c r="K791"/>
  <c r="J977"/>
  <c r="J761"/>
  <c r="J791"/>
  <c r="J704"/>
  <c r="K1001"/>
  <c r="J760"/>
  <c r="J762"/>
  <c r="K995"/>
  <c r="K698" s="1"/>
  <c r="J700"/>
  <c r="K976"/>
  <c r="K700"/>
  <c r="K788"/>
  <c r="K704"/>
  <c r="J995"/>
  <c r="J698" s="1"/>
  <c r="J788"/>
  <c r="J789"/>
  <c r="K767"/>
  <c r="K789"/>
  <c r="K765"/>
  <c r="J767"/>
  <c r="J708"/>
  <c r="J765"/>
  <c r="K762"/>
  <c r="K702"/>
  <c r="K697"/>
  <c r="K800" s="1"/>
  <c r="K977"/>
  <c r="K701"/>
  <c r="J702"/>
  <c r="J705"/>
  <c r="J1001"/>
  <c r="G998"/>
  <c r="K761"/>
  <c r="K708"/>
  <c r="K760"/>
  <c r="K1002"/>
  <c r="I573" i="1"/>
  <c r="I50"/>
  <c r="J574"/>
  <c r="AA1017" i="2"/>
  <c r="AB1017" s="1"/>
  <c r="F34" i="7"/>
  <c r="G1000" i="2"/>
  <c r="AA1000" s="1"/>
  <c r="AB1000" s="1"/>
  <c r="I450" i="1"/>
  <c r="I236" s="1"/>
  <c r="J459"/>
  <c r="I572"/>
  <c r="J102"/>
  <c r="I571"/>
  <c r="J134"/>
  <c r="I668"/>
  <c r="I661"/>
  <c r="J268"/>
  <c r="J478"/>
  <c r="J457"/>
  <c r="J640"/>
  <c r="J123" s="1"/>
  <c r="J446"/>
  <c r="J481"/>
  <c r="J252"/>
  <c r="J267"/>
  <c r="J238"/>
  <c r="J264"/>
  <c r="J248"/>
  <c r="J247"/>
  <c r="J455"/>
  <c r="J448"/>
  <c r="J447"/>
  <c r="J231"/>
  <c r="J444"/>
  <c r="J475"/>
  <c r="J265"/>
  <c r="J454"/>
  <c r="J443"/>
  <c r="J266"/>
  <c r="J445"/>
  <c r="J575"/>
  <c r="J442"/>
  <c r="J584"/>
  <c r="J634"/>
  <c r="J386" s="1"/>
  <c r="J393" s="1"/>
  <c r="J169" s="1"/>
  <c r="J176" s="1"/>
  <c r="J29"/>
  <c r="I430"/>
  <c r="I434" s="1"/>
  <c r="I216"/>
  <c r="I214"/>
  <c r="I215"/>
  <c r="I213"/>
  <c r="J458"/>
  <c r="J232"/>
  <c r="J440"/>
  <c r="F34" i="8"/>
  <c r="G999" i="2"/>
  <c r="AA999" s="1"/>
  <c r="AB999" s="1"/>
  <c r="J480" i="1"/>
  <c r="J592"/>
  <c r="J441"/>
  <c r="J631"/>
  <c r="J364" s="1"/>
  <c r="J372" s="1"/>
  <c r="J146" s="1"/>
  <c r="J155" s="1"/>
  <c r="J514"/>
  <c r="J269"/>
  <c r="J477"/>
  <c r="L977" i="2"/>
  <c r="L761"/>
  <c r="L789"/>
  <c r="L788"/>
  <c r="L995"/>
  <c r="L698" s="1"/>
  <c r="L791"/>
  <c r="L1001"/>
  <c r="M2"/>
  <c r="L760"/>
  <c r="L1087"/>
  <c r="L702"/>
  <c r="L998"/>
  <c r="L765"/>
  <c r="L705"/>
  <c r="L708"/>
  <c r="L701"/>
  <c r="L700"/>
  <c r="L1003"/>
  <c r="L762"/>
  <c r="L1002"/>
  <c r="L767"/>
  <c r="L704"/>
  <c r="L976"/>
  <c r="T1028"/>
  <c r="AA1028" s="1"/>
  <c r="AB1028" s="1"/>
  <c r="I659" i="1"/>
  <c r="I158"/>
  <c r="I164" s="1"/>
  <c r="H636"/>
  <c r="H453" s="1"/>
  <c r="J800" i="2"/>
  <c r="F757"/>
  <c r="F770" s="1"/>
  <c r="F739"/>
  <c r="I800"/>
  <c r="G800"/>
  <c r="J643" i="1"/>
  <c r="H474"/>
  <c r="AA1058" i="2"/>
  <c r="AB1058" s="1"/>
  <c r="J1016"/>
  <c r="J1003" s="1"/>
  <c r="J1013"/>
  <c r="J1015"/>
  <c r="AA1012"/>
  <c r="AB1012" s="1"/>
  <c r="N1026"/>
  <c r="N1027"/>
  <c r="N1024"/>
  <c r="H393" i="1"/>
  <c r="H372"/>
  <c r="H402"/>
  <c r="H196"/>
  <c r="I123"/>
  <c r="I404"/>
  <c r="I660"/>
  <c r="I169"/>
  <c r="I176" s="1"/>
  <c r="I187" s="1"/>
  <c r="J653"/>
  <c r="N1018" i="2"/>
  <c r="J635" i="1"/>
  <c r="J206"/>
  <c r="J48"/>
  <c r="J1029" i="2"/>
  <c r="AA1029" s="1"/>
  <c r="AB1029" s="1"/>
  <c r="J1023"/>
  <c r="AA1022"/>
  <c r="AB1022" s="1"/>
  <c r="H381" i="1"/>
  <c r="I662"/>
  <c r="I425"/>
  <c r="I190"/>
  <c r="I196" s="1"/>
  <c r="I208" s="1"/>
  <c r="I658"/>
  <c r="I383"/>
  <c r="I146"/>
  <c r="I155" s="1"/>
  <c r="H234"/>
  <c r="H228"/>
  <c r="H237"/>
  <c r="H663"/>
  <c r="H233"/>
  <c r="H226"/>
  <c r="H229"/>
  <c r="H230"/>
  <c r="H227"/>
  <c r="H239"/>
  <c r="H236"/>
  <c r="H235"/>
  <c r="I652"/>
  <c r="I76"/>
  <c r="I462"/>
  <c r="I271"/>
  <c r="I67"/>
  <c r="I576"/>
  <c r="I585"/>
  <c r="I256"/>
  <c r="I64"/>
  <c r="I482"/>
  <c r="I637" s="1"/>
  <c r="I135"/>
  <c r="I103"/>
  <c r="I254"/>
  <c r="I463"/>
  <c r="I257"/>
  <c r="I593"/>
  <c r="I255"/>
  <c r="H62"/>
  <c r="H60"/>
  <c r="H136"/>
  <c r="H104"/>
  <c r="H63"/>
  <c r="H651"/>
  <c r="H13"/>
  <c r="H105"/>
  <c r="H12"/>
  <c r="H77"/>
  <c r="H79" s="1"/>
  <c r="H10"/>
  <c r="H9"/>
  <c r="H11"/>
  <c r="H221"/>
  <c r="H434"/>
  <c r="K366"/>
  <c r="K202"/>
  <c r="K192"/>
  <c r="K160"/>
  <c r="K378"/>
  <c r="K418"/>
  <c r="K503"/>
  <c r="K161"/>
  <c r="K303"/>
  <c r="K46"/>
  <c r="K400"/>
  <c r="K365"/>
  <c r="K302"/>
  <c r="K497"/>
  <c r="K367"/>
  <c r="K389"/>
  <c r="K296"/>
  <c r="K23"/>
  <c r="K388"/>
  <c r="K432"/>
  <c r="K66"/>
  <c r="K377"/>
  <c r="K288"/>
  <c r="K297"/>
  <c r="K370"/>
  <c r="K431"/>
  <c r="K460"/>
  <c r="K504"/>
  <c r="K218"/>
  <c r="K151"/>
  <c r="K133"/>
  <c r="K43"/>
  <c r="K459" s="1"/>
  <c r="K183"/>
  <c r="K411"/>
  <c r="K506"/>
  <c r="K387"/>
  <c r="K217"/>
  <c r="K39"/>
  <c r="K456" s="1"/>
  <c r="K181"/>
  <c r="K147"/>
  <c r="K170"/>
  <c r="K301"/>
  <c r="K510"/>
  <c r="K412"/>
  <c r="K44"/>
  <c r="K461" s="1"/>
  <c r="K171"/>
  <c r="K41"/>
  <c r="K268" s="1"/>
  <c r="K115"/>
  <c r="K75"/>
  <c r="K65"/>
  <c r="K505"/>
  <c r="K410"/>
  <c r="K150"/>
  <c r="K149"/>
  <c r="K368"/>
  <c r="L2"/>
  <c r="K413"/>
  <c r="K502"/>
  <c r="K493"/>
  <c r="K494"/>
  <c r="K180"/>
  <c r="K33"/>
  <c r="K35" s="1"/>
  <c r="K74"/>
  <c r="K42"/>
  <c r="K369"/>
  <c r="K294"/>
  <c r="K583"/>
  <c r="K304"/>
  <c r="K508"/>
  <c r="K287"/>
  <c r="K219"/>
  <c r="K173"/>
  <c r="K193"/>
  <c r="K421"/>
  <c r="K391"/>
  <c r="K409"/>
  <c r="K194"/>
  <c r="K191"/>
  <c r="K152"/>
  <c r="K148"/>
  <c r="K495"/>
  <c r="K511"/>
  <c r="K201"/>
  <c r="K45"/>
  <c r="K480" s="1"/>
  <c r="K162"/>
  <c r="K159"/>
  <c r="K38"/>
  <c r="K247" s="1"/>
  <c r="K153"/>
  <c r="K509"/>
  <c r="K496"/>
  <c r="K300"/>
  <c r="K40"/>
  <c r="K478" s="1"/>
  <c r="K101"/>
  <c r="K299"/>
  <c r="K399"/>
  <c r="K285"/>
  <c r="K376"/>
  <c r="K379"/>
  <c r="K419"/>
  <c r="K641"/>
  <c r="K397"/>
  <c r="K266"/>
  <c r="K19"/>
  <c r="K289"/>
  <c r="K286"/>
  <c r="K591"/>
  <c r="K507"/>
  <c r="K512"/>
  <c r="K398"/>
  <c r="K253"/>
  <c r="K203"/>
  <c r="K174"/>
  <c r="K390"/>
  <c r="K27"/>
  <c r="K295"/>
  <c r="K172"/>
  <c r="K182"/>
  <c r="K204"/>
  <c r="K642"/>
  <c r="K298"/>
  <c r="K420"/>
  <c r="J456"/>
  <c r="J499"/>
  <c r="J306"/>
  <c r="J249"/>
  <c r="J291"/>
  <c r="J633"/>
  <c r="J423"/>
  <c r="J415"/>
  <c r="U1019" i="2"/>
  <c r="K1019"/>
  <c r="K998"/>
  <c r="J668" i="1" l="1"/>
  <c r="J50"/>
  <c r="J13" s="1"/>
  <c r="K653"/>
  <c r="K479"/>
  <c r="AA1016" i="2"/>
  <c r="AB1016" s="1"/>
  <c r="I228" i="1"/>
  <c r="I234"/>
  <c r="I230"/>
  <c r="I663"/>
  <c r="I237"/>
  <c r="I226"/>
  <c r="I235"/>
  <c r="I233"/>
  <c r="I239"/>
  <c r="I229"/>
  <c r="I227"/>
  <c r="J658"/>
  <c r="K475"/>
  <c r="K440"/>
  <c r="J450"/>
  <c r="J228" s="1"/>
  <c r="I166"/>
  <c r="I210" s="1"/>
  <c r="I636"/>
  <c r="I453" s="1"/>
  <c r="I465" s="1"/>
  <c r="I664" s="1"/>
  <c r="K250"/>
  <c r="K458"/>
  <c r="K251"/>
  <c r="K442"/>
  <c r="K477"/>
  <c r="K592"/>
  <c r="K269"/>
  <c r="K476"/>
  <c r="K264"/>
  <c r="K481"/>
  <c r="K267"/>
  <c r="K454"/>
  <c r="K575"/>
  <c r="J571"/>
  <c r="J572"/>
  <c r="J573"/>
  <c r="K270"/>
  <c r="K447"/>
  <c r="K249"/>
  <c r="K248"/>
  <c r="K252"/>
  <c r="K448"/>
  <c r="J660"/>
  <c r="I221"/>
  <c r="K441"/>
  <c r="K265"/>
  <c r="K457"/>
  <c r="K444"/>
  <c r="K445"/>
  <c r="K134"/>
  <c r="M700" i="2"/>
  <c r="M767"/>
  <c r="M761"/>
  <c r="M708"/>
  <c r="M995"/>
  <c r="M698" s="1"/>
  <c r="M762"/>
  <c r="M704"/>
  <c r="M1001"/>
  <c r="M705"/>
  <c r="M788"/>
  <c r="N2"/>
  <c r="M791"/>
  <c r="M760"/>
  <c r="M701"/>
  <c r="M789"/>
  <c r="M765"/>
  <c r="M702"/>
  <c r="M1087"/>
  <c r="M976"/>
  <c r="M977"/>
  <c r="M998"/>
  <c r="M1003"/>
  <c r="M1002"/>
  <c r="M697"/>
  <c r="M800" s="1"/>
  <c r="J214" i="1"/>
  <c r="J213"/>
  <c r="J215"/>
  <c r="J430"/>
  <c r="J434" s="1"/>
  <c r="J216"/>
  <c r="F888" i="2"/>
  <c r="F840"/>
  <c r="F855"/>
  <c r="I474" i="1"/>
  <c r="I484" s="1"/>
  <c r="H96"/>
  <c r="I651"/>
  <c r="I11"/>
  <c r="I63"/>
  <c r="I9"/>
  <c r="I104"/>
  <c r="I77"/>
  <c r="I79" s="1"/>
  <c r="I96" s="1"/>
  <c r="I60"/>
  <c r="I136"/>
  <c r="I138" s="1"/>
  <c r="I12"/>
  <c r="I105"/>
  <c r="I10"/>
  <c r="I62"/>
  <c r="I13"/>
  <c r="K643"/>
  <c r="K48"/>
  <c r="K206"/>
  <c r="K514"/>
  <c r="L288"/>
  <c r="M2"/>
  <c r="L400"/>
  <c r="L150"/>
  <c r="L504"/>
  <c r="L191"/>
  <c r="L149"/>
  <c r="L387"/>
  <c r="L33"/>
  <c r="L75"/>
  <c r="L413"/>
  <c r="L181"/>
  <c r="L493"/>
  <c r="L287"/>
  <c r="L505"/>
  <c r="L219"/>
  <c r="L39"/>
  <c r="L456" s="1"/>
  <c r="L148"/>
  <c r="L300"/>
  <c r="L161"/>
  <c r="L419"/>
  <c r="L202"/>
  <c r="L420"/>
  <c r="L45"/>
  <c r="L251" s="1"/>
  <c r="L159"/>
  <c r="L303"/>
  <c r="L153"/>
  <c r="L304"/>
  <c r="L170"/>
  <c r="L409"/>
  <c r="L377"/>
  <c r="L192"/>
  <c r="L502"/>
  <c r="L289"/>
  <c r="L641"/>
  <c r="L431"/>
  <c r="L162"/>
  <c r="L432"/>
  <c r="L295"/>
  <c r="L506"/>
  <c r="L379"/>
  <c r="L43"/>
  <c r="L459" s="1"/>
  <c r="L101"/>
  <c r="L297"/>
  <c r="L41"/>
  <c r="L268" s="1"/>
  <c r="L172"/>
  <c r="L460"/>
  <c r="L203"/>
  <c r="L510"/>
  <c r="L365"/>
  <c r="L65"/>
  <c r="L301"/>
  <c r="L38"/>
  <c r="L455" s="1"/>
  <c r="L44"/>
  <c r="L461" s="1"/>
  <c r="L151"/>
  <c r="L410"/>
  <c r="L183"/>
  <c r="L495"/>
  <c r="L180"/>
  <c r="L418"/>
  <c r="L194"/>
  <c r="L115"/>
  <c r="L583"/>
  <c r="L133"/>
  <c r="L411"/>
  <c r="L171"/>
  <c r="L496"/>
  <c r="L376"/>
  <c r="L66"/>
  <c r="L298"/>
  <c r="L173"/>
  <c r="L421"/>
  <c r="L388"/>
  <c r="L591"/>
  <c r="L389"/>
  <c r="L23"/>
  <c r="L302"/>
  <c r="L152"/>
  <c r="L299"/>
  <c r="L296"/>
  <c r="L19"/>
  <c r="L366"/>
  <c r="L512"/>
  <c r="L398"/>
  <c r="L509"/>
  <c r="L253"/>
  <c r="L642"/>
  <c r="L285"/>
  <c r="L511"/>
  <c r="L286"/>
  <c r="L182"/>
  <c r="L74"/>
  <c r="L399"/>
  <c r="L160"/>
  <c r="L412"/>
  <c r="L201"/>
  <c r="L367"/>
  <c r="L390"/>
  <c r="L147"/>
  <c r="L378"/>
  <c r="L193"/>
  <c r="L503"/>
  <c r="L204"/>
  <c r="L508"/>
  <c r="L368"/>
  <c r="L27"/>
  <c r="L391"/>
  <c r="L174"/>
  <c r="L507"/>
  <c r="L217"/>
  <c r="L497"/>
  <c r="L294"/>
  <c r="L494"/>
  <c r="L369"/>
  <c r="L42"/>
  <c r="L370"/>
  <c r="L40"/>
  <c r="L457" s="1"/>
  <c r="L46"/>
  <c r="L397"/>
  <c r="L218"/>
  <c r="K640"/>
  <c r="K634"/>
  <c r="H158"/>
  <c r="H659"/>
  <c r="H465"/>
  <c r="J652"/>
  <c r="J257"/>
  <c r="J76"/>
  <c r="J67"/>
  <c r="J103"/>
  <c r="J482"/>
  <c r="J462"/>
  <c r="J254"/>
  <c r="J593"/>
  <c r="J64"/>
  <c r="J271"/>
  <c r="J255"/>
  <c r="J256"/>
  <c r="J463"/>
  <c r="J585"/>
  <c r="J576"/>
  <c r="J135"/>
  <c r="H208"/>
  <c r="H179"/>
  <c r="H661"/>
  <c r="H146"/>
  <c r="H658"/>
  <c r="H383"/>
  <c r="H660"/>
  <c r="H404"/>
  <c r="H169"/>
  <c r="J1002" i="2"/>
  <c r="AA1013"/>
  <c r="AB1013" s="1"/>
  <c r="H484" i="1"/>
  <c r="K446"/>
  <c r="K238"/>
  <c r="K102"/>
  <c r="K232"/>
  <c r="I427"/>
  <c r="J425"/>
  <c r="J662"/>
  <c r="J190"/>
  <c r="J196" s="1"/>
  <c r="J208" s="1"/>
  <c r="J375"/>
  <c r="K29"/>
  <c r="K635"/>
  <c r="K396" s="1"/>
  <c r="K402" s="1"/>
  <c r="K633"/>
  <c r="K375" s="1"/>
  <c r="K381" s="1"/>
  <c r="K291"/>
  <c r="K415"/>
  <c r="K306"/>
  <c r="K631"/>
  <c r="K423"/>
  <c r="H15"/>
  <c r="H667"/>
  <c r="H586"/>
  <c r="H594"/>
  <c r="H328"/>
  <c r="H329"/>
  <c r="H535"/>
  <c r="H536"/>
  <c r="H577"/>
  <c r="H241"/>
  <c r="J1024" i="2"/>
  <c r="AA1024" s="1"/>
  <c r="AB1024" s="1"/>
  <c r="J1026"/>
  <c r="AA1026" s="1"/>
  <c r="AB1026" s="1"/>
  <c r="J1027"/>
  <c r="AA1027" s="1"/>
  <c r="AB1027" s="1"/>
  <c r="AA1023"/>
  <c r="AB1023" s="1"/>
  <c r="J396" i="1"/>
  <c r="J976" i="2"/>
  <c r="J1018"/>
  <c r="AA1015"/>
  <c r="AB1015" s="1"/>
  <c r="K574" i="1"/>
  <c r="K584"/>
  <c r="K231"/>
  <c r="K443"/>
  <c r="K499"/>
  <c r="K455"/>
  <c r="H138"/>
  <c r="H107"/>
  <c r="K1030" i="2"/>
  <c r="AA1019"/>
  <c r="AB1019" s="1"/>
  <c r="U1030"/>
  <c r="N998" l="1"/>
  <c r="J663" i="1"/>
  <c r="K50"/>
  <c r="L653"/>
  <c r="L35"/>
  <c r="J239"/>
  <c r="J226"/>
  <c r="J234"/>
  <c r="J230"/>
  <c r="I241"/>
  <c r="J227"/>
  <c r="J237"/>
  <c r="J104"/>
  <c r="J136"/>
  <c r="J138" s="1"/>
  <c r="J9"/>
  <c r="J233"/>
  <c r="J229"/>
  <c r="J12"/>
  <c r="J235"/>
  <c r="J11"/>
  <c r="L480"/>
  <c r="L247"/>
  <c r="J651"/>
  <c r="L475"/>
  <c r="L476"/>
  <c r="I246"/>
  <c r="I259" s="1"/>
  <c r="L265"/>
  <c r="J105"/>
  <c r="J60"/>
  <c r="J536" s="1"/>
  <c r="J236"/>
  <c r="L248"/>
  <c r="L454"/>
  <c r="L479"/>
  <c r="L264"/>
  <c r="J10"/>
  <c r="J77"/>
  <c r="J79" s="1"/>
  <c r="J96" s="1"/>
  <c r="I107"/>
  <c r="J63"/>
  <c r="J62"/>
  <c r="L266"/>
  <c r="L232"/>
  <c r="L231"/>
  <c r="L458"/>
  <c r="L584"/>
  <c r="L574"/>
  <c r="L477"/>
  <c r="L252"/>
  <c r="L444"/>
  <c r="L249"/>
  <c r="L269"/>
  <c r="L270"/>
  <c r="L442"/>
  <c r="L440"/>
  <c r="L575"/>
  <c r="I223"/>
  <c r="L447"/>
  <c r="L592"/>
  <c r="L448"/>
  <c r="L238"/>
  <c r="L102"/>
  <c r="L446"/>
  <c r="L478"/>
  <c r="L481"/>
  <c r="L441"/>
  <c r="L134"/>
  <c r="L635"/>
  <c r="L396" s="1"/>
  <c r="L402" s="1"/>
  <c r="L661" s="1"/>
  <c r="L306"/>
  <c r="L445"/>
  <c r="L443"/>
  <c r="N789" i="2"/>
  <c r="N704"/>
  <c r="N701"/>
  <c r="N791"/>
  <c r="N767"/>
  <c r="N702"/>
  <c r="N762"/>
  <c r="N700"/>
  <c r="N788"/>
  <c r="N1001"/>
  <c r="N705"/>
  <c r="N995"/>
  <c r="N698" s="1"/>
  <c r="O2"/>
  <c r="N765"/>
  <c r="N1087"/>
  <c r="N760"/>
  <c r="N761"/>
  <c r="N708"/>
  <c r="N977"/>
  <c r="N697"/>
  <c r="N800" s="1"/>
  <c r="N976"/>
  <c r="N1003"/>
  <c r="N1002"/>
  <c r="F961"/>
  <c r="E970" s="1"/>
  <c r="J221" i="1"/>
  <c r="L267"/>
  <c r="L250"/>
  <c r="J402"/>
  <c r="H596"/>
  <c r="H578"/>
  <c r="H580" s="1"/>
  <c r="H669"/>
  <c r="H69"/>
  <c r="H665"/>
  <c r="H486"/>
  <c r="H263"/>
  <c r="H176"/>
  <c r="H427"/>
  <c r="H155"/>
  <c r="J636"/>
  <c r="H246"/>
  <c r="H664"/>
  <c r="K652"/>
  <c r="K64"/>
  <c r="K271"/>
  <c r="K256"/>
  <c r="K67"/>
  <c r="K462"/>
  <c r="K257"/>
  <c r="K482"/>
  <c r="K637" s="1"/>
  <c r="K474" s="1"/>
  <c r="K484" s="1"/>
  <c r="K585"/>
  <c r="K254"/>
  <c r="K576"/>
  <c r="K463"/>
  <c r="K103"/>
  <c r="K135"/>
  <c r="K593"/>
  <c r="K255"/>
  <c r="K76"/>
  <c r="K430"/>
  <c r="K215"/>
  <c r="K214"/>
  <c r="K213"/>
  <c r="K216"/>
  <c r="I486"/>
  <c r="I488" s="1"/>
  <c r="I490" s="1"/>
  <c r="I665"/>
  <c r="I263"/>
  <c r="I273" s="1"/>
  <c r="L48"/>
  <c r="L643"/>
  <c r="L514"/>
  <c r="L640"/>
  <c r="L123" s="1"/>
  <c r="L499"/>
  <c r="I15"/>
  <c r="J998" i="2"/>
  <c r="AA1018"/>
  <c r="AB1018" s="1"/>
  <c r="H588" i="1"/>
  <c r="K364"/>
  <c r="K425"/>
  <c r="K662"/>
  <c r="K190"/>
  <c r="K659"/>
  <c r="K158"/>
  <c r="K164" s="1"/>
  <c r="K661"/>
  <c r="K179"/>
  <c r="K185" s="1"/>
  <c r="K668"/>
  <c r="K573"/>
  <c r="K572"/>
  <c r="K571"/>
  <c r="J381"/>
  <c r="H185"/>
  <c r="J637"/>
  <c r="H164"/>
  <c r="K386"/>
  <c r="K123"/>
  <c r="M23"/>
  <c r="M390"/>
  <c r="M151"/>
  <c r="M583"/>
  <c r="M300"/>
  <c r="M509"/>
  <c r="M295"/>
  <c r="M420"/>
  <c r="M74"/>
  <c r="M368"/>
  <c r="M287"/>
  <c r="M508"/>
  <c r="M304"/>
  <c r="M66"/>
  <c r="M301"/>
  <c r="M193"/>
  <c r="M510"/>
  <c r="M369"/>
  <c r="M160"/>
  <c r="M503"/>
  <c r="M409"/>
  <c r="M19"/>
  <c r="M410"/>
  <c r="M75"/>
  <c r="M399"/>
  <c r="M191"/>
  <c r="M493"/>
  <c r="M289"/>
  <c r="M591"/>
  <c r="M286"/>
  <c r="M27"/>
  <c r="M379"/>
  <c r="M294"/>
  <c r="M497"/>
  <c r="M203"/>
  <c r="M412"/>
  <c r="M42"/>
  <c r="M298"/>
  <c r="M180"/>
  <c r="M496"/>
  <c r="M218"/>
  <c r="M39"/>
  <c r="M477" s="1"/>
  <c r="M161"/>
  <c r="M204"/>
  <c r="M495"/>
  <c r="M387"/>
  <c r="M172"/>
  <c r="M419"/>
  <c r="M153"/>
  <c r="M366"/>
  <c r="M506"/>
  <c r="M183"/>
  <c r="M159"/>
  <c r="M413"/>
  <c r="M202"/>
  <c r="M512"/>
  <c r="M182"/>
  <c r="M641"/>
  <c r="M398"/>
  <c r="M171"/>
  <c r="M367"/>
  <c r="M253"/>
  <c r="M192"/>
  <c r="N2"/>
  <c r="M174"/>
  <c r="M421"/>
  <c r="M217"/>
  <c r="M507"/>
  <c r="M365"/>
  <c r="M43"/>
  <c r="M459" s="1"/>
  <c r="M148"/>
  <c r="M377"/>
  <c r="M40"/>
  <c r="M267" s="1"/>
  <c r="M115"/>
  <c r="M411"/>
  <c r="M201"/>
  <c r="M147"/>
  <c r="M370"/>
  <c r="M149"/>
  <c r="M297"/>
  <c r="M494"/>
  <c r="M162"/>
  <c r="M505"/>
  <c r="M391"/>
  <c r="M41"/>
  <c r="M268" s="1"/>
  <c r="M152"/>
  <c r="M376"/>
  <c r="M219"/>
  <c r="M133"/>
  <c r="M170"/>
  <c r="M181"/>
  <c r="M296"/>
  <c r="M38"/>
  <c r="M475" s="1"/>
  <c r="M288"/>
  <c r="M173"/>
  <c r="M45"/>
  <c r="M251" s="1"/>
  <c r="M302"/>
  <c r="M397"/>
  <c r="M502"/>
  <c r="M285"/>
  <c r="M303"/>
  <c r="M511"/>
  <c r="M299"/>
  <c r="M388"/>
  <c r="M432"/>
  <c r="M378"/>
  <c r="M418"/>
  <c r="M431"/>
  <c r="M504"/>
  <c r="M400"/>
  <c r="M33"/>
  <c r="M642"/>
  <c r="M460"/>
  <c r="M44"/>
  <c r="M461" s="1"/>
  <c r="M65"/>
  <c r="M101"/>
  <c r="M150"/>
  <c r="M194"/>
  <c r="M46"/>
  <c r="M389"/>
  <c r="I667"/>
  <c r="I594"/>
  <c r="I596" s="1"/>
  <c r="F412" i="2" s="1"/>
  <c r="I586" i="1"/>
  <c r="I588" s="1"/>
  <c r="F354" i="2" s="1"/>
  <c r="I329" i="1"/>
  <c r="I577"/>
  <c r="I328"/>
  <c r="I535"/>
  <c r="I536"/>
  <c r="K450"/>
  <c r="L206"/>
  <c r="L291"/>
  <c r="L29"/>
  <c r="L633"/>
  <c r="L375" s="1"/>
  <c r="L381" s="1"/>
  <c r="L423"/>
  <c r="L631"/>
  <c r="L364" s="1"/>
  <c r="L372" s="1"/>
  <c r="L415"/>
  <c r="L634"/>
  <c r="L386" s="1"/>
  <c r="L393" s="1"/>
  <c r="AA1030" i="2"/>
  <c r="AB1030" s="1"/>
  <c r="M448" i="1" l="1"/>
  <c r="M35"/>
  <c r="J667"/>
  <c r="J107"/>
  <c r="J241"/>
  <c r="J577"/>
  <c r="J15"/>
  <c r="J578" s="1"/>
  <c r="J328"/>
  <c r="J594"/>
  <c r="J596" s="1"/>
  <c r="F413" i="2" s="1"/>
  <c r="I275" i="1"/>
  <c r="I277" s="1"/>
  <c r="L179"/>
  <c r="L185" s="1"/>
  <c r="J586"/>
  <c r="J588" s="1"/>
  <c r="F355" i="2" s="1"/>
  <c r="J329" i="1"/>
  <c r="J535"/>
  <c r="M247"/>
  <c r="M479"/>
  <c r="M481"/>
  <c r="M270"/>
  <c r="M457"/>
  <c r="M447"/>
  <c r="L450"/>
  <c r="L237" s="1"/>
  <c r="M250"/>
  <c r="M478"/>
  <c r="M584"/>
  <c r="M575"/>
  <c r="M458"/>
  <c r="M456"/>
  <c r="M441"/>
  <c r="M269"/>
  <c r="M249"/>
  <c r="M480"/>
  <c r="M266"/>
  <c r="M102"/>
  <c r="M134"/>
  <c r="M440"/>
  <c r="O705" i="2"/>
  <c r="O760"/>
  <c r="O761"/>
  <c r="P2"/>
  <c r="O765"/>
  <c r="O789"/>
  <c r="O998"/>
  <c r="O708"/>
  <c r="O767"/>
  <c r="O704"/>
  <c r="O1001"/>
  <c r="O1002"/>
  <c r="O1003"/>
  <c r="O976"/>
  <c r="O977"/>
  <c r="O700"/>
  <c r="O762"/>
  <c r="O791"/>
  <c r="O702"/>
  <c r="O701"/>
  <c r="O788"/>
  <c r="O1087"/>
  <c r="O995"/>
  <c r="O698" s="1"/>
  <c r="O697"/>
  <c r="O800" s="1"/>
  <c r="M265" i="1"/>
  <c r="M248"/>
  <c r="M455"/>
  <c r="M476"/>
  <c r="L660"/>
  <c r="L404"/>
  <c r="L169"/>
  <c r="L176" s="1"/>
  <c r="L383"/>
  <c r="L658"/>
  <c r="L146"/>
  <c r="L155" s="1"/>
  <c r="N150"/>
  <c r="N502"/>
  <c r="N183"/>
  <c r="N641"/>
  <c r="N40"/>
  <c r="N478" s="1"/>
  <c r="N161"/>
  <c r="N505"/>
  <c r="N289"/>
  <c r="N297"/>
  <c r="N201"/>
  <c r="N191"/>
  <c r="N512"/>
  <c r="N432"/>
  <c r="N397"/>
  <c r="N218"/>
  <c r="N43"/>
  <c r="N481" s="1"/>
  <c r="N148"/>
  <c r="N504"/>
  <c r="N66"/>
  <c r="N370"/>
  <c r="N286"/>
  <c r="N507"/>
  <c r="N410"/>
  <c r="N295"/>
  <c r="N510"/>
  <c r="N173"/>
  <c r="N376"/>
  <c r="N147"/>
  <c r="N399"/>
  <c r="N203"/>
  <c r="N193"/>
  <c r="N152"/>
  <c r="N23"/>
  <c r="N497"/>
  <c r="N44"/>
  <c r="N461" s="1"/>
  <c r="N162"/>
  <c r="N151"/>
  <c r="N495"/>
  <c r="N302"/>
  <c r="N172"/>
  <c r="N493"/>
  <c r="N192"/>
  <c r="N460"/>
  <c r="N409"/>
  <c r="N39"/>
  <c r="N266" s="1"/>
  <c r="N287"/>
  <c r="N101"/>
  <c r="N378"/>
  <c r="N303"/>
  <c r="N160"/>
  <c r="N182"/>
  <c r="N133"/>
  <c r="N74"/>
  <c r="N194"/>
  <c r="N33"/>
  <c r="N35" s="1"/>
  <c r="N27"/>
  <c r="N298"/>
  <c r="N388"/>
  <c r="N65"/>
  <c r="N304"/>
  <c r="N285"/>
  <c r="N38"/>
  <c r="N248" s="1"/>
  <c r="N400"/>
  <c r="N389"/>
  <c r="N377"/>
  <c r="N219"/>
  <c r="N41"/>
  <c r="N268" s="1"/>
  <c r="N115"/>
  <c r="N506"/>
  <c r="N19"/>
  <c r="N368"/>
  <c r="N509"/>
  <c r="N379"/>
  <c r="N174"/>
  <c r="N46"/>
  <c r="N398"/>
  <c r="N288"/>
  <c r="N583"/>
  <c r="N296"/>
  <c r="N45"/>
  <c r="N251" s="1"/>
  <c r="N159"/>
  <c r="N418"/>
  <c r="N170"/>
  <c r="N153"/>
  <c r="N431"/>
  <c r="N413"/>
  <c r="O2"/>
  <c r="N511"/>
  <c r="N390"/>
  <c r="N181"/>
  <c r="N642"/>
  <c r="N421"/>
  <c r="N591"/>
  <c r="N294"/>
  <c r="N253"/>
  <c r="N420"/>
  <c r="N365"/>
  <c r="N301"/>
  <c r="N180"/>
  <c r="N367"/>
  <c r="N369"/>
  <c r="N149"/>
  <c r="N300"/>
  <c r="N204"/>
  <c r="N412"/>
  <c r="N75"/>
  <c r="N419"/>
  <c r="N202"/>
  <c r="N496"/>
  <c r="N494"/>
  <c r="N217"/>
  <c r="N508"/>
  <c r="N42"/>
  <c r="N391"/>
  <c r="N171"/>
  <c r="N503"/>
  <c r="N299"/>
  <c r="N366"/>
  <c r="N387"/>
  <c r="N411"/>
  <c r="M634"/>
  <c r="M386" s="1"/>
  <c r="M393" s="1"/>
  <c r="M640"/>
  <c r="M306"/>
  <c r="M415"/>
  <c r="J659"/>
  <c r="J158"/>
  <c r="J383"/>
  <c r="F353" i="2"/>
  <c r="F296"/>
  <c r="I516" i="1"/>
  <c r="K221"/>
  <c r="K665"/>
  <c r="K263"/>
  <c r="K273" s="1"/>
  <c r="H259"/>
  <c r="J453"/>
  <c r="H187"/>
  <c r="H273"/>
  <c r="H127"/>
  <c r="H113"/>
  <c r="H125"/>
  <c r="H655"/>
  <c r="H95"/>
  <c r="H81"/>
  <c r="H114"/>
  <c r="H126"/>
  <c r="H128"/>
  <c r="F9" i="2"/>
  <c r="J661" i="1"/>
  <c r="J179"/>
  <c r="J404"/>
  <c r="M232"/>
  <c r="M574"/>
  <c r="M231"/>
  <c r="M444"/>
  <c r="M238"/>
  <c r="M442"/>
  <c r="M454"/>
  <c r="M264"/>
  <c r="M592"/>
  <c r="M445"/>
  <c r="M514"/>
  <c r="M206"/>
  <c r="M643"/>
  <c r="M499"/>
  <c r="H166"/>
  <c r="K636"/>
  <c r="K453" s="1"/>
  <c r="K465" s="1"/>
  <c r="K486" s="1"/>
  <c r="K488" s="1"/>
  <c r="L662"/>
  <c r="L425"/>
  <c r="L190"/>
  <c r="L196" s="1"/>
  <c r="L208" s="1"/>
  <c r="L659"/>
  <c r="L158"/>
  <c r="L164" s="1"/>
  <c r="L50"/>
  <c r="L668"/>
  <c r="L573"/>
  <c r="L571"/>
  <c r="L572"/>
  <c r="K663"/>
  <c r="K233"/>
  <c r="K234"/>
  <c r="K236"/>
  <c r="K228"/>
  <c r="K239"/>
  <c r="K227"/>
  <c r="K226"/>
  <c r="K237"/>
  <c r="K235"/>
  <c r="K229"/>
  <c r="K230"/>
  <c r="M653"/>
  <c r="M423"/>
  <c r="M291"/>
  <c r="M635"/>
  <c r="M633"/>
  <c r="M375" s="1"/>
  <c r="M381" s="1"/>
  <c r="M631"/>
  <c r="M364" s="1"/>
  <c r="M372" s="1"/>
  <c r="M29"/>
  <c r="K393"/>
  <c r="J474"/>
  <c r="K651"/>
  <c r="K136"/>
  <c r="K77"/>
  <c r="K79" s="1"/>
  <c r="K105"/>
  <c r="K11"/>
  <c r="K12"/>
  <c r="K104"/>
  <c r="K13"/>
  <c r="K63"/>
  <c r="K62"/>
  <c r="K10"/>
  <c r="K60"/>
  <c r="K9"/>
  <c r="K196"/>
  <c r="K372"/>
  <c r="I69"/>
  <c r="I669"/>
  <c r="I578"/>
  <c r="I580" s="1"/>
  <c r="L214"/>
  <c r="L430"/>
  <c r="L434" s="1"/>
  <c r="L213"/>
  <c r="L216"/>
  <c r="L215"/>
  <c r="L652"/>
  <c r="L482"/>
  <c r="L463"/>
  <c r="L271"/>
  <c r="L257"/>
  <c r="L76"/>
  <c r="L462"/>
  <c r="L103"/>
  <c r="L67"/>
  <c r="L576"/>
  <c r="L593"/>
  <c r="L135"/>
  <c r="L254"/>
  <c r="L64"/>
  <c r="L256"/>
  <c r="L585"/>
  <c r="L255"/>
  <c r="K434"/>
  <c r="H488"/>
  <c r="F411" i="2"/>
  <c r="M443" i="1"/>
  <c r="M48"/>
  <c r="M446"/>
  <c r="M252"/>
  <c r="N653" l="1"/>
  <c r="J669"/>
  <c r="L228"/>
  <c r="J69"/>
  <c r="J125" s="1"/>
  <c r="L227"/>
  <c r="L239"/>
  <c r="L236"/>
  <c r="I279"/>
  <c r="I308" s="1"/>
  <c r="L663"/>
  <c r="J580"/>
  <c r="F298" i="2" s="1"/>
  <c r="L235" i="1"/>
  <c r="L187"/>
  <c r="L229"/>
  <c r="L226"/>
  <c r="L234"/>
  <c r="L233"/>
  <c r="L230"/>
  <c r="N476"/>
  <c r="N454"/>
  <c r="N440"/>
  <c r="L636"/>
  <c r="L453" s="1"/>
  <c r="L465" s="1"/>
  <c r="L664" s="1"/>
  <c r="N447"/>
  <c r="N584"/>
  <c r="N247"/>
  <c r="N448"/>
  <c r="N252"/>
  <c r="N459"/>
  <c r="N231"/>
  <c r="N270"/>
  <c r="N102"/>
  <c r="N479"/>
  <c r="N269"/>
  <c r="N458"/>
  <c r="N29"/>
  <c r="N456"/>
  <c r="N477"/>
  <c r="N249"/>
  <c r="N480"/>
  <c r="N457"/>
  <c r="N574"/>
  <c r="N475"/>
  <c r="N265"/>
  <c r="N267"/>
  <c r="N238"/>
  <c r="N442"/>
  <c r="N446"/>
  <c r="N250"/>
  <c r="N634"/>
  <c r="N386" s="1"/>
  <c r="N393" s="1"/>
  <c r="N169" s="1"/>
  <c r="N176" s="1"/>
  <c r="N134"/>
  <c r="N232"/>
  <c r="N443"/>
  <c r="N444"/>
  <c r="N441"/>
  <c r="N455"/>
  <c r="N575"/>
  <c r="N445"/>
  <c r="N640"/>
  <c r="N123" s="1"/>
  <c r="P705" i="2"/>
  <c r="P1001"/>
  <c r="P765"/>
  <c r="P760"/>
  <c r="P704"/>
  <c r="Q2"/>
  <c r="P789"/>
  <c r="P761"/>
  <c r="P708"/>
  <c r="P998"/>
  <c r="P767"/>
  <c r="P977"/>
  <c r="P1003"/>
  <c r="P976"/>
  <c r="P762"/>
  <c r="P788"/>
  <c r="P791"/>
  <c r="P700"/>
  <c r="P701"/>
  <c r="P995"/>
  <c r="P698" s="1"/>
  <c r="P1087"/>
  <c r="P702"/>
  <c r="P697"/>
  <c r="P800" s="1"/>
  <c r="P1002"/>
  <c r="N592" i="1"/>
  <c r="M450"/>
  <c r="M663" s="1"/>
  <c r="M652"/>
  <c r="M76"/>
  <c r="M135"/>
  <c r="M482"/>
  <c r="M637" s="1"/>
  <c r="M474" s="1"/>
  <c r="M484" s="1"/>
  <c r="M593"/>
  <c r="M463"/>
  <c r="M271"/>
  <c r="M255"/>
  <c r="M462"/>
  <c r="M64"/>
  <c r="M256"/>
  <c r="M254"/>
  <c r="M576"/>
  <c r="M103"/>
  <c r="M257"/>
  <c r="M67"/>
  <c r="M585"/>
  <c r="L637"/>
  <c r="K667"/>
  <c r="K328"/>
  <c r="K586"/>
  <c r="K535"/>
  <c r="K329"/>
  <c r="K594"/>
  <c r="K536"/>
  <c r="K577"/>
  <c r="H210"/>
  <c r="J185"/>
  <c r="H98"/>
  <c r="H130"/>
  <c r="J465"/>
  <c r="H275"/>
  <c r="J427"/>
  <c r="M662"/>
  <c r="M425"/>
  <c r="M190"/>
  <c r="M123"/>
  <c r="M660"/>
  <c r="M169"/>
  <c r="M176" s="1"/>
  <c r="N48"/>
  <c r="N206"/>
  <c r="N514"/>
  <c r="L221"/>
  <c r="N631"/>
  <c r="N364" s="1"/>
  <c r="N372" s="1"/>
  <c r="N306"/>
  <c r="N423"/>
  <c r="N415"/>
  <c r="N633"/>
  <c r="N375" s="1"/>
  <c r="N635"/>
  <c r="N396" s="1"/>
  <c r="N402" s="1"/>
  <c r="K96"/>
  <c r="F297" i="2"/>
  <c r="H490" i="1"/>
  <c r="I95"/>
  <c r="I98" s="1"/>
  <c r="I81"/>
  <c r="I655"/>
  <c r="I114"/>
  <c r="I128"/>
  <c r="I127"/>
  <c r="I126"/>
  <c r="F10" i="2"/>
  <c r="I125" i="1"/>
  <c r="I113"/>
  <c r="K658"/>
  <c r="K383"/>
  <c r="K146"/>
  <c r="K208"/>
  <c r="K15"/>
  <c r="K107"/>
  <c r="J484"/>
  <c r="K660"/>
  <c r="K404"/>
  <c r="K169"/>
  <c r="M668"/>
  <c r="M50"/>
  <c r="M572"/>
  <c r="M571"/>
  <c r="M573"/>
  <c r="M383"/>
  <c r="M658"/>
  <c r="M146"/>
  <c r="M155" s="1"/>
  <c r="M659"/>
  <c r="M158"/>
  <c r="M164" s="1"/>
  <c r="M396"/>
  <c r="K241"/>
  <c r="L651"/>
  <c r="L105"/>
  <c r="L104"/>
  <c r="L9"/>
  <c r="L11"/>
  <c r="L62"/>
  <c r="L13"/>
  <c r="L136"/>
  <c r="L138" s="1"/>
  <c r="L60"/>
  <c r="L77"/>
  <c r="L79" s="1"/>
  <c r="L10"/>
  <c r="L63"/>
  <c r="L12"/>
  <c r="K664"/>
  <c r="K246"/>
  <c r="K259" s="1"/>
  <c r="K275" s="1"/>
  <c r="M214"/>
  <c r="M215"/>
  <c r="M213"/>
  <c r="M430"/>
  <c r="M434" s="1"/>
  <c r="M216"/>
  <c r="I666"/>
  <c r="I531"/>
  <c r="I318"/>
  <c r="I527"/>
  <c r="I322"/>
  <c r="I323"/>
  <c r="I525"/>
  <c r="I528"/>
  <c r="I317"/>
  <c r="I327"/>
  <c r="I526"/>
  <c r="I534"/>
  <c r="I320"/>
  <c r="I533"/>
  <c r="I326"/>
  <c r="I530"/>
  <c r="I319"/>
  <c r="J164"/>
  <c r="O218"/>
  <c r="O493"/>
  <c r="O397"/>
  <c r="O510"/>
  <c r="O285"/>
  <c r="O43"/>
  <c r="O270" s="1"/>
  <c r="O160"/>
  <c r="O508"/>
  <c r="O365"/>
  <c r="O497"/>
  <c r="O298"/>
  <c r="O147"/>
  <c r="O303"/>
  <c r="O193"/>
  <c r="O512"/>
  <c r="O387"/>
  <c r="O41"/>
  <c r="O268" s="1"/>
  <c r="O162"/>
  <c r="O302"/>
  <c r="O46"/>
  <c r="O389"/>
  <c r="O66"/>
  <c r="O300"/>
  <c r="O201"/>
  <c r="O149"/>
  <c r="O366"/>
  <c r="O19"/>
  <c r="O411"/>
  <c r="O204"/>
  <c r="O504"/>
  <c r="O294"/>
  <c r="O33"/>
  <c r="O75"/>
  <c r="O376"/>
  <c r="O42"/>
  <c r="O296"/>
  <c r="O183"/>
  <c r="O40"/>
  <c r="O457" s="1"/>
  <c r="O161"/>
  <c r="O301"/>
  <c r="O115"/>
  <c r="O432"/>
  <c r="O173"/>
  <c r="O503"/>
  <c r="O286"/>
  <c r="O44"/>
  <c r="O461" s="1"/>
  <c r="O170"/>
  <c r="O410"/>
  <c r="O191"/>
  <c r="O460"/>
  <c r="O152"/>
  <c r="O421"/>
  <c r="O148"/>
  <c r="O367"/>
  <c r="O400"/>
  <c r="O45"/>
  <c r="O480" s="1"/>
  <c r="O171"/>
  <c r="O388"/>
  <c r="O159"/>
  <c r="O511"/>
  <c r="O369"/>
  <c r="O496"/>
  <c r="O27"/>
  <c r="O379"/>
  <c r="O151"/>
  <c r="O409"/>
  <c r="O101"/>
  <c r="O299"/>
  <c r="O399"/>
  <c r="O217"/>
  <c r="O419"/>
  <c r="O181"/>
  <c r="O494"/>
  <c r="O289"/>
  <c r="O495"/>
  <c r="O378"/>
  <c r="O194"/>
  <c r="O509"/>
  <c r="O253"/>
  <c r="O502"/>
  <c r="O203"/>
  <c r="O507"/>
  <c r="O174"/>
  <c r="O74"/>
  <c r="O391"/>
  <c r="O172"/>
  <c r="O420"/>
  <c r="O182"/>
  <c r="P2"/>
  <c r="O304"/>
  <c r="O39"/>
  <c r="O477" s="1"/>
  <c r="O180"/>
  <c r="O431"/>
  <c r="O202"/>
  <c r="O412"/>
  <c r="O192"/>
  <c r="O591"/>
  <c r="O390"/>
  <c r="O287"/>
  <c r="O505"/>
  <c r="O219"/>
  <c r="O65"/>
  <c r="O368"/>
  <c r="O133"/>
  <c r="O413"/>
  <c r="O370"/>
  <c r="O642"/>
  <c r="O295"/>
  <c r="O641"/>
  <c r="O398"/>
  <c r="O23"/>
  <c r="O297"/>
  <c r="O150"/>
  <c r="O583"/>
  <c r="O288"/>
  <c r="O506"/>
  <c r="O377"/>
  <c r="O38"/>
  <c r="O475" s="1"/>
  <c r="O153"/>
  <c r="O418"/>
  <c r="N643"/>
  <c r="K138"/>
  <c r="N291"/>
  <c r="N499"/>
  <c r="N264"/>
  <c r="L166"/>
  <c r="L427"/>
  <c r="O35" l="1"/>
  <c r="J81"/>
  <c r="N668"/>
  <c r="N50"/>
  <c r="J113"/>
  <c r="O134"/>
  <c r="J95"/>
  <c r="J98" s="1"/>
  <c r="J532" s="1"/>
  <c r="J655"/>
  <c r="F11" i="2"/>
  <c r="F1095" s="1"/>
  <c r="J114" i="1"/>
  <c r="J128"/>
  <c r="J127"/>
  <c r="J126"/>
  <c r="N404"/>
  <c r="L210"/>
  <c r="L223" s="1"/>
  <c r="L246"/>
  <c r="L259" s="1"/>
  <c r="L241"/>
  <c r="N572"/>
  <c r="N660"/>
  <c r="N136"/>
  <c r="O478"/>
  <c r="O231"/>
  <c r="M636"/>
  <c r="M453" s="1"/>
  <c r="M465" s="1"/>
  <c r="M486" s="1"/>
  <c r="M488" s="1"/>
  <c r="O479"/>
  <c r="O267"/>
  <c r="O232"/>
  <c r="O458"/>
  <c r="O459"/>
  <c r="O592"/>
  <c r="O584"/>
  <c r="O102"/>
  <c r="M226"/>
  <c r="N450"/>
  <c r="N228" s="1"/>
  <c r="O265"/>
  <c r="O252"/>
  <c r="O250"/>
  <c r="O444"/>
  <c r="O249"/>
  <c r="N573"/>
  <c r="N571"/>
  <c r="O481"/>
  <c r="O266"/>
  <c r="M235"/>
  <c r="O445"/>
  <c r="M237"/>
  <c r="O446"/>
  <c r="O441"/>
  <c r="O269"/>
  <c r="O575"/>
  <c r="M229"/>
  <c r="O443"/>
  <c r="O574"/>
  <c r="O238"/>
  <c r="O251"/>
  <c r="O48"/>
  <c r="O256" s="1"/>
  <c r="M233"/>
  <c r="M230"/>
  <c r="M236"/>
  <c r="K277"/>
  <c r="O442"/>
  <c r="O440"/>
  <c r="O447"/>
  <c r="O448"/>
  <c r="M228"/>
  <c r="M227"/>
  <c r="O456"/>
  <c r="O643"/>
  <c r="L107"/>
  <c r="M234"/>
  <c r="M239"/>
  <c r="Q705" i="2"/>
  <c r="Q765"/>
  <c r="Q791"/>
  <c r="Q995"/>
  <c r="Q1087"/>
  <c r="Q702"/>
  <c r="Q708"/>
  <c r="Q789"/>
  <c r="R2"/>
  <c r="Q760"/>
  <c r="Q761"/>
  <c r="Q767"/>
  <c r="Q976"/>
  <c r="Q700"/>
  <c r="Q788"/>
  <c r="Q762"/>
  <c r="Q701"/>
  <c r="Q977"/>
  <c r="Q1001"/>
  <c r="Q704"/>
  <c r="Q1003"/>
  <c r="Q1002"/>
  <c r="Q998"/>
  <c r="Q697"/>
  <c r="Q800" s="1"/>
  <c r="O476" i="1"/>
  <c r="O248"/>
  <c r="O264"/>
  <c r="O454"/>
  <c r="L15"/>
  <c r="L669" s="1"/>
  <c r="L96"/>
  <c r="O415"/>
  <c r="O633"/>
  <c r="O375" s="1"/>
  <c r="O381" s="1"/>
  <c r="O653"/>
  <c r="O29"/>
  <c r="O631"/>
  <c r="O364" s="1"/>
  <c r="O372" s="1"/>
  <c r="O291"/>
  <c r="O635"/>
  <c r="J166"/>
  <c r="M402"/>
  <c r="M651"/>
  <c r="M10"/>
  <c r="M77"/>
  <c r="M79" s="1"/>
  <c r="M96" s="1"/>
  <c r="M60"/>
  <c r="M63"/>
  <c r="M105"/>
  <c r="M13"/>
  <c r="M11"/>
  <c r="M62"/>
  <c r="M136"/>
  <c r="M138" s="1"/>
  <c r="M12"/>
  <c r="M9"/>
  <c r="M104"/>
  <c r="N381"/>
  <c r="N383" s="1"/>
  <c r="N658"/>
  <c r="N146"/>
  <c r="N155" s="1"/>
  <c r="K588"/>
  <c r="M665"/>
  <c r="M263"/>
  <c r="M273" s="1"/>
  <c r="O514"/>
  <c r="O247"/>
  <c r="M221"/>
  <c r="M166"/>
  <c r="K427"/>
  <c r="K490" s="1"/>
  <c r="I657"/>
  <c r="I120"/>
  <c r="N214"/>
  <c r="N215"/>
  <c r="N216"/>
  <c r="N213"/>
  <c r="N430"/>
  <c r="N434" s="1"/>
  <c r="O423"/>
  <c r="O640"/>
  <c r="P173"/>
  <c r="P495"/>
  <c r="P218"/>
  <c r="P512"/>
  <c r="P399"/>
  <c r="P583"/>
  <c r="P400"/>
  <c r="P27"/>
  <c r="P397"/>
  <c r="P183"/>
  <c r="P641"/>
  <c r="P387"/>
  <c r="P388"/>
  <c r="P494"/>
  <c r="P182"/>
  <c r="P507"/>
  <c r="P376"/>
  <c r="P74"/>
  <c r="P391"/>
  <c r="P75"/>
  <c r="P300"/>
  <c r="P389"/>
  <c r="P39"/>
  <c r="P249" s="1"/>
  <c r="P174"/>
  <c r="P508"/>
  <c r="P369"/>
  <c r="P23"/>
  <c r="P370"/>
  <c r="P642"/>
  <c r="P296"/>
  <c r="Q2"/>
  <c r="P368"/>
  <c r="P40"/>
  <c r="P250" s="1"/>
  <c r="P153"/>
  <c r="P411"/>
  <c r="P38"/>
  <c r="P248" s="1"/>
  <c r="P45"/>
  <c r="P458" s="1"/>
  <c r="P115"/>
  <c r="P412"/>
  <c r="P151"/>
  <c r="P409"/>
  <c r="P287"/>
  <c r="P44"/>
  <c r="P461" s="1"/>
  <c r="P161"/>
  <c r="P377"/>
  <c r="P378"/>
  <c r="P510"/>
  <c r="P204"/>
  <c r="P66"/>
  <c r="P432"/>
  <c r="P170"/>
  <c r="P299"/>
  <c r="P172"/>
  <c r="P65"/>
  <c r="P379"/>
  <c r="P147"/>
  <c r="P460"/>
  <c r="P288"/>
  <c r="P509"/>
  <c r="P289"/>
  <c r="P502"/>
  <c r="P149"/>
  <c r="P366"/>
  <c r="P43"/>
  <c r="P481" s="1"/>
  <c r="P152"/>
  <c r="P302"/>
  <c r="P180"/>
  <c r="P419"/>
  <c r="P181"/>
  <c r="P506"/>
  <c r="P203"/>
  <c r="P503"/>
  <c r="P398"/>
  <c r="P217"/>
  <c r="P162"/>
  <c r="P413"/>
  <c r="P42"/>
  <c r="P297"/>
  <c r="P133"/>
  <c r="P504"/>
  <c r="P194"/>
  <c r="P505"/>
  <c r="P285"/>
  <c r="P101"/>
  <c r="P421"/>
  <c r="P298"/>
  <c r="P201"/>
  <c r="P493"/>
  <c r="P202"/>
  <c r="P418"/>
  <c r="P46"/>
  <c r="P301"/>
  <c r="P171"/>
  <c r="P496"/>
  <c r="P294"/>
  <c r="P497"/>
  <c r="P295"/>
  <c r="P591"/>
  <c r="P286"/>
  <c r="P33"/>
  <c r="P35" s="1"/>
  <c r="P160"/>
  <c r="P410"/>
  <c r="P219"/>
  <c r="P191"/>
  <c r="P420"/>
  <c r="P159"/>
  <c r="P431"/>
  <c r="P193"/>
  <c r="P19"/>
  <c r="P253"/>
  <c r="P367"/>
  <c r="P365"/>
  <c r="P192"/>
  <c r="P511"/>
  <c r="P390"/>
  <c r="P148"/>
  <c r="P303"/>
  <c r="P41"/>
  <c r="P479" s="1"/>
  <c r="P150"/>
  <c r="P304"/>
  <c r="O306"/>
  <c r="O634"/>
  <c r="L667"/>
  <c r="L328"/>
  <c r="L535"/>
  <c r="L577"/>
  <c r="L329"/>
  <c r="L586"/>
  <c r="L588" s="1"/>
  <c r="F357" i="2" s="1"/>
  <c r="L594" i="1"/>
  <c r="L596" s="1"/>
  <c r="F415" i="2" s="1"/>
  <c r="L536" i="1"/>
  <c r="K176"/>
  <c r="J665"/>
  <c r="J486"/>
  <c r="J263"/>
  <c r="K669"/>
  <c r="K69"/>
  <c r="K578"/>
  <c r="K580" s="1"/>
  <c r="K155"/>
  <c r="K166" s="1"/>
  <c r="I109"/>
  <c r="F69" i="2" s="1"/>
  <c r="I606" i="1"/>
  <c r="I532"/>
  <c r="I321"/>
  <c r="I324"/>
  <c r="I600"/>
  <c r="F526" i="2" s="1"/>
  <c r="I325" i="1"/>
  <c r="I604"/>
  <c r="F641" i="2" s="1"/>
  <c r="I602" i="1"/>
  <c r="F584" i="2" s="1"/>
  <c r="I598" i="1"/>
  <c r="I529"/>
  <c r="H516"/>
  <c r="N661"/>
  <c r="N179"/>
  <c r="N185" s="1"/>
  <c r="N187" s="1"/>
  <c r="N662"/>
  <c r="N425"/>
  <c r="N190"/>
  <c r="N196" s="1"/>
  <c r="N208" s="1"/>
  <c r="N652"/>
  <c r="N76"/>
  <c r="N254"/>
  <c r="N103"/>
  <c r="N257"/>
  <c r="N256"/>
  <c r="N64"/>
  <c r="N593"/>
  <c r="N585"/>
  <c r="N255"/>
  <c r="N135"/>
  <c r="N462"/>
  <c r="N463"/>
  <c r="N576"/>
  <c r="N271"/>
  <c r="N67"/>
  <c r="N482"/>
  <c r="M196"/>
  <c r="H277"/>
  <c r="J664"/>
  <c r="J246"/>
  <c r="H602"/>
  <c r="H109"/>
  <c r="H325"/>
  <c r="H600"/>
  <c r="H529"/>
  <c r="H604"/>
  <c r="H598"/>
  <c r="H321"/>
  <c r="H532"/>
  <c r="H324"/>
  <c r="H606"/>
  <c r="J187"/>
  <c r="H223"/>
  <c r="K596"/>
  <c r="L474"/>
  <c r="O455"/>
  <c r="O206"/>
  <c r="O499"/>
  <c r="I130"/>
  <c r="J109" l="1"/>
  <c r="F70" i="2" s="1"/>
  <c r="O50" i="1"/>
  <c r="J324"/>
  <c r="J321"/>
  <c r="J606"/>
  <c r="J325"/>
  <c r="J600"/>
  <c r="F527" i="2" s="1"/>
  <c r="J604" i="1"/>
  <c r="F642" i="2" s="1"/>
  <c r="J529" i="1"/>
  <c r="J602"/>
  <c r="F585" i="2" s="1"/>
  <c r="J598" i="1"/>
  <c r="F470" i="2" s="1"/>
  <c r="P653" i="1"/>
  <c r="J130"/>
  <c r="L69"/>
  <c r="L127" s="1"/>
  <c r="N105"/>
  <c r="N63"/>
  <c r="N13"/>
  <c r="N10"/>
  <c r="N77"/>
  <c r="N79" s="1"/>
  <c r="N96" s="1"/>
  <c r="N62"/>
  <c r="P251"/>
  <c r="L578"/>
  <c r="L580" s="1"/>
  <c r="F300" i="2" s="1"/>
  <c r="N651" i="1"/>
  <c r="N104"/>
  <c r="N9"/>
  <c r="N12"/>
  <c r="N11"/>
  <c r="N60"/>
  <c r="N535" s="1"/>
  <c r="P477"/>
  <c r="N663"/>
  <c r="I331"/>
  <c r="I333" s="1"/>
  <c r="I335" s="1"/>
  <c r="N230"/>
  <c r="P476"/>
  <c r="N234"/>
  <c r="N226"/>
  <c r="O103"/>
  <c r="M246"/>
  <c r="M259" s="1"/>
  <c r="M275" s="1"/>
  <c r="M664"/>
  <c r="N236"/>
  <c r="N237"/>
  <c r="N227"/>
  <c r="P574"/>
  <c r="N239"/>
  <c r="N229"/>
  <c r="N233"/>
  <c r="N235"/>
  <c r="O450"/>
  <c r="O234" s="1"/>
  <c r="P480"/>
  <c r="N138"/>
  <c r="O482"/>
  <c r="O637" s="1"/>
  <c r="O474" s="1"/>
  <c r="O484" s="1"/>
  <c r="O263" s="1"/>
  <c r="O67"/>
  <c r="I538"/>
  <c r="I540" s="1"/>
  <c r="I542" s="1"/>
  <c r="O255"/>
  <c r="O593"/>
  <c r="O135"/>
  <c r="P265"/>
  <c r="M107"/>
  <c r="P455"/>
  <c r="P264"/>
  <c r="P475"/>
  <c r="P269"/>
  <c r="P441"/>
  <c r="P457"/>
  <c r="P631"/>
  <c r="P364" s="1"/>
  <c r="P372" s="1"/>
  <c r="P146" s="1"/>
  <c r="P155" s="1"/>
  <c r="M241"/>
  <c r="P247"/>
  <c r="P454"/>
  <c r="P456"/>
  <c r="O652"/>
  <c r="O64"/>
  <c r="O271"/>
  <c r="O254"/>
  <c r="O76"/>
  <c r="O463"/>
  <c r="P266"/>
  <c r="P447"/>
  <c r="O576"/>
  <c r="P267"/>
  <c r="P478"/>
  <c r="O585"/>
  <c r="O257"/>
  <c r="P29"/>
  <c r="P268"/>
  <c r="P252"/>
  <c r="O462"/>
  <c r="O430"/>
  <c r="O434" s="1"/>
  <c r="O216"/>
  <c r="O213"/>
  <c r="O214"/>
  <c r="O215"/>
  <c r="R1001" i="2"/>
  <c r="R708"/>
  <c r="R702"/>
  <c r="R1087"/>
  <c r="R704"/>
  <c r="R767"/>
  <c r="R791"/>
  <c r="S2"/>
  <c r="R788"/>
  <c r="R701"/>
  <c r="R765"/>
  <c r="R700"/>
  <c r="R789"/>
  <c r="R762"/>
  <c r="R760"/>
  <c r="R977"/>
  <c r="R998"/>
  <c r="R995"/>
  <c r="R698" s="1"/>
  <c r="R761"/>
  <c r="R705"/>
  <c r="R976"/>
  <c r="R1003"/>
  <c r="R1002"/>
  <c r="R697"/>
  <c r="R800" s="1"/>
  <c r="Q698"/>
  <c r="N636" i="1"/>
  <c r="N453" s="1"/>
  <c r="M15"/>
  <c r="M69" s="1"/>
  <c r="P231"/>
  <c r="P102"/>
  <c r="P238"/>
  <c r="P575"/>
  <c r="P584"/>
  <c r="P592"/>
  <c r="P442"/>
  <c r="N221"/>
  <c r="N427"/>
  <c r="F414" i="2"/>
  <c r="F468"/>
  <c r="H608" i="1"/>
  <c r="F583" i="2"/>
  <c r="J259" i="1"/>
  <c r="N637"/>
  <c r="H525"/>
  <c r="H323"/>
  <c r="H326"/>
  <c r="H666"/>
  <c r="H531"/>
  <c r="H320"/>
  <c r="H530"/>
  <c r="H319"/>
  <c r="H317"/>
  <c r="H526"/>
  <c r="H528"/>
  <c r="H322"/>
  <c r="H533"/>
  <c r="H527"/>
  <c r="H327"/>
  <c r="H318"/>
  <c r="H534"/>
  <c r="F469" i="2"/>
  <c r="I608" i="1"/>
  <c r="J273"/>
  <c r="K187"/>
  <c r="K210" s="1"/>
  <c r="K223" s="1"/>
  <c r="K279" s="1"/>
  <c r="H415" i="2"/>
  <c r="L415"/>
  <c r="Q415"/>
  <c r="G415"/>
  <c r="I415"/>
  <c r="M415"/>
  <c r="K415"/>
  <c r="N415"/>
  <c r="J415"/>
  <c r="P415"/>
  <c r="O415"/>
  <c r="O386" i="1"/>
  <c r="Q162"/>
  <c r="Q431"/>
  <c r="Q183"/>
  <c r="Q421"/>
  <c r="Q41"/>
  <c r="Q268" s="1"/>
  <c r="Q150"/>
  <c r="Q376"/>
  <c r="Q151"/>
  <c r="Q398"/>
  <c r="Q160"/>
  <c r="Q379"/>
  <c r="Q149"/>
  <c r="Q389"/>
  <c r="Q159"/>
  <c r="Q378"/>
  <c r="Q192"/>
  <c r="Q502"/>
  <c r="Q294"/>
  <c r="Q38"/>
  <c r="Q475" s="1"/>
  <c r="Q101"/>
  <c r="Q133"/>
  <c r="Q299"/>
  <c r="Q174"/>
  <c r="Q493"/>
  <c r="Q368"/>
  <c r="Q511"/>
  <c r="Q304"/>
  <c r="Q506"/>
  <c r="Q23"/>
  <c r="Q287"/>
  <c r="Q74"/>
  <c r="Q366"/>
  <c r="Q191"/>
  <c r="Q411"/>
  <c r="Q43"/>
  <c r="Q459" s="1"/>
  <c r="Q147"/>
  <c r="Q409"/>
  <c r="Q42"/>
  <c r="Q302"/>
  <c r="Q65"/>
  <c r="Q387"/>
  <c r="Q40"/>
  <c r="Q478" s="1"/>
  <c r="Q44"/>
  <c r="Q461" s="1"/>
  <c r="Q115"/>
  <c r="Q377"/>
  <c r="Q410"/>
  <c r="Q46"/>
  <c r="Q412"/>
  <c r="Q642"/>
  <c r="Q399"/>
  <c r="Q503"/>
  <c r="Q173"/>
  <c r="Q148"/>
  <c r="Q413"/>
  <c r="Q75"/>
  <c r="Q303"/>
  <c r="Q296"/>
  <c r="Q497"/>
  <c r="Q369"/>
  <c r="Q181"/>
  <c r="Q509"/>
  <c r="Q27"/>
  <c r="Q288"/>
  <c r="Q510"/>
  <c r="Q390"/>
  <c r="Q507"/>
  <c r="Q218"/>
  <c r="Q19"/>
  <c r="Q219"/>
  <c r="R2"/>
  <c r="Q286"/>
  <c r="Q641"/>
  <c r="Q170"/>
  <c r="Q504"/>
  <c r="Q285"/>
  <c r="Q505"/>
  <c r="Q391"/>
  <c r="Q301"/>
  <c r="Q295"/>
  <c r="Q365"/>
  <c r="Q39"/>
  <c r="Q456" s="1"/>
  <c r="Q298"/>
  <c r="Q508"/>
  <c r="Q370"/>
  <c r="Q194"/>
  <c r="Q203"/>
  <c r="Q204"/>
  <c r="Q419"/>
  <c r="Q172"/>
  <c r="Q161"/>
  <c r="Q400"/>
  <c r="Q182"/>
  <c r="Q591"/>
  <c r="Q289"/>
  <c r="Q495"/>
  <c r="Q201"/>
  <c r="Q420"/>
  <c r="Q202"/>
  <c r="Q432"/>
  <c r="Q180"/>
  <c r="Q496"/>
  <c r="Q253"/>
  <c r="Q33"/>
  <c r="Q45"/>
  <c r="Q269" s="1"/>
  <c r="Q171"/>
  <c r="Q460"/>
  <c r="Q217"/>
  <c r="Q367"/>
  <c r="Q152"/>
  <c r="Q193"/>
  <c r="Q397"/>
  <c r="Q418"/>
  <c r="Q300"/>
  <c r="Q512"/>
  <c r="Q583"/>
  <c r="Q153"/>
  <c r="Q297"/>
  <c r="Q494"/>
  <c r="Q66"/>
  <c r="Q388"/>
  <c r="K516"/>
  <c r="F356" i="2"/>
  <c r="M661" i="1"/>
  <c r="M179"/>
  <c r="M404"/>
  <c r="P306"/>
  <c r="P423"/>
  <c r="P499"/>
  <c r="P291"/>
  <c r="P440"/>
  <c r="P448"/>
  <c r="P134"/>
  <c r="P514"/>
  <c r="P415"/>
  <c r="P640"/>
  <c r="P123" s="1"/>
  <c r="P633"/>
  <c r="P375" s="1"/>
  <c r="P643"/>
  <c r="P635"/>
  <c r="P396" s="1"/>
  <c r="P402" s="1"/>
  <c r="L484"/>
  <c r="F299" i="2"/>
  <c r="H279" i="1"/>
  <c r="F640" i="2"/>
  <c r="F525"/>
  <c r="F68"/>
  <c r="M208" i="1"/>
  <c r="K655"/>
  <c r="K95"/>
  <c r="K81"/>
  <c r="K113"/>
  <c r="F12" i="2"/>
  <c r="K126" i="1"/>
  <c r="K127"/>
  <c r="K114"/>
  <c r="K125"/>
  <c r="K128"/>
  <c r="J488"/>
  <c r="I357" i="2"/>
  <c r="H357"/>
  <c r="G357"/>
  <c r="N357"/>
  <c r="M357"/>
  <c r="L357"/>
  <c r="K357"/>
  <c r="Q357"/>
  <c r="O357"/>
  <c r="J357"/>
  <c r="P357"/>
  <c r="O123" i="1"/>
  <c r="N659"/>
  <c r="N158"/>
  <c r="M667"/>
  <c r="M577"/>
  <c r="M328"/>
  <c r="M536"/>
  <c r="M586"/>
  <c r="M588" s="1"/>
  <c r="F358" i="2" s="1"/>
  <c r="M535" i="1"/>
  <c r="M594"/>
  <c r="M329"/>
  <c r="J210"/>
  <c r="O396"/>
  <c r="O658"/>
  <c r="O383"/>
  <c r="O146"/>
  <c r="O668"/>
  <c r="O572"/>
  <c r="O571"/>
  <c r="O573"/>
  <c r="O659"/>
  <c r="O158"/>
  <c r="O164" s="1"/>
  <c r="O425"/>
  <c r="O662"/>
  <c r="O190"/>
  <c r="P206"/>
  <c r="P444"/>
  <c r="P443"/>
  <c r="P446"/>
  <c r="P459"/>
  <c r="P445"/>
  <c r="P270"/>
  <c r="P232"/>
  <c r="P48"/>
  <c r="P634"/>
  <c r="P386" s="1"/>
  <c r="P393" s="1"/>
  <c r="P573" l="1"/>
  <c r="P50"/>
  <c r="P60" s="1"/>
  <c r="J608"/>
  <c r="Q653"/>
  <c r="Q35"/>
  <c r="I610"/>
  <c r="L125"/>
  <c r="F13" i="2"/>
  <c r="N13" s="1"/>
  <c r="L126" i="1"/>
  <c r="L128"/>
  <c r="L95"/>
  <c r="L98" s="1"/>
  <c r="L606" s="1"/>
  <c r="L114"/>
  <c r="L655"/>
  <c r="L81"/>
  <c r="L113"/>
  <c r="N107"/>
  <c r="N586"/>
  <c r="N588" s="1"/>
  <c r="F362" i="2" s="1"/>
  <c r="N329" i="1"/>
  <c r="N536"/>
  <c r="N15"/>
  <c r="N69" s="1"/>
  <c r="N577"/>
  <c r="N328"/>
  <c r="N594"/>
  <c r="N596" s="1"/>
  <c r="F420" i="2" s="1"/>
  <c r="N667" i="1"/>
  <c r="P658"/>
  <c r="F183" i="2"/>
  <c r="F1045" s="1"/>
  <c r="R357"/>
  <c r="M669" i="1"/>
  <c r="I656"/>
  <c r="Q270"/>
  <c r="Q265"/>
  <c r="O636"/>
  <c r="O453" s="1"/>
  <c r="O465" s="1"/>
  <c r="O664" s="1"/>
  <c r="O236"/>
  <c r="N241"/>
  <c r="M277"/>
  <c r="O229"/>
  <c r="O228"/>
  <c r="Q252"/>
  <c r="O235"/>
  <c r="Q231"/>
  <c r="Q264"/>
  <c r="O239"/>
  <c r="Q481"/>
  <c r="I119"/>
  <c r="I122" s="1"/>
  <c r="O273"/>
  <c r="O226"/>
  <c r="Q247"/>
  <c r="Q454"/>
  <c r="F240" i="2"/>
  <c r="O237" i="1"/>
  <c r="O233"/>
  <c r="O663"/>
  <c r="Q251"/>
  <c r="O230"/>
  <c r="Q574"/>
  <c r="O227"/>
  <c r="Q458"/>
  <c r="Q575"/>
  <c r="O221"/>
  <c r="O665"/>
  <c r="Q446"/>
  <c r="Q455"/>
  <c r="Q643"/>
  <c r="Q214" s="1"/>
  <c r="R415" i="2"/>
  <c r="P668" i="1"/>
  <c r="Q592"/>
  <c r="Q266"/>
  <c r="Q479"/>
  <c r="Q476"/>
  <c r="Q248"/>
  <c r="Q480"/>
  <c r="M578"/>
  <c r="M580" s="1"/>
  <c r="Q443"/>
  <c r="Q584"/>
  <c r="Q232"/>
  <c r="Q457"/>
  <c r="Q635"/>
  <c r="Q396" s="1"/>
  <c r="Q402" s="1"/>
  <c r="Q448"/>
  <c r="P572"/>
  <c r="P571"/>
  <c r="S704" i="2"/>
  <c r="S789"/>
  <c r="S788"/>
  <c r="S702"/>
  <c r="S760"/>
  <c r="S762"/>
  <c r="S767"/>
  <c r="S995"/>
  <c r="S358" s="1"/>
  <c r="S998"/>
  <c r="S708"/>
  <c r="S1002"/>
  <c r="S701"/>
  <c r="T2"/>
  <c r="S977"/>
  <c r="S1003"/>
  <c r="S1087"/>
  <c r="S761"/>
  <c r="S700"/>
  <c r="S705"/>
  <c r="S791"/>
  <c r="S765"/>
  <c r="S976"/>
  <c r="S697"/>
  <c r="S800" s="1"/>
  <c r="Q447" i="1"/>
  <c r="Q442"/>
  <c r="Q134"/>
  <c r="Q267"/>
  <c r="Q444"/>
  <c r="Q445"/>
  <c r="Q238"/>
  <c r="Q102"/>
  <c r="Q250"/>
  <c r="Q640"/>
  <c r="Q123" s="1"/>
  <c r="O196"/>
  <c r="O651"/>
  <c r="O63"/>
  <c r="O60"/>
  <c r="O136"/>
  <c r="O138" s="1"/>
  <c r="O9"/>
  <c r="O62"/>
  <c r="O12"/>
  <c r="O13"/>
  <c r="O10"/>
  <c r="O105"/>
  <c r="O77"/>
  <c r="O79" s="1"/>
  <c r="O96" s="1"/>
  <c r="O11"/>
  <c r="O104"/>
  <c r="O402"/>
  <c r="M655"/>
  <c r="M81"/>
  <c r="M95"/>
  <c r="M98" s="1"/>
  <c r="M114"/>
  <c r="M128"/>
  <c r="M127"/>
  <c r="M125"/>
  <c r="M126"/>
  <c r="M113"/>
  <c r="F14" i="2"/>
  <c r="N164" i="1"/>
  <c r="G300" i="2"/>
  <c r="L300"/>
  <c r="H300"/>
  <c r="I300"/>
  <c r="M300"/>
  <c r="N300"/>
  <c r="R300"/>
  <c r="Q300"/>
  <c r="K300"/>
  <c r="O300"/>
  <c r="J300"/>
  <c r="P300"/>
  <c r="K130" i="1"/>
  <c r="M12" i="2"/>
  <c r="N12"/>
  <c r="I12"/>
  <c r="R12"/>
  <c r="H12"/>
  <c r="L12"/>
  <c r="Q12"/>
  <c r="K12"/>
  <c r="G12"/>
  <c r="J12"/>
  <c r="P12"/>
  <c r="O12"/>
  <c r="N465" i="1"/>
  <c r="H308"/>
  <c r="K299" i="2"/>
  <c r="H299"/>
  <c r="M299"/>
  <c r="R299"/>
  <c r="I299"/>
  <c r="N299"/>
  <c r="G299"/>
  <c r="L299"/>
  <c r="Q299"/>
  <c r="J299"/>
  <c r="O299"/>
  <c r="P299"/>
  <c r="P216" i="1"/>
  <c r="P214"/>
  <c r="P213"/>
  <c r="P215"/>
  <c r="P430"/>
  <c r="K308"/>
  <c r="H356" i="2"/>
  <c r="I356"/>
  <c r="Q356"/>
  <c r="L356"/>
  <c r="G356"/>
  <c r="N356"/>
  <c r="R356"/>
  <c r="K356"/>
  <c r="M356"/>
  <c r="P356"/>
  <c r="J356"/>
  <c r="O356"/>
  <c r="F359"/>
  <c r="K666" i="1"/>
  <c r="K318"/>
  <c r="K323"/>
  <c r="K533"/>
  <c r="K326"/>
  <c r="K528"/>
  <c r="K527"/>
  <c r="K525"/>
  <c r="K526"/>
  <c r="K327"/>
  <c r="K534"/>
  <c r="K317"/>
  <c r="K530"/>
  <c r="K531"/>
  <c r="K319"/>
  <c r="K320"/>
  <c r="K322"/>
  <c r="H331"/>
  <c r="H538"/>
  <c r="N474"/>
  <c r="J275"/>
  <c r="Q631"/>
  <c r="Q364" s="1"/>
  <c r="Q291"/>
  <c r="Q441"/>
  <c r="Q499"/>
  <c r="Q48"/>
  <c r="Q514"/>
  <c r="Q633"/>
  <c r="Q375" s="1"/>
  <c r="Q381" s="1"/>
  <c r="P404"/>
  <c r="P660"/>
  <c r="P169"/>
  <c r="P176" s="1"/>
  <c r="P652"/>
  <c r="P254"/>
  <c r="P585"/>
  <c r="P482"/>
  <c r="P637" s="1"/>
  <c r="P474" s="1"/>
  <c r="P484" s="1"/>
  <c r="P67"/>
  <c r="P64"/>
  <c r="P76"/>
  <c r="P135"/>
  <c r="P255"/>
  <c r="P576"/>
  <c r="P256"/>
  <c r="P103"/>
  <c r="P462"/>
  <c r="P271"/>
  <c r="P463"/>
  <c r="P257"/>
  <c r="P593"/>
  <c r="O155"/>
  <c r="O166" s="1"/>
  <c r="J223"/>
  <c r="M596"/>
  <c r="I358" i="2"/>
  <c r="L358"/>
  <c r="N358"/>
  <c r="Q358"/>
  <c r="G358"/>
  <c r="K358"/>
  <c r="M358"/>
  <c r="R358"/>
  <c r="H358"/>
  <c r="J358"/>
  <c r="O358"/>
  <c r="P358"/>
  <c r="J490" i="1"/>
  <c r="K98"/>
  <c r="L486"/>
  <c r="L665"/>
  <c r="L263"/>
  <c r="I654"/>
  <c r="I112"/>
  <c r="I116" s="1"/>
  <c r="P661"/>
  <c r="P179"/>
  <c r="P185" s="1"/>
  <c r="P381"/>
  <c r="P662"/>
  <c r="P425"/>
  <c r="P190"/>
  <c r="P196" s="1"/>
  <c r="P208" s="1"/>
  <c r="M427"/>
  <c r="M185"/>
  <c r="R75"/>
  <c r="R390"/>
  <c r="R147"/>
  <c r="R369"/>
  <c r="R161"/>
  <c r="R370"/>
  <c r="R194"/>
  <c r="R397"/>
  <c r="R217"/>
  <c r="R23"/>
  <c r="R399"/>
  <c r="R133"/>
  <c r="R400"/>
  <c r="R285"/>
  <c r="R42"/>
  <c r="R301"/>
  <c r="S2"/>
  <c r="R287"/>
  <c r="R41"/>
  <c r="R268" s="1"/>
  <c r="R148"/>
  <c r="R504"/>
  <c r="R289"/>
  <c r="R572"/>
  <c r="R409"/>
  <c r="R40"/>
  <c r="R250" s="1"/>
  <c r="R192"/>
  <c r="R493"/>
  <c r="R253"/>
  <c r="R33"/>
  <c r="R44"/>
  <c r="R461" s="1"/>
  <c r="R162"/>
  <c r="R366"/>
  <c r="R641"/>
  <c r="R297"/>
  <c r="R571"/>
  <c r="R298"/>
  <c r="R39"/>
  <c r="R266" s="1"/>
  <c r="R181"/>
  <c r="R431"/>
  <c r="R182"/>
  <c r="R642"/>
  <c r="R379"/>
  <c r="R43"/>
  <c r="R459" s="1"/>
  <c r="R152"/>
  <c r="R413"/>
  <c r="R193"/>
  <c r="R460"/>
  <c r="R304"/>
  <c r="R151"/>
  <c r="R398"/>
  <c r="R65"/>
  <c r="R387"/>
  <c r="R174"/>
  <c r="R494"/>
  <c r="R389"/>
  <c r="R38"/>
  <c r="R247" s="1"/>
  <c r="R45"/>
  <c r="R251" s="1"/>
  <c r="R159"/>
  <c r="R418"/>
  <c r="R101"/>
  <c r="R503"/>
  <c r="R204"/>
  <c r="R508"/>
  <c r="R378"/>
  <c r="R583"/>
  <c r="R183"/>
  <c r="R510"/>
  <c r="R296"/>
  <c r="R507"/>
  <c r="R288"/>
  <c r="R512"/>
  <c r="R219"/>
  <c r="R19"/>
  <c r="R368"/>
  <c r="R203"/>
  <c r="R511"/>
  <c r="R377"/>
  <c r="R150"/>
  <c r="R505"/>
  <c r="R202"/>
  <c r="R502"/>
  <c r="R160"/>
  <c r="R421"/>
  <c r="R218"/>
  <c r="R367"/>
  <c r="R410"/>
  <c r="R171"/>
  <c r="R506"/>
  <c r="R391"/>
  <c r="R153"/>
  <c r="R412"/>
  <c r="R294"/>
  <c r="R432"/>
  <c r="R191"/>
  <c r="R420"/>
  <c r="R173"/>
  <c r="R411"/>
  <c r="R66"/>
  <c r="R388"/>
  <c r="R74"/>
  <c r="R300"/>
  <c r="R172"/>
  <c r="R591"/>
  <c r="R302"/>
  <c r="R497"/>
  <c r="R365"/>
  <c r="R201"/>
  <c r="R149"/>
  <c r="R295"/>
  <c r="R496"/>
  <c r="R180"/>
  <c r="R27"/>
  <c r="R299"/>
  <c r="R115"/>
  <c r="R509"/>
  <c r="R286"/>
  <c r="R573"/>
  <c r="R376"/>
  <c r="R46"/>
  <c r="R303"/>
  <c r="R170"/>
  <c r="R419"/>
  <c r="R495"/>
  <c r="Q634"/>
  <c r="Q386" s="1"/>
  <c r="Q393" s="1"/>
  <c r="O393"/>
  <c r="G414" i="2"/>
  <c r="M414"/>
  <c r="N414"/>
  <c r="Q414"/>
  <c r="I414"/>
  <c r="H414"/>
  <c r="K414"/>
  <c r="L414"/>
  <c r="R414"/>
  <c r="P414"/>
  <c r="J414"/>
  <c r="O414"/>
  <c r="P450" i="1"/>
  <c r="Q423"/>
  <c r="Q206"/>
  <c r="Q29"/>
  <c r="Q440"/>
  <c r="Q249"/>
  <c r="Q415"/>
  <c r="Q477"/>
  <c r="Q306"/>
  <c r="Q13" i="2" l="1"/>
  <c r="F15"/>
  <c r="L13"/>
  <c r="R442" i="1"/>
  <c r="R35"/>
  <c r="K13" i="2"/>
  <c r="O13"/>
  <c r="M13"/>
  <c r="P13"/>
  <c r="H13"/>
  <c r="J13"/>
  <c r="I13"/>
  <c r="R13"/>
  <c r="G13"/>
  <c r="L532" i="1"/>
  <c r="L321"/>
  <c r="L598"/>
  <c r="F472" i="2" s="1"/>
  <c r="L529" i="1"/>
  <c r="L602"/>
  <c r="F587" i="2" s="1"/>
  <c r="S587" s="1"/>
  <c r="L130" i="1"/>
  <c r="L604"/>
  <c r="F644" i="2" s="1"/>
  <c r="H644" s="1"/>
  <c r="L600" i="1"/>
  <c r="F529" i="2" s="1"/>
  <c r="H529" s="1"/>
  <c r="L324" i="1"/>
  <c r="L109"/>
  <c r="F72" i="2" s="1"/>
  <c r="I72" s="1"/>
  <c r="L325" i="1"/>
  <c r="N669"/>
  <c r="N578"/>
  <c r="N580" s="1"/>
  <c r="F305" i="2" s="1"/>
  <c r="P651" i="1"/>
  <c r="P136"/>
  <c r="P138" s="1"/>
  <c r="P10"/>
  <c r="P104"/>
  <c r="P105"/>
  <c r="P12"/>
  <c r="R102"/>
  <c r="R592"/>
  <c r="O486"/>
  <c r="O488" s="1"/>
  <c r="O246"/>
  <c r="O259" s="1"/>
  <c r="O275" s="1"/>
  <c r="R231"/>
  <c r="P13"/>
  <c r="P62"/>
  <c r="P11"/>
  <c r="P77"/>
  <c r="P79" s="1"/>
  <c r="P96" s="1"/>
  <c r="O241"/>
  <c r="R443"/>
  <c r="P9"/>
  <c r="P63"/>
  <c r="R455"/>
  <c r="I140"/>
  <c r="F126" i="2" s="1"/>
  <c r="R269" i="1"/>
  <c r="Q216"/>
  <c r="Q215"/>
  <c r="R447"/>
  <c r="R440"/>
  <c r="R478"/>
  <c r="Q430"/>
  <c r="Q434" s="1"/>
  <c r="R448"/>
  <c r="R477"/>
  <c r="R248"/>
  <c r="R633"/>
  <c r="R375" s="1"/>
  <c r="R381" s="1"/>
  <c r="R158" s="1"/>
  <c r="R164" s="1"/>
  <c r="Q213"/>
  <c r="R574"/>
  <c r="R575"/>
  <c r="R445"/>
  <c r="R238"/>
  <c r="R232"/>
  <c r="R134"/>
  <c r="R454"/>
  <c r="R481"/>
  <c r="R479"/>
  <c r="R476"/>
  <c r="R264"/>
  <c r="S13" i="2"/>
  <c r="S12"/>
  <c r="R265" i="1"/>
  <c r="R270"/>
  <c r="S299" i="2"/>
  <c r="Q661" i="1"/>
  <c r="Q179"/>
  <c r="Q185" s="1"/>
  <c r="S414" i="2"/>
  <c r="Q450" i="1"/>
  <c r="Q230" s="1"/>
  <c r="R475"/>
  <c r="R480"/>
  <c r="R640"/>
  <c r="R123" s="1"/>
  <c r="S356" i="2"/>
  <c r="S300"/>
  <c r="T977"/>
  <c r="T976"/>
  <c r="T761"/>
  <c r="T1087"/>
  <c r="T1003"/>
  <c r="U2"/>
  <c r="T700"/>
  <c r="T998"/>
  <c r="T704"/>
  <c r="T762"/>
  <c r="T708"/>
  <c r="T788"/>
  <c r="T1002"/>
  <c r="T705"/>
  <c r="T701"/>
  <c r="T767"/>
  <c r="T702"/>
  <c r="T760"/>
  <c r="T765"/>
  <c r="T791"/>
  <c r="T789"/>
  <c r="T995"/>
  <c r="T415" s="1"/>
  <c r="T697"/>
  <c r="T800" s="1"/>
  <c r="S698"/>
  <c r="S357"/>
  <c r="S415"/>
  <c r="R631" i="1"/>
  <c r="R364" s="1"/>
  <c r="R372" s="1"/>
  <c r="R146" s="1"/>
  <c r="R155" s="1"/>
  <c r="R458"/>
  <c r="R456"/>
  <c r="R446"/>
  <c r="R444"/>
  <c r="R441"/>
  <c r="R584"/>
  <c r="R249"/>
  <c r="R252"/>
  <c r="R206"/>
  <c r="R457"/>
  <c r="R267"/>
  <c r="P636"/>
  <c r="P453" s="1"/>
  <c r="P465" s="1"/>
  <c r="P486" s="1"/>
  <c r="P488" s="1"/>
  <c r="Q425"/>
  <c r="Q662"/>
  <c r="Q190"/>
  <c r="Q196" s="1"/>
  <c r="Q208" s="1"/>
  <c r="Q50"/>
  <c r="Q668"/>
  <c r="Q572"/>
  <c r="Q571"/>
  <c r="Q573"/>
  <c r="P663"/>
  <c r="P239"/>
  <c r="P226"/>
  <c r="P236"/>
  <c r="P237"/>
  <c r="P234"/>
  <c r="P229"/>
  <c r="P235"/>
  <c r="P233"/>
  <c r="P230"/>
  <c r="P227"/>
  <c r="P228"/>
  <c r="O660"/>
  <c r="O404"/>
  <c r="O427" s="1"/>
  <c r="O169"/>
  <c r="Q404"/>
  <c r="Q660"/>
  <c r="Q169"/>
  <c r="Q176" s="1"/>
  <c r="M490"/>
  <c r="P659"/>
  <c r="P158"/>
  <c r="P383"/>
  <c r="P427" s="1"/>
  <c r="L273"/>
  <c r="L488"/>
  <c r="K109"/>
  <c r="K604"/>
  <c r="K598"/>
  <c r="K602"/>
  <c r="K321"/>
  <c r="K532"/>
  <c r="K325"/>
  <c r="K600"/>
  <c r="K529"/>
  <c r="K606"/>
  <c r="K324"/>
  <c r="J516"/>
  <c r="J279"/>
  <c r="P665"/>
  <c r="P263"/>
  <c r="P273" s="1"/>
  <c r="Q659"/>
  <c r="Q158"/>
  <c r="Q164" s="1"/>
  <c r="Q652"/>
  <c r="Q255"/>
  <c r="Q463"/>
  <c r="Q256"/>
  <c r="Q103"/>
  <c r="Q64"/>
  <c r="Q257"/>
  <c r="Q271"/>
  <c r="Q585"/>
  <c r="Q462"/>
  <c r="Q482"/>
  <c r="Q637" s="1"/>
  <c r="Q474" s="1"/>
  <c r="Q76"/>
  <c r="Q576"/>
  <c r="Q593"/>
  <c r="Q135"/>
  <c r="Q254"/>
  <c r="Q67"/>
  <c r="Q372"/>
  <c r="J277"/>
  <c r="N484"/>
  <c r="H540"/>
  <c r="F1047" i="2"/>
  <c r="AA1045"/>
  <c r="AB1045" s="1"/>
  <c r="H657" i="1"/>
  <c r="H120"/>
  <c r="N664"/>
  <c r="N246"/>
  <c r="H14" i="2"/>
  <c r="L14"/>
  <c r="Q14"/>
  <c r="K14"/>
  <c r="N14"/>
  <c r="G14"/>
  <c r="S14"/>
  <c r="I14"/>
  <c r="M14"/>
  <c r="R14"/>
  <c r="J14"/>
  <c r="O14"/>
  <c r="P14"/>
  <c r="P667" i="1"/>
  <c r="P586"/>
  <c r="P588" s="1"/>
  <c r="F364" i="2" s="1"/>
  <c r="P594" i="1"/>
  <c r="P596" s="1"/>
  <c r="F422" i="2" s="1"/>
  <c r="P535" i="1"/>
  <c r="P577"/>
  <c r="P328"/>
  <c r="P536"/>
  <c r="P329"/>
  <c r="R306"/>
  <c r="R48"/>
  <c r="R634"/>
  <c r="R386" s="1"/>
  <c r="R415"/>
  <c r="R291"/>
  <c r="R635"/>
  <c r="P187"/>
  <c r="H333"/>
  <c r="R653"/>
  <c r="S148"/>
  <c r="S504"/>
  <c r="S285"/>
  <c r="S23"/>
  <c r="S302"/>
  <c r="S44"/>
  <c r="S461" s="1"/>
  <c r="S171"/>
  <c r="S303"/>
  <c r="S253"/>
  <c r="S512"/>
  <c r="S202"/>
  <c r="S493"/>
  <c r="S397"/>
  <c r="S193"/>
  <c r="S391"/>
  <c r="S194"/>
  <c r="S27"/>
  <c r="S294"/>
  <c r="S497"/>
  <c r="S398"/>
  <c r="S40"/>
  <c r="S478" s="1"/>
  <c r="S65"/>
  <c r="S399"/>
  <c r="S45"/>
  <c r="S269" s="1"/>
  <c r="S181"/>
  <c r="S43"/>
  <c r="S252" s="1"/>
  <c r="S182"/>
  <c r="S46"/>
  <c r="S19"/>
  <c r="S301"/>
  <c r="S42"/>
  <c r="S506"/>
  <c r="S201"/>
  <c r="S496"/>
  <c r="S365"/>
  <c r="S39"/>
  <c r="S477" s="1"/>
  <c r="S153"/>
  <c r="S420"/>
  <c r="S172"/>
  <c r="S66"/>
  <c r="S369"/>
  <c r="S149"/>
  <c r="S376"/>
  <c r="S101"/>
  <c r="S304"/>
  <c r="S286"/>
  <c r="S503"/>
  <c r="S287"/>
  <c r="S115"/>
  <c r="S377"/>
  <c r="T2"/>
  <c r="S390"/>
  <c r="S147"/>
  <c r="S507"/>
  <c r="S366"/>
  <c r="S296"/>
  <c r="S378"/>
  <c r="S511"/>
  <c r="S160"/>
  <c r="S509"/>
  <c r="S432"/>
  <c r="S298"/>
  <c r="S41"/>
  <c r="S479" s="1"/>
  <c r="S162"/>
  <c r="S299"/>
  <c r="S218"/>
  <c r="S508"/>
  <c r="S288"/>
  <c r="S161"/>
  <c r="S388"/>
  <c r="S74"/>
  <c r="S389"/>
  <c r="S192"/>
  <c r="S418"/>
  <c r="S368"/>
  <c r="S495"/>
  <c r="S400"/>
  <c r="S180"/>
  <c r="S431"/>
  <c r="S75"/>
  <c r="S502"/>
  <c r="S174"/>
  <c r="S641"/>
  <c r="S460"/>
  <c r="S38"/>
  <c r="S265" s="1"/>
  <c r="S203"/>
  <c r="S379"/>
  <c r="S300"/>
  <c r="S591"/>
  <c r="S295"/>
  <c r="S367"/>
  <c r="S409"/>
  <c r="S191"/>
  <c r="S412"/>
  <c r="S297"/>
  <c r="S642"/>
  <c r="S370"/>
  <c r="S183"/>
  <c r="S411"/>
  <c r="S150"/>
  <c r="S421"/>
  <c r="S289"/>
  <c r="S133"/>
  <c r="S387"/>
  <c r="S33"/>
  <c r="S35" s="1"/>
  <c r="S170"/>
  <c r="S413"/>
  <c r="S219"/>
  <c r="S505"/>
  <c r="S173"/>
  <c r="S494"/>
  <c r="S217"/>
  <c r="S583"/>
  <c r="S510"/>
  <c r="S410"/>
  <c r="S204"/>
  <c r="S159"/>
  <c r="S419"/>
  <c r="S151"/>
  <c r="S152"/>
  <c r="M187"/>
  <c r="F416" i="2"/>
  <c r="K657" i="1"/>
  <c r="K120"/>
  <c r="P434"/>
  <c r="P221"/>
  <c r="N166"/>
  <c r="M109"/>
  <c r="F73" i="2" s="1"/>
  <c r="M529" i="1"/>
  <c r="M598"/>
  <c r="F473" i="2" s="1"/>
  <c r="M324" i="1"/>
  <c r="M325"/>
  <c r="M321"/>
  <c r="M604"/>
  <c r="F645" i="2" s="1"/>
  <c r="M602" i="1"/>
  <c r="F588" i="2" s="1"/>
  <c r="M606" i="1"/>
  <c r="M600"/>
  <c r="F530" i="2" s="1"/>
  <c r="M532" i="1"/>
  <c r="F301" i="2"/>
  <c r="O661" i="1"/>
  <c r="O179"/>
  <c r="O107"/>
  <c r="O15"/>
  <c r="O667"/>
  <c r="O594"/>
  <c r="O535"/>
  <c r="O586"/>
  <c r="O536"/>
  <c r="O328"/>
  <c r="O577"/>
  <c r="O329"/>
  <c r="O208"/>
  <c r="N655"/>
  <c r="N95"/>
  <c r="N81"/>
  <c r="N128"/>
  <c r="N125"/>
  <c r="N113"/>
  <c r="N114"/>
  <c r="F18" i="2"/>
  <c r="N126" i="1"/>
  <c r="N127"/>
  <c r="R514"/>
  <c r="R423"/>
  <c r="R643"/>
  <c r="R499"/>
  <c r="M130"/>
  <c r="I644" i="2" l="1"/>
  <c r="R50" i="1"/>
  <c r="R77" s="1"/>
  <c r="S653"/>
  <c r="M587" i="2"/>
  <c r="R587"/>
  <c r="N644"/>
  <c r="H587"/>
  <c r="Q587"/>
  <c r="N587"/>
  <c r="O587"/>
  <c r="J587"/>
  <c r="G587"/>
  <c r="K587"/>
  <c r="L587"/>
  <c r="I587"/>
  <c r="J644"/>
  <c r="P587"/>
  <c r="R644"/>
  <c r="J529"/>
  <c r="S644"/>
  <c r="K644"/>
  <c r="I529"/>
  <c r="G644"/>
  <c r="N529"/>
  <c r="L644"/>
  <c r="G529"/>
  <c r="Q644"/>
  <c r="P644"/>
  <c r="M644"/>
  <c r="S529"/>
  <c r="O644"/>
  <c r="P529"/>
  <c r="K529"/>
  <c r="J72"/>
  <c r="L608" i="1"/>
  <c r="O529" i="2"/>
  <c r="R529"/>
  <c r="R72"/>
  <c r="Q529"/>
  <c r="M529"/>
  <c r="N72"/>
  <c r="L529"/>
  <c r="G72"/>
  <c r="M72"/>
  <c r="H72"/>
  <c r="P72"/>
  <c r="S72"/>
  <c r="O72"/>
  <c r="L72"/>
  <c r="Q72"/>
  <c r="K72"/>
  <c r="R659" i="1"/>
  <c r="P107"/>
  <c r="P15"/>
  <c r="P578" s="1"/>
  <c r="P580" s="1"/>
  <c r="O490"/>
  <c r="O516" s="1"/>
  <c r="S251"/>
  <c r="S458"/>
  <c r="S480"/>
  <c r="O277"/>
  <c r="Q221"/>
  <c r="S248"/>
  <c r="S481"/>
  <c r="S584"/>
  <c r="S459"/>
  <c r="S270"/>
  <c r="R166"/>
  <c r="K538"/>
  <c r="K540" s="1"/>
  <c r="K119" s="1"/>
  <c r="K122" s="1"/>
  <c r="T587" i="2"/>
  <c r="K331" i="1"/>
  <c r="K333" s="1"/>
  <c r="K335" s="1"/>
  <c r="Q236"/>
  <c r="Q187"/>
  <c r="Q233"/>
  <c r="Q226"/>
  <c r="R450"/>
  <c r="R230" s="1"/>
  <c r="Q227"/>
  <c r="S247"/>
  <c r="S447"/>
  <c r="S634"/>
  <c r="S386" s="1"/>
  <c r="S393" s="1"/>
  <c r="S169" s="1"/>
  <c r="S176" s="1"/>
  <c r="T529" i="2"/>
  <c r="T644"/>
  <c r="Q234" i="1"/>
  <c r="Q235"/>
  <c r="T72" i="2"/>
  <c r="S266" i="1"/>
  <c r="S238"/>
  <c r="S443"/>
  <c r="S264"/>
  <c r="Q229"/>
  <c r="Q237"/>
  <c r="Q239"/>
  <c r="T357" i="2"/>
  <c r="S442" i="1"/>
  <c r="T14" i="2"/>
  <c r="Q228" i="1"/>
  <c r="Q663"/>
  <c r="S231"/>
  <c r="S268"/>
  <c r="S249"/>
  <c r="S457"/>
  <c r="S48"/>
  <c r="S257" s="1"/>
  <c r="R383"/>
  <c r="S456"/>
  <c r="R658"/>
  <c r="S267"/>
  <c r="S250"/>
  <c r="T698" i="2"/>
  <c r="T299"/>
  <c r="T13"/>
  <c r="T358"/>
  <c r="T414"/>
  <c r="T300"/>
  <c r="T12"/>
  <c r="T356"/>
  <c r="U1002"/>
  <c r="U761"/>
  <c r="U1087"/>
  <c r="U708"/>
  <c r="V2"/>
  <c r="U701"/>
  <c r="U976"/>
  <c r="U704"/>
  <c r="U697"/>
  <c r="U800" s="1"/>
  <c r="U788"/>
  <c r="U700"/>
  <c r="U977"/>
  <c r="U760"/>
  <c r="U702"/>
  <c r="U705"/>
  <c r="U791"/>
  <c r="U762"/>
  <c r="U765"/>
  <c r="U995"/>
  <c r="U13" s="1"/>
  <c r="U789"/>
  <c r="U767"/>
  <c r="U998"/>
  <c r="U1003"/>
  <c r="M608" i="1"/>
  <c r="S455"/>
  <c r="S476"/>
  <c r="S640"/>
  <c r="S123" s="1"/>
  <c r="Q636"/>
  <c r="Q453" s="1"/>
  <c r="Q465" s="1"/>
  <c r="Q664" s="1"/>
  <c r="S444"/>
  <c r="S441"/>
  <c r="S445"/>
  <c r="S448"/>
  <c r="S575"/>
  <c r="S574"/>
  <c r="S592"/>
  <c r="S232"/>
  <c r="S29"/>
  <c r="Q484"/>
  <c r="R216"/>
  <c r="R213"/>
  <c r="R215"/>
  <c r="R430"/>
  <c r="R434" s="1"/>
  <c r="R214"/>
  <c r="N130"/>
  <c r="O69"/>
  <c r="F19" i="2" s="1"/>
  <c r="O669" i="1"/>
  <c r="O578"/>
  <c r="O580" s="1"/>
  <c r="O185"/>
  <c r="N98"/>
  <c r="O588"/>
  <c r="O596"/>
  <c r="K472" i="2"/>
  <c r="I472"/>
  <c r="N472"/>
  <c r="T472"/>
  <c r="H472"/>
  <c r="L472"/>
  <c r="Q472"/>
  <c r="S472"/>
  <c r="G472"/>
  <c r="M472"/>
  <c r="R472"/>
  <c r="O472"/>
  <c r="J472"/>
  <c r="P472"/>
  <c r="H301"/>
  <c r="K301"/>
  <c r="Q301"/>
  <c r="T301"/>
  <c r="I301"/>
  <c r="N301"/>
  <c r="L301"/>
  <c r="S301"/>
  <c r="G301"/>
  <c r="M301"/>
  <c r="R301"/>
  <c r="J301"/>
  <c r="O301"/>
  <c r="P301"/>
  <c r="F302"/>
  <c r="I645"/>
  <c r="L645"/>
  <c r="Q645"/>
  <c r="M645"/>
  <c r="R645"/>
  <c r="S645"/>
  <c r="G645"/>
  <c r="K645"/>
  <c r="N645"/>
  <c r="H645"/>
  <c r="T645"/>
  <c r="J645"/>
  <c r="O645"/>
  <c r="P645"/>
  <c r="G473"/>
  <c r="Q473"/>
  <c r="H473"/>
  <c r="N473"/>
  <c r="M473"/>
  <c r="K473"/>
  <c r="S473"/>
  <c r="I473"/>
  <c r="L473"/>
  <c r="R473"/>
  <c r="T473"/>
  <c r="O473"/>
  <c r="P473"/>
  <c r="J473"/>
  <c r="N210" i="1"/>
  <c r="N223" s="1"/>
  <c r="G416" i="2"/>
  <c r="K416"/>
  <c r="M416"/>
  <c r="R416"/>
  <c r="H416"/>
  <c r="T416"/>
  <c r="I416"/>
  <c r="N416"/>
  <c r="Q416"/>
  <c r="L416"/>
  <c r="S416"/>
  <c r="P416"/>
  <c r="J416"/>
  <c r="O416"/>
  <c r="F417"/>
  <c r="M210" i="1"/>
  <c r="T583"/>
  <c r="T40"/>
  <c r="T478" s="1"/>
  <c r="T591"/>
  <c r="T418"/>
  <c r="T412"/>
  <c r="T502"/>
  <c r="T183"/>
  <c r="T218"/>
  <c r="T400"/>
  <c r="T298"/>
  <c r="T512"/>
  <c r="T46"/>
  <c r="T494"/>
  <c r="T172"/>
  <c r="T421"/>
  <c r="T148"/>
  <c r="T299"/>
  <c r="T217"/>
  <c r="T493"/>
  <c r="T201"/>
  <c r="T420"/>
  <c r="T410"/>
  <c r="T203"/>
  <c r="T303"/>
  <c r="T74"/>
  <c r="T399"/>
  <c r="T45"/>
  <c r="T251" s="1"/>
  <c r="T159"/>
  <c r="T409"/>
  <c r="T182"/>
  <c r="T38"/>
  <c r="T264" s="1"/>
  <c r="T161"/>
  <c r="T508"/>
  <c r="T388"/>
  <c r="T33"/>
  <c r="T101"/>
  <c r="T431"/>
  <c r="T75"/>
  <c r="T507"/>
  <c r="T286"/>
  <c r="T41"/>
  <c r="T268" s="1"/>
  <c r="T115"/>
  <c r="T300"/>
  <c r="T171"/>
  <c r="T460"/>
  <c r="T147"/>
  <c r="T302"/>
  <c r="T367"/>
  <c r="T391"/>
  <c r="T44"/>
  <c r="T461" s="1"/>
  <c r="T287"/>
  <c r="T219"/>
  <c r="T152"/>
  <c r="T296"/>
  <c r="T170"/>
  <c r="T181"/>
  <c r="T376"/>
  <c r="T39"/>
  <c r="T505"/>
  <c r="T65"/>
  <c r="T193"/>
  <c r="T297"/>
  <c r="T379"/>
  <c r="T19"/>
  <c r="T366"/>
  <c r="T511"/>
  <c r="T289"/>
  <c r="T149"/>
  <c r="T369"/>
  <c r="T42"/>
  <c r="T365"/>
  <c r="T202"/>
  <c r="T23"/>
  <c r="T387"/>
  <c r="T504"/>
  <c r="T194"/>
  <c r="T497"/>
  <c r="T285"/>
  <c r="T641"/>
  <c r="T432"/>
  <c r="T398"/>
  <c r="T174"/>
  <c r="T413"/>
  <c r="T288"/>
  <c r="T642"/>
  <c r="T390"/>
  <c r="T133"/>
  <c r="T496"/>
  <c r="T253"/>
  <c r="T509"/>
  <c r="T389"/>
  <c r="T510"/>
  <c r="T295"/>
  <c r="T495"/>
  <c r="T173"/>
  <c r="T419"/>
  <c r="T180"/>
  <c r="T66"/>
  <c r="T506"/>
  <c r="T378"/>
  <c r="T411"/>
  <c r="T160"/>
  <c r="T370"/>
  <c r="T204"/>
  <c r="T397"/>
  <c r="T301"/>
  <c r="T304"/>
  <c r="T294"/>
  <c r="T377"/>
  <c r="T192"/>
  <c r="T191"/>
  <c r="T150"/>
  <c r="T503"/>
  <c r="T43"/>
  <c r="T481" s="1"/>
  <c r="U2"/>
  <c r="T27"/>
  <c r="T368"/>
  <c r="T153"/>
  <c r="T151"/>
  <c r="T162"/>
  <c r="H335"/>
  <c r="H610"/>
  <c r="F182" i="2"/>
  <c r="R396" i="1"/>
  <c r="R393"/>
  <c r="I1047" i="2"/>
  <c r="I1048" s="1"/>
  <c r="F1048"/>
  <c r="M1047"/>
  <c r="M1048" s="1"/>
  <c r="O1047"/>
  <c r="O1048" s="1"/>
  <c r="S1047"/>
  <c r="S1048" s="1"/>
  <c r="R1047"/>
  <c r="R1048" s="1"/>
  <c r="U1047"/>
  <c r="U1048" s="1"/>
  <c r="G1047"/>
  <c r="J1047"/>
  <c r="J1048" s="1"/>
  <c r="H1047"/>
  <c r="H1048" s="1"/>
  <c r="L1047"/>
  <c r="L1048" s="1"/>
  <c r="N1047"/>
  <c r="N1048" s="1"/>
  <c r="Q1047"/>
  <c r="Q1048" s="1"/>
  <c r="P1047"/>
  <c r="P1048" s="1"/>
  <c r="T1047"/>
  <c r="T1048" s="1"/>
  <c r="K1047"/>
  <c r="K1048" s="1"/>
  <c r="N486" i="1"/>
  <c r="N665"/>
  <c r="N263"/>
  <c r="Q383"/>
  <c r="Q427" s="1"/>
  <c r="Q658"/>
  <c r="Q146"/>
  <c r="J308"/>
  <c r="F528" i="2"/>
  <c r="F586"/>
  <c r="F643"/>
  <c r="F71"/>
  <c r="L490" i="1"/>
  <c r="L275"/>
  <c r="O176"/>
  <c r="Q651"/>
  <c r="Q13"/>
  <c r="Q104"/>
  <c r="Q10"/>
  <c r="Q12"/>
  <c r="Q60"/>
  <c r="Q77"/>
  <c r="Q79" s="1"/>
  <c r="Q96" s="1"/>
  <c r="Q11"/>
  <c r="Q62"/>
  <c r="Q136"/>
  <c r="Q138" s="1"/>
  <c r="Q105"/>
  <c r="Q63"/>
  <c r="Q9"/>
  <c r="S643"/>
  <c r="S423"/>
  <c r="S102"/>
  <c r="S446"/>
  <c r="S440"/>
  <c r="S635"/>
  <c r="S396" s="1"/>
  <c r="S402" s="1"/>
  <c r="S291"/>
  <c r="I530" i="2"/>
  <c r="R530"/>
  <c r="L530"/>
  <c r="Q530"/>
  <c r="G530"/>
  <c r="K530"/>
  <c r="N530"/>
  <c r="S530"/>
  <c r="H530"/>
  <c r="M530"/>
  <c r="T530"/>
  <c r="O530"/>
  <c r="J530"/>
  <c r="P530"/>
  <c r="M588"/>
  <c r="I588"/>
  <c r="K588"/>
  <c r="T588"/>
  <c r="G588"/>
  <c r="N588"/>
  <c r="Q588"/>
  <c r="S588"/>
  <c r="H588"/>
  <c r="L588"/>
  <c r="R588"/>
  <c r="J588"/>
  <c r="P588"/>
  <c r="O588"/>
  <c r="I73"/>
  <c r="M73"/>
  <c r="R73"/>
  <c r="K73"/>
  <c r="Q73"/>
  <c r="T73"/>
  <c r="H73"/>
  <c r="L73"/>
  <c r="S73"/>
  <c r="G73"/>
  <c r="N73"/>
  <c r="P73"/>
  <c r="J73"/>
  <c r="O73"/>
  <c r="R425" i="1"/>
  <c r="R662"/>
  <c r="R190"/>
  <c r="R196" s="1"/>
  <c r="R208" s="1"/>
  <c r="R652"/>
  <c r="R463"/>
  <c r="R257"/>
  <c r="R67"/>
  <c r="R76"/>
  <c r="R255"/>
  <c r="R585"/>
  <c r="R103"/>
  <c r="R482"/>
  <c r="R637" s="1"/>
  <c r="R474" s="1"/>
  <c r="R484" s="1"/>
  <c r="R256"/>
  <c r="R135"/>
  <c r="R271"/>
  <c r="R593"/>
  <c r="R576"/>
  <c r="R462"/>
  <c r="R64"/>
  <c r="R254"/>
  <c r="N259"/>
  <c r="H656"/>
  <c r="F239" i="2"/>
  <c r="H119" i="1"/>
  <c r="H542"/>
  <c r="J666"/>
  <c r="J319"/>
  <c r="J327"/>
  <c r="J533"/>
  <c r="J528"/>
  <c r="J530"/>
  <c r="J525"/>
  <c r="J322"/>
  <c r="J317"/>
  <c r="J326"/>
  <c r="J526"/>
  <c r="J531"/>
  <c r="J527"/>
  <c r="J320"/>
  <c r="J534"/>
  <c r="J318"/>
  <c r="J323"/>
  <c r="F471" i="2"/>
  <c r="K608" i="1"/>
  <c r="P164"/>
  <c r="M516"/>
  <c r="P241"/>
  <c r="P664"/>
  <c r="P246"/>
  <c r="P259" s="1"/>
  <c r="P275" s="1"/>
  <c r="S415"/>
  <c r="S514"/>
  <c r="S134"/>
  <c r="S475"/>
  <c r="S633"/>
  <c r="S375" s="1"/>
  <c r="S381" s="1"/>
  <c r="S631"/>
  <c r="S364" s="1"/>
  <c r="S372" s="1"/>
  <c r="S206"/>
  <c r="S454"/>
  <c r="S306"/>
  <c r="S499"/>
  <c r="P490"/>
  <c r="T35" l="1"/>
  <c r="V1047" i="2"/>
  <c r="V1048" s="1"/>
  <c r="V1049" s="1"/>
  <c r="V126" s="1"/>
  <c r="R136" i="1"/>
  <c r="R138" s="1"/>
  <c r="R104"/>
  <c r="T640"/>
  <c r="T123" s="1"/>
  <c r="R10"/>
  <c r="R13"/>
  <c r="R9"/>
  <c r="R651"/>
  <c r="R60"/>
  <c r="R577" s="1"/>
  <c r="R62"/>
  <c r="R11"/>
  <c r="R12"/>
  <c r="R105"/>
  <c r="R63"/>
  <c r="S668"/>
  <c r="S50"/>
  <c r="S77" s="1"/>
  <c r="T653"/>
  <c r="P669"/>
  <c r="P69"/>
  <c r="K656"/>
  <c r="F242" i="2"/>
  <c r="T242" s="1"/>
  <c r="R228" i="1"/>
  <c r="T247"/>
  <c r="T455"/>
  <c r="K610"/>
  <c r="F185" i="2"/>
  <c r="G185" s="1"/>
  <c r="T475" i="1"/>
  <c r="T476"/>
  <c r="T454"/>
  <c r="T248"/>
  <c r="R227"/>
  <c r="R236"/>
  <c r="R663"/>
  <c r="T443"/>
  <c r="R235"/>
  <c r="R226"/>
  <c r="T232"/>
  <c r="T269"/>
  <c r="R233"/>
  <c r="S64"/>
  <c r="R229"/>
  <c r="K542"/>
  <c r="R234"/>
  <c r="R239"/>
  <c r="T441"/>
  <c r="R79"/>
  <c r="R96" s="1"/>
  <c r="T592"/>
  <c r="R237"/>
  <c r="U416" i="2"/>
  <c r="U645"/>
  <c r="Q107" i="1"/>
  <c r="U12" i="2"/>
  <c r="Q241" i="1"/>
  <c r="T102"/>
  <c r="S585"/>
  <c r="U300" i="2"/>
  <c r="T446" i="1"/>
  <c r="T584"/>
  <c r="S76"/>
  <c r="T442"/>
  <c r="U472" i="2"/>
  <c r="T1049"/>
  <c r="T458" i="1"/>
  <c r="P1049" i="2"/>
  <c r="R1049"/>
  <c r="T445" i="1"/>
  <c r="T444"/>
  <c r="J1049" i="2"/>
  <c r="U1049"/>
  <c r="P277" i="1"/>
  <c r="Q1049" i="2"/>
  <c r="S1049"/>
  <c r="T238" i="1"/>
  <c r="T231"/>
  <c r="S660"/>
  <c r="N1049" i="2"/>
  <c r="O1049"/>
  <c r="T575" i="1"/>
  <c r="T480"/>
  <c r="T134"/>
  <c r="L1049" i="2"/>
  <c r="T574" i="1"/>
  <c r="T448"/>
  <c r="T440"/>
  <c r="T447"/>
  <c r="S576"/>
  <c r="T477"/>
  <c r="U530" i="2"/>
  <c r="T249" i="1"/>
  <c r="U73" i="2"/>
  <c r="T250" i="1"/>
  <c r="T635"/>
  <c r="T396" s="1"/>
  <c r="T402" s="1"/>
  <c r="T661" s="1"/>
  <c r="U414" i="2"/>
  <c r="U415"/>
  <c r="S652" i="1"/>
  <c r="S593"/>
  <c r="S135"/>
  <c r="S482"/>
  <c r="S637" s="1"/>
  <c r="S474" s="1"/>
  <c r="S484" s="1"/>
  <c r="S271"/>
  <c r="S256"/>
  <c r="S255"/>
  <c r="S254"/>
  <c r="S103"/>
  <c r="T265"/>
  <c r="T267"/>
  <c r="S463"/>
  <c r="S67"/>
  <c r="U299" i="2"/>
  <c r="T270" i="1"/>
  <c r="U357" i="2"/>
  <c r="Q246" i="1"/>
  <c r="Q259" s="1"/>
  <c r="T459"/>
  <c r="T306"/>
  <c r="T266"/>
  <c r="T457"/>
  <c r="T479"/>
  <c r="S462"/>
  <c r="U358" i="2"/>
  <c r="T456" i="1"/>
  <c r="U588" i="2"/>
  <c r="U356"/>
  <c r="U473"/>
  <c r="U301"/>
  <c r="U698"/>
  <c r="U644"/>
  <c r="U529"/>
  <c r="U587"/>
  <c r="U72"/>
  <c r="U14"/>
  <c r="W2"/>
  <c r="V705"/>
  <c r="V995"/>
  <c r="V12" s="1"/>
  <c r="V697"/>
  <c r="V800" s="1"/>
  <c r="V1001"/>
  <c r="V1003"/>
  <c r="V976"/>
  <c r="V765"/>
  <c r="V977"/>
  <c r="V762"/>
  <c r="V788"/>
  <c r="V708"/>
  <c r="V1002"/>
  <c r="V760"/>
  <c r="V702"/>
  <c r="V998"/>
  <c r="V704"/>
  <c r="V701"/>
  <c r="V791"/>
  <c r="V767"/>
  <c r="V700"/>
  <c r="V789"/>
  <c r="V1087"/>
  <c r="V761"/>
  <c r="S573" i="1"/>
  <c r="S571"/>
  <c r="S572"/>
  <c r="R636"/>
  <c r="R453" s="1"/>
  <c r="R465" s="1"/>
  <c r="R664" s="1"/>
  <c r="S450"/>
  <c r="S234" s="1"/>
  <c r="F306" i="2"/>
  <c r="S659" i="1"/>
  <c r="S158"/>
  <c r="H471" i="2"/>
  <c r="N471"/>
  <c r="S471"/>
  <c r="R471"/>
  <c r="I471"/>
  <c r="T471"/>
  <c r="K471"/>
  <c r="L471"/>
  <c r="U471"/>
  <c r="G471"/>
  <c r="M471"/>
  <c r="Q471"/>
  <c r="J471"/>
  <c r="O471"/>
  <c r="P471"/>
  <c r="F474"/>
  <c r="J331" i="1"/>
  <c r="J538"/>
  <c r="R665"/>
  <c r="R263"/>
  <c r="R273" s="1"/>
  <c r="F307" i="2"/>
  <c r="Q15" i="1"/>
  <c r="O666"/>
  <c r="O317"/>
  <c r="O525"/>
  <c r="O318"/>
  <c r="O527"/>
  <c r="O533"/>
  <c r="O531"/>
  <c r="O526"/>
  <c r="O534"/>
  <c r="O528"/>
  <c r="O327"/>
  <c r="O530"/>
  <c r="O319"/>
  <c r="O322"/>
  <c r="O323"/>
  <c r="O326"/>
  <c r="O320"/>
  <c r="O187"/>
  <c r="O210" s="1"/>
  <c r="O223" s="1"/>
  <c r="O279" s="1"/>
  <c r="L277"/>
  <c r="L279"/>
  <c r="L516"/>
  <c r="G71" i="2"/>
  <c r="L71"/>
  <c r="T71"/>
  <c r="S71"/>
  <c r="R71"/>
  <c r="I71"/>
  <c r="N71"/>
  <c r="Q71"/>
  <c r="K71"/>
  <c r="H71"/>
  <c r="M71"/>
  <c r="U71"/>
  <c r="P71"/>
  <c r="J71"/>
  <c r="O71"/>
  <c r="F74"/>
  <c r="G643"/>
  <c r="M643"/>
  <c r="Q643"/>
  <c r="R643"/>
  <c r="H643"/>
  <c r="N643"/>
  <c r="S643"/>
  <c r="I643"/>
  <c r="K643"/>
  <c r="T643"/>
  <c r="L643"/>
  <c r="U643"/>
  <c r="P643"/>
  <c r="J643"/>
  <c r="O643"/>
  <c r="F646"/>
  <c r="H586"/>
  <c r="K586"/>
  <c r="Q586"/>
  <c r="T586"/>
  <c r="G586"/>
  <c r="L586"/>
  <c r="N586"/>
  <c r="S586"/>
  <c r="I586"/>
  <c r="M586"/>
  <c r="R586"/>
  <c r="U586"/>
  <c r="J586"/>
  <c r="O586"/>
  <c r="P586"/>
  <c r="F589"/>
  <c r="H528"/>
  <c r="Q528"/>
  <c r="K528"/>
  <c r="L528"/>
  <c r="R528"/>
  <c r="T528"/>
  <c r="G528"/>
  <c r="M528"/>
  <c r="S528"/>
  <c r="I528"/>
  <c r="N528"/>
  <c r="U528"/>
  <c r="J528"/>
  <c r="O528"/>
  <c r="P528"/>
  <c r="F531"/>
  <c r="R660" i="1"/>
  <c r="R169"/>
  <c r="U431"/>
  <c r="U421"/>
  <c r="U591"/>
  <c r="U508"/>
  <c r="U181"/>
  <c r="U182"/>
  <c r="U174"/>
  <c r="U160"/>
  <c r="U74"/>
  <c r="U389"/>
  <c r="U303"/>
  <c r="U388"/>
  <c r="U301"/>
  <c r="U400"/>
  <c r="U506"/>
  <c r="U27"/>
  <c r="U46"/>
  <c r="U511"/>
  <c r="U505"/>
  <c r="U193"/>
  <c r="U397"/>
  <c r="U398"/>
  <c r="U411"/>
  <c r="U370"/>
  <c r="U494"/>
  <c r="U44"/>
  <c r="U461" s="1"/>
  <c r="U161"/>
  <c r="U285"/>
  <c r="U295"/>
  <c r="U180"/>
  <c r="U369"/>
  <c r="U43"/>
  <c r="U481" s="1"/>
  <c r="U191"/>
  <c r="U218"/>
  <c r="U289"/>
  <c r="U377"/>
  <c r="U497"/>
  <c r="U412"/>
  <c r="U460"/>
  <c r="U65"/>
  <c r="U642"/>
  <c r="U296"/>
  <c r="U171"/>
  <c r="U202"/>
  <c r="U203"/>
  <c r="U194"/>
  <c r="U387"/>
  <c r="U573"/>
  <c r="U418"/>
  <c r="U413"/>
  <c r="U379"/>
  <c r="U432"/>
  <c r="U75"/>
  <c r="U641"/>
  <c r="U510"/>
  <c r="U367"/>
  <c r="U152"/>
  <c r="U297"/>
  <c r="U409"/>
  <c r="U298"/>
  <c r="U287"/>
  <c r="U300"/>
  <c r="U507"/>
  <c r="U66"/>
  <c r="U153"/>
  <c r="U45"/>
  <c r="U251" s="1"/>
  <c r="U115"/>
  <c r="U133"/>
  <c r="U201"/>
  <c r="U509"/>
  <c r="U493"/>
  <c r="U572"/>
  <c r="U420"/>
  <c r="U159"/>
  <c r="U571"/>
  <c r="U496"/>
  <c r="U170"/>
  <c r="U192"/>
  <c r="U42"/>
  <c r="U172"/>
  <c r="U294"/>
  <c r="U410"/>
  <c r="U204"/>
  <c r="U253"/>
  <c r="U503"/>
  <c r="U288"/>
  <c r="U151"/>
  <c r="U19"/>
  <c r="U40"/>
  <c r="U478" s="1"/>
  <c r="U399"/>
  <c r="U504"/>
  <c r="U299"/>
  <c r="U365"/>
  <c r="U23"/>
  <c r="U38"/>
  <c r="U475" s="1"/>
  <c r="U376"/>
  <c r="U217"/>
  <c r="U583"/>
  <c r="U304"/>
  <c r="U495"/>
  <c r="U219"/>
  <c r="U147"/>
  <c r="U33"/>
  <c r="U366"/>
  <c r="U41"/>
  <c r="U268" s="1"/>
  <c r="V2"/>
  <c r="U148"/>
  <c r="U286"/>
  <c r="U39"/>
  <c r="U302"/>
  <c r="U150"/>
  <c r="U378"/>
  <c r="U149"/>
  <c r="U101"/>
  <c r="U419"/>
  <c r="U502"/>
  <c r="U390"/>
  <c r="U162"/>
  <c r="U391"/>
  <c r="U368"/>
  <c r="U173"/>
  <c r="U512"/>
  <c r="U183"/>
  <c r="F421" i="2"/>
  <c r="F423" s="1"/>
  <c r="F363"/>
  <c r="F365" s="1"/>
  <c r="N109" i="1"/>
  <c r="N325"/>
  <c r="N598"/>
  <c r="N600"/>
  <c r="N602"/>
  <c r="N604"/>
  <c r="N321"/>
  <c r="N529"/>
  <c r="N606"/>
  <c r="N324"/>
  <c r="N532"/>
  <c r="O655"/>
  <c r="O81"/>
  <c r="O95"/>
  <c r="O128"/>
  <c r="O125"/>
  <c r="O114"/>
  <c r="O126"/>
  <c r="O113"/>
  <c r="O127"/>
  <c r="M1049" i="2"/>
  <c r="M19" s="1"/>
  <c r="T252" i="1"/>
  <c r="T643"/>
  <c r="T634"/>
  <c r="T386" s="1"/>
  <c r="T29"/>
  <c r="T206"/>
  <c r="T514"/>
  <c r="T423"/>
  <c r="R221"/>
  <c r="P516"/>
  <c r="S658"/>
  <c r="S383"/>
  <c r="S146"/>
  <c r="S155" s="1"/>
  <c r="S662"/>
  <c r="S425"/>
  <c r="S190"/>
  <c r="S196" s="1"/>
  <c r="S208" s="1"/>
  <c r="M666"/>
  <c r="M531"/>
  <c r="M528"/>
  <c r="M322"/>
  <c r="M320"/>
  <c r="M527"/>
  <c r="M530"/>
  <c r="M317"/>
  <c r="M327"/>
  <c r="M318"/>
  <c r="M323"/>
  <c r="M326"/>
  <c r="M525"/>
  <c r="M526"/>
  <c r="M319"/>
  <c r="M533"/>
  <c r="M534"/>
  <c r="P166"/>
  <c r="H122"/>
  <c r="S661"/>
  <c r="S179"/>
  <c r="S185" s="1"/>
  <c r="S187" s="1"/>
  <c r="S214"/>
  <c r="S216"/>
  <c r="S430"/>
  <c r="S434" s="1"/>
  <c r="S215"/>
  <c r="S213"/>
  <c r="Q667"/>
  <c r="Q586"/>
  <c r="Q588" s="1"/>
  <c r="F368" i="2" s="1"/>
  <c r="Q594" i="1"/>
  <c r="Q596" s="1"/>
  <c r="F426" i="2" s="1"/>
  <c r="Q535" i="1"/>
  <c r="Q328"/>
  <c r="Q329"/>
  <c r="Q536"/>
  <c r="Q577"/>
  <c r="J657"/>
  <c r="J120"/>
  <c r="Q155"/>
  <c r="Q166" s="1"/>
  <c r="Q210" s="1"/>
  <c r="Q223" s="1"/>
  <c r="N273"/>
  <c r="N275" s="1"/>
  <c r="N488"/>
  <c r="G1048" i="2"/>
  <c r="G1049" s="1"/>
  <c r="G19" s="1"/>
  <c r="K1049"/>
  <c r="K19" s="1"/>
  <c r="H1049"/>
  <c r="H19" s="1"/>
  <c r="I1049"/>
  <c r="I19" s="1"/>
  <c r="R402" i="1"/>
  <c r="K654"/>
  <c r="K112"/>
  <c r="K116" s="1"/>
  <c r="K140" s="1"/>
  <c r="F128" i="2" s="1"/>
  <c r="F1059"/>
  <c r="H112" i="1"/>
  <c r="H654"/>
  <c r="M223"/>
  <c r="Q486"/>
  <c r="Q488" s="1"/>
  <c r="Q490" s="1"/>
  <c r="Q665"/>
  <c r="Q263"/>
  <c r="Q273" s="1"/>
  <c r="T291"/>
  <c r="T631"/>
  <c r="T364" s="1"/>
  <c r="T372" s="1"/>
  <c r="T633"/>
  <c r="T375" s="1"/>
  <c r="T381" s="1"/>
  <c r="T48"/>
  <c r="T415"/>
  <c r="T499"/>
  <c r="S404"/>
  <c r="P125" l="1"/>
  <c r="F20" i="2"/>
  <c r="F21" s="1"/>
  <c r="O526"/>
  <c r="O19"/>
  <c r="N69"/>
  <c r="N19"/>
  <c r="J469"/>
  <c r="J19"/>
  <c r="L297"/>
  <c r="L19"/>
  <c r="R10"/>
  <c r="R19"/>
  <c r="U297"/>
  <c r="U19"/>
  <c r="S526"/>
  <c r="S19"/>
  <c r="P526"/>
  <c r="P19"/>
  <c r="Q126"/>
  <c r="Q19"/>
  <c r="T469"/>
  <c r="T19"/>
  <c r="V19"/>
  <c r="R107" i="1"/>
  <c r="R667"/>
  <c r="R586"/>
  <c r="R588" s="1"/>
  <c r="F371" i="2" s="1"/>
  <c r="I371" s="1"/>
  <c r="R535" i="1"/>
  <c r="R329"/>
  <c r="R594"/>
  <c r="R596" s="1"/>
  <c r="F429" i="2" s="1"/>
  <c r="U429" s="1"/>
  <c r="R328" i="1"/>
  <c r="R536"/>
  <c r="R15"/>
  <c r="R578" s="1"/>
  <c r="R580" s="1"/>
  <c r="T50"/>
  <c r="U592"/>
  <c r="U35"/>
  <c r="J242" i="2"/>
  <c r="U242"/>
  <c r="H242"/>
  <c r="R242"/>
  <c r="I242"/>
  <c r="S242"/>
  <c r="N242"/>
  <c r="P242"/>
  <c r="O242"/>
  <c r="Q242"/>
  <c r="L242"/>
  <c r="M242"/>
  <c r="K242"/>
  <c r="G242"/>
  <c r="P113" i="1"/>
  <c r="P114"/>
  <c r="P81"/>
  <c r="P126"/>
  <c r="P95"/>
  <c r="P98" s="1"/>
  <c r="P602" s="1"/>
  <c r="F594" i="2" s="1"/>
  <c r="P128" i="1"/>
  <c r="P655"/>
  <c r="P127"/>
  <c r="O126" i="2"/>
  <c r="O584"/>
  <c r="V354"/>
  <c r="J185"/>
  <c r="K185"/>
  <c r="L185"/>
  <c r="R185"/>
  <c r="Q185"/>
  <c r="R183"/>
  <c r="P10"/>
  <c r="H185"/>
  <c r="U185"/>
  <c r="P185"/>
  <c r="T185"/>
  <c r="S185"/>
  <c r="O185"/>
  <c r="N185"/>
  <c r="L126"/>
  <c r="R354"/>
  <c r="R297"/>
  <c r="L354"/>
  <c r="L240"/>
  <c r="R306"/>
  <c r="I185"/>
  <c r="M185"/>
  <c r="S183"/>
  <c r="U183"/>
  <c r="V69"/>
  <c r="V240"/>
  <c r="U584"/>
  <c r="U126"/>
  <c r="J10"/>
  <c r="U265" i="1"/>
  <c r="U575"/>
  <c r="U444"/>
  <c r="Q297" i="2"/>
  <c r="O412"/>
  <c r="J126"/>
  <c r="Q354"/>
  <c r="S60" i="1"/>
  <c r="S329" s="1"/>
  <c r="Q584" i="2"/>
  <c r="O240"/>
  <c r="J240"/>
  <c r="Q183"/>
  <c r="S105" i="1"/>
  <c r="O69" i="2"/>
  <c r="N126"/>
  <c r="J584"/>
  <c r="T10"/>
  <c r="O354"/>
  <c r="N469"/>
  <c r="V641"/>
  <c r="S69"/>
  <c r="Q469"/>
  <c r="Q69"/>
  <c r="S104" i="1"/>
  <c r="S63"/>
  <c r="Q641" i="2"/>
  <c r="S11" i="1"/>
  <c r="S13"/>
  <c r="Q412" i="2"/>
  <c r="P183"/>
  <c r="S641"/>
  <c r="Q10"/>
  <c r="S62" i="1"/>
  <c r="S136"/>
  <c r="S138" s="1"/>
  <c r="S297" i="2"/>
  <c r="P126"/>
  <c r="P469"/>
  <c r="S240"/>
  <c r="P641"/>
  <c r="S354"/>
  <c r="Q526"/>
  <c r="S9" i="1"/>
  <c r="S10"/>
  <c r="P584" i="2"/>
  <c r="S412"/>
  <c r="Q240"/>
  <c r="S12" i="1"/>
  <c r="S651"/>
  <c r="S469" i="2"/>
  <c r="R363"/>
  <c r="U269" i="1"/>
  <c r="R241"/>
  <c r="L183" i="2"/>
  <c r="R412"/>
  <c r="R469"/>
  <c r="P240"/>
  <c r="P69"/>
  <c r="S584"/>
  <c r="L641"/>
  <c r="L412"/>
  <c r="R246" i="1"/>
  <c r="R259" s="1"/>
  <c r="R275" s="1"/>
  <c r="R126" i="2"/>
  <c r="R240"/>
  <c r="P412"/>
  <c r="P297"/>
  <c r="S10"/>
  <c r="L469"/>
  <c r="L526"/>
  <c r="V529"/>
  <c r="S236" i="1"/>
  <c r="S228"/>
  <c r="R526" i="2"/>
  <c r="R69"/>
  <c r="R641"/>
  <c r="P354"/>
  <c r="S126"/>
  <c r="L69"/>
  <c r="L10"/>
  <c r="S79" i="1"/>
  <c r="S96" s="1"/>
  <c r="V471" i="2"/>
  <c r="O421"/>
  <c r="R584"/>
  <c r="L584"/>
  <c r="R486" i="1"/>
  <c r="R488" s="1"/>
  <c r="O363" i="2"/>
  <c r="U526"/>
  <c r="T126"/>
  <c r="V297"/>
  <c r="V584"/>
  <c r="U306"/>
  <c r="T450" i="1"/>
  <c r="T663" s="1"/>
  <c r="P363" i="2"/>
  <c r="U445" i="1"/>
  <c r="U240" i="2"/>
  <c r="U69"/>
  <c r="T69"/>
  <c r="T354"/>
  <c r="V412"/>
  <c r="P421"/>
  <c r="T183"/>
  <c r="O297"/>
  <c r="R421"/>
  <c r="U584" i="1"/>
  <c r="U248"/>
  <c r="U354" i="2"/>
  <c r="U469"/>
  <c r="T641"/>
  <c r="T240"/>
  <c r="V183"/>
  <c r="O641"/>
  <c r="U454" i="1"/>
  <c r="O10" i="2"/>
  <c r="O469"/>
  <c r="O183"/>
  <c r="U441" i="1"/>
  <c r="U476"/>
  <c r="U412" i="2"/>
  <c r="U10"/>
  <c r="T526"/>
  <c r="T412"/>
  <c r="V469"/>
  <c r="N421"/>
  <c r="U641"/>
  <c r="T297"/>
  <c r="T584"/>
  <c r="V10"/>
  <c r="V526"/>
  <c r="S263" i="1"/>
  <c r="S273" s="1"/>
  <c r="S665"/>
  <c r="N297" i="2"/>
  <c r="J183"/>
  <c r="V14"/>
  <c r="J69"/>
  <c r="S237" i="1"/>
  <c r="S306" i="2"/>
  <c r="J526"/>
  <c r="V414"/>
  <c r="N363"/>
  <c r="N183"/>
  <c r="N354"/>
  <c r="N526"/>
  <c r="U231" i="1"/>
  <c r="J297" i="2"/>
  <c r="V300"/>
  <c r="S636" i="1"/>
  <c r="S453" s="1"/>
  <c r="S465" s="1"/>
  <c r="S246" s="1"/>
  <c r="S259" s="1"/>
  <c r="N584" i="2"/>
  <c r="N641"/>
  <c r="U458" i="1"/>
  <c r="Q275"/>
  <c r="Q277" s="1"/>
  <c r="N10" i="2"/>
  <c r="N240"/>
  <c r="U232" i="1"/>
  <c r="U640"/>
  <c r="U123" s="1"/>
  <c r="U643"/>
  <c r="U214" s="1"/>
  <c r="J354" i="2"/>
  <c r="J641"/>
  <c r="U480" i="1"/>
  <c r="V356" i="2"/>
  <c r="V185"/>
  <c r="N412"/>
  <c r="U238" i="1"/>
  <c r="U247"/>
  <c r="J412" i="2"/>
  <c r="V644"/>
  <c r="U252" i="1"/>
  <c r="N306" i="2"/>
  <c r="S235" i="1"/>
  <c r="U459"/>
  <c r="V357" i="2"/>
  <c r="O306"/>
  <c r="S226" i="1"/>
  <c r="S239"/>
  <c r="V242" i="2"/>
  <c r="U270" i="1"/>
  <c r="V528" i="2"/>
  <c r="V71"/>
  <c r="V358"/>
  <c r="V415"/>
  <c r="S233" i="1"/>
  <c r="S229"/>
  <c r="U102"/>
  <c r="J306" i="2"/>
  <c r="L306"/>
  <c r="T306"/>
  <c r="V306"/>
  <c r="V643"/>
  <c r="V13"/>
  <c r="S230" i="1"/>
  <c r="V587" i="2"/>
  <c r="S227" i="1"/>
  <c r="S663"/>
  <c r="T179"/>
  <c r="T185" s="1"/>
  <c r="U249"/>
  <c r="U477"/>
  <c r="V586" i="2"/>
  <c r="V299"/>
  <c r="V698"/>
  <c r="Q306"/>
  <c r="P306"/>
  <c r="V72"/>
  <c r="V472"/>
  <c r="V73"/>
  <c r="V301"/>
  <c r="V473"/>
  <c r="V645"/>
  <c r="V416"/>
  <c r="V530"/>
  <c r="V588"/>
  <c r="W704"/>
  <c r="W788"/>
  <c r="W697"/>
  <c r="W800" s="1"/>
  <c r="W767"/>
  <c r="W998"/>
  <c r="W760"/>
  <c r="W1001"/>
  <c r="W700"/>
  <c r="W995"/>
  <c r="W12" s="1"/>
  <c r="W705"/>
  <c r="W762"/>
  <c r="W976"/>
  <c r="W977"/>
  <c r="W1087"/>
  <c r="W1002"/>
  <c r="X2"/>
  <c r="W702"/>
  <c r="W708"/>
  <c r="W791"/>
  <c r="W765"/>
  <c r="W789"/>
  <c r="W1003"/>
  <c r="W701"/>
  <c r="W761"/>
  <c r="W1047"/>
  <c r="U456" i="1"/>
  <c r="U479"/>
  <c r="O130"/>
  <c r="U514"/>
  <c r="S221"/>
  <c r="N277"/>
  <c r="N279"/>
  <c r="T658"/>
  <c r="T383"/>
  <c r="T146"/>
  <c r="I306" i="2"/>
  <c r="I354"/>
  <c r="I10"/>
  <c r="I641"/>
  <c r="I183"/>
  <c r="I240"/>
  <c r="I421"/>
  <c r="I363"/>
  <c r="I469"/>
  <c r="I126"/>
  <c r="I584"/>
  <c r="I297"/>
  <c r="I69"/>
  <c r="I412"/>
  <c r="I526"/>
  <c r="T662" i="1"/>
  <c r="T425"/>
  <c r="T190"/>
  <c r="T196" s="1"/>
  <c r="T208" s="1"/>
  <c r="T659"/>
  <c r="T158"/>
  <c r="T164" s="1"/>
  <c r="Q516"/>
  <c r="M279"/>
  <c r="AA1059" i="2"/>
  <c r="AB1059" s="1"/>
  <c r="F1061"/>
  <c r="F27" i="14"/>
  <c r="R661" i="1"/>
  <c r="R179"/>
  <c r="H526" i="2"/>
  <c r="H10"/>
  <c r="H641"/>
  <c r="H584"/>
  <c r="H240"/>
  <c r="H421"/>
  <c r="H469"/>
  <c r="H183"/>
  <c r="H306"/>
  <c r="H69"/>
  <c r="H126"/>
  <c r="H354"/>
  <c r="H363"/>
  <c r="H412"/>
  <c r="H297"/>
  <c r="G526"/>
  <c r="G183"/>
  <c r="G421"/>
  <c r="G469"/>
  <c r="G306"/>
  <c r="G297"/>
  <c r="G126"/>
  <c r="G641"/>
  <c r="G363"/>
  <c r="G354"/>
  <c r="G69"/>
  <c r="G240"/>
  <c r="G412"/>
  <c r="G10"/>
  <c r="G584"/>
  <c r="N490" i="1"/>
  <c r="H426" i="2"/>
  <c r="K426"/>
  <c r="M426"/>
  <c r="P426"/>
  <c r="S426"/>
  <c r="I426"/>
  <c r="Q426"/>
  <c r="U426"/>
  <c r="J426"/>
  <c r="L426"/>
  <c r="O426"/>
  <c r="R426"/>
  <c r="V426"/>
  <c r="G426"/>
  <c r="N426"/>
  <c r="T426"/>
  <c r="W426"/>
  <c r="P666" i="1"/>
  <c r="P533"/>
  <c r="P525"/>
  <c r="P322"/>
  <c r="P528"/>
  <c r="P534"/>
  <c r="P526"/>
  <c r="P318"/>
  <c r="P531"/>
  <c r="P317"/>
  <c r="P320"/>
  <c r="P527"/>
  <c r="P319"/>
  <c r="P326"/>
  <c r="P327"/>
  <c r="P323"/>
  <c r="P530"/>
  <c r="T668"/>
  <c r="T573"/>
  <c r="T571"/>
  <c r="T572"/>
  <c r="T430"/>
  <c r="T434" s="1"/>
  <c r="T213"/>
  <c r="T215"/>
  <c r="T216"/>
  <c r="T214"/>
  <c r="M641" i="2"/>
  <c r="M183"/>
  <c r="M69"/>
  <c r="M126"/>
  <c r="M297"/>
  <c r="M421"/>
  <c r="M526"/>
  <c r="M469"/>
  <c r="M363"/>
  <c r="M240"/>
  <c r="M584"/>
  <c r="M354"/>
  <c r="M306"/>
  <c r="M412"/>
  <c r="M10"/>
  <c r="F649"/>
  <c r="F534"/>
  <c r="F77"/>
  <c r="V148" i="1"/>
  <c r="V65"/>
  <c r="V300"/>
  <c r="V642"/>
  <c r="V218"/>
  <c r="V183"/>
  <c r="V495"/>
  <c r="V572"/>
  <c r="V506"/>
  <c r="V497"/>
  <c r="V573"/>
  <c r="V510"/>
  <c r="V301"/>
  <c r="V494"/>
  <c r="V204"/>
  <c r="V505"/>
  <c r="V171"/>
  <c r="V161"/>
  <c r="V400"/>
  <c r="V411"/>
  <c r="V399"/>
  <c r="V19"/>
  <c r="V387"/>
  <c r="V253"/>
  <c r="V172"/>
  <c r="V174"/>
  <c r="V296"/>
  <c r="V173"/>
  <c r="V369"/>
  <c r="V583"/>
  <c r="V27"/>
  <c r="V151"/>
  <c r="V303"/>
  <c r="V39"/>
  <c r="V477" s="1"/>
  <c r="V366"/>
  <c r="V115"/>
  <c r="V147"/>
  <c r="V418"/>
  <c r="V133"/>
  <c r="V41"/>
  <c r="V479" s="1"/>
  <c r="V432"/>
  <c r="V286"/>
  <c r="V460"/>
  <c r="V397"/>
  <c r="V378"/>
  <c r="V66"/>
  <c r="V101"/>
  <c r="V367"/>
  <c r="V493"/>
  <c r="V43"/>
  <c r="V459" s="1"/>
  <c r="V192"/>
  <c r="V194"/>
  <c r="V45"/>
  <c r="V458" s="1"/>
  <c r="V201"/>
  <c r="V23"/>
  <c r="V641"/>
  <c r="V410"/>
  <c r="V40"/>
  <c r="V267" s="1"/>
  <c r="V150"/>
  <c r="V46"/>
  <c r="V365"/>
  <c r="V162"/>
  <c r="V33"/>
  <c r="V160"/>
  <c r="V153"/>
  <c r="V502"/>
  <c r="V503"/>
  <c r="V191"/>
  <c r="V285"/>
  <c r="V376"/>
  <c r="V181"/>
  <c r="V193"/>
  <c r="V377"/>
  <c r="V75"/>
  <c r="V298"/>
  <c r="V571"/>
  <c r="V149"/>
  <c r="V508"/>
  <c r="V182"/>
  <c r="V203"/>
  <c r="V170"/>
  <c r="V409"/>
  <c r="V512"/>
  <c r="V496"/>
  <c r="V388"/>
  <c r="V389"/>
  <c r="V431"/>
  <c r="V511"/>
  <c r="V370"/>
  <c r="V44"/>
  <c r="V461" s="1"/>
  <c r="V159"/>
  <c r="V287"/>
  <c r="V289"/>
  <c r="V504"/>
  <c r="V398"/>
  <c r="V74"/>
  <c r="V591"/>
  <c r="V421"/>
  <c r="V419"/>
  <c r="V420"/>
  <c r="V295"/>
  <c r="V391"/>
  <c r="V152"/>
  <c r="V413"/>
  <c r="V202"/>
  <c r="V299"/>
  <c r="V379"/>
  <c r="V38"/>
  <c r="V42"/>
  <c r="W2"/>
  <c r="V217"/>
  <c r="V302"/>
  <c r="V219"/>
  <c r="V390"/>
  <c r="V304"/>
  <c r="V412"/>
  <c r="V507"/>
  <c r="V288"/>
  <c r="V297"/>
  <c r="V180"/>
  <c r="V368"/>
  <c r="V294"/>
  <c r="V509"/>
  <c r="L308"/>
  <c r="Q69"/>
  <c r="Q669"/>
  <c r="Q578"/>
  <c r="Q580" s="1"/>
  <c r="M538"/>
  <c r="M540" s="1"/>
  <c r="S427"/>
  <c r="U448"/>
  <c r="U267"/>
  <c r="U250"/>
  <c r="U134"/>
  <c r="U442"/>
  <c r="U440"/>
  <c r="U446"/>
  <c r="U457"/>
  <c r="U264"/>
  <c r="U574"/>
  <c r="U266"/>
  <c r="U447"/>
  <c r="U443"/>
  <c r="U633"/>
  <c r="U375" s="1"/>
  <c r="U381" s="1"/>
  <c r="U306"/>
  <c r="U206"/>
  <c r="U415"/>
  <c r="U423"/>
  <c r="U634"/>
  <c r="U386" s="1"/>
  <c r="U393" s="1"/>
  <c r="R404"/>
  <c r="R427" s="1"/>
  <c r="S421" i="2"/>
  <c r="S363"/>
  <c r="U363"/>
  <c r="J363"/>
  <c r="L421"/>
  <c r="T421"/>
  <c r="T363"/>
  <c r="V421"/>
  <c r="V363"/>
  <c r="T652" i="1"/>
  <c r="T67"/>
  <c r="T64"/>
  <c r="T256"/>
  <c r="T463"/>
  <c r="T482"/>
  <c r="T637" s="1"/>
  <c r="T474" s="1"/>
  <c r="T484" s="1"/>
  <c r="T462"/>
  <c r="T135"/>
  <c r="T576"/>
  <c r="T593"/>
  <c r="T254"/>
  <c r="T255"/>
  <c r="T271"/>
  <c r="T76"/>
  <c r="T103"/>
  <c r="T257"/>
  <c r="T585"/>
  <c r="H116"/>
  <c r="H128" i="2"/>
  <c r="L128"/>
  <c r="V128"/>
  <c r="G128"/>
  <c r="K128"/>
  <c r="S128"/>
  <c r="M128"/>
  <c r="R128"/>
  <c r="U128"/>
  <c r="I128"/>
  <c r="N128"/>
  <c r="Q128"/>
  <c r="T128"/>
  <c r="J128"/>
  <c r="P128"/>
  <c r="O128"/>
  <c r="K526"/>
  <c r="K69"/>
  <c r="K10"/>
  <c r="K354"/>
  <c r="K469"/>
  <c r="K584"/>
  <c r="K363"/>
  <c r="K306"/>
  <c r="K297"/>
  <c r="K126"/>
  <c r="K412"/>
  <c r="K240"/>
  <c r="K641"/>
  <c r="K421"/>
  <c r="K183"/>
  <c r="G368"/>
  <c r="I368"/>
  <c r="T368"/>
  <c r="H368"/>
  <c r="O368"/>
  <c r="U368"/>
  <c r="N368"/>
  <c r="L368"/>
  <c r="R368"/>
  <c r="S368"/>
  <c r="M368"/>
  <c r="Q368"/>
  <c r="V368"/>
  <c r="P368"/>
  <c r="K368"/>
  <c r="W368"/>
  <c r="J368"/>
  <c r="P210" i="1"/>
  <c r="T393"/>
  <c r="O98"/>
  <c r="F592" i="2"/>
  <c r="F477"/>
  <c r="N608" i="1"/>
  <c r="U653"/>
  <c r="R176"/>
  <c r="L666"/>
  <c r="L531"/>
  <c r="L323"/>
  <c r="L317"/>
  <c r="L320"/>
  <c r="L326"/>
  <c r="L322"/>
  <c r="L527"/>
  <c r="L530"/>
  <c r="L327"/>
  <c r="L525"/>
  <c r="L526"/>
  <c r="L318"/>
  <c r="L319"/>
  <c r="L528"/>
  <c r="L533"/>
  <c r="L534"/>
  <c r="O308"/>
  <c r="J540"/>
  <c r="J333"/>
  <c r="F29" i="14"/>
  <c r="S164" i="1"/>
  <c r="S166" s="1"/>
  <c r="S210" s="1"/>
  <c r="M331"/>
  <c r="U48"/>
  <c r="U631"/>
  <c r="U364" s="1"/>
  <c r="U372" s="1"/>
  <c r="U455"/>
  <c r="U499"/>
  <c r="U291"/>
  <c r="U635"/>
  <c r="U396" s="1"/>
  <c r="U402" s="1"/>
  <c r="U421" i="2"/>
  <c r="J421"/>
  <c r="L363"/>
  <c r="Q363"/>
  <c r="Q421"/>
  <c r="F308"/>
  <c r="X426" l="1"/>
  <c r="V371"/>
  <c r="Q371"/>
  <c r="W371"/>
  <c r="M371"/>
  <c r="P371"/>
  <c r="N371"/>
  <c r="H371"/>
  <c r="S371"/>
  <c r="T371"/>
  <c r="U371"/>
  <c r="X371"/>
  <c r="R371"/>
  <c r="O371"/>
  <c r="K371"/>
  <c r="J371"/>
  <c r="G371"/>
  <c r="L371"/>
  <c r="V429"/>
  <c r="S429"/>
  <c r="Q429"/>
  <c r="H429"/>
  <c r="T429"/>
  <c r="M429"/>
  <c r="N429"/>
  <c r="O429"/>
  <c r="I429"/>
  <c r="R669" i="1"/>
  <c r="R69"/>
  <c r="R95" s="1"/>
  <c r="R98" s="1"/>
  <c r="P429" i="2"/>
  <c r="K429"/>
  <c r="G429"/>
  <c r="R429"/>
  <c r="J429"/>
  <c r="L429"/>
  <c r="W429"/>
  <c r="U50" i="1"/>
  <c r="V445"/>
  <c r="V35"/>
  <c r="P109"/>
  <c r="F79" i="2" s="1"/>
  <c r="P321" i="1"/>
  <c r="P598"/>
  <c r="F479" i="2" s="1"/>
  <c r="P600" i="1"/>
  <c r="F536" i="2" s="1"/>
  <c r="P604" i="1"/>
  <c r="F651" i="2" s="1"/>
  <c r="P325" i="1"/>
  <c r="P532"/>
  <c r="P529"/>
  <c r="P606"/>
  <c r="P324"/>
  <c r="P130"/>
  <c r="Q279"/>
  <c r="Q308" s="1"/>
  <c r="S535"/>
  <c r="S586"/>
  <c r="S588" s="1"/>
  <c r="F374" i="2" s="1"/>
  <c r="M374" s="1"/>
  <c r="S107" i="1"/>
  <c r="S536"/>
  <c r="S667"/>
  <c r="R277"/>
  <c r="R490"/>
  <c r="R516" s="1"/>
  <c r="S328"/>
  <c r="S594"/>
  <c r="S596" s="1"/>
  <c r="F432" i="2" s="1"/>
  <c r="S432" s="1"/>
  <c r="S577" i="1"/>
  <c r="T229"/>
  <c r="S223"/>
  <c r="S15"/>
  <c r="S669" s="1"/>
  <c r="T228"/>
  <c r="S664"/>
  <c r="V643"/>
  <c r="V216" s="1"/>
  <c r="U213"/>
  <c r="S275"/>
  <c r="V478"/>
  <c r="T230"/>
  <c r="S241"/>
  <c r="S486"/>
  <c r="S488" s="1"/>
  <c r="S490" s="1"/>
  <c r="S516" s="1"/>
  <c r="T236"/>
  <c r="T227"/>
  <c r="V252"/>
  <c r="V481"/>
  <c r="T226"/>
  <c r="T239"/>
  <c r="T234"/>
  <c r="T235"/>
  <c r="T237"/>
  <c r="T233"/>
  <c r="V231"/>
  <c r="V251"/>
  <c r="W588" i="2"/>
  <c r="U430" i="1"/>
  <c r="U434" s="1"/>
  <c r="U216"/>
  <c r="W587" i="2"/>
  <c r="V232" i="1"/>
  <c r="V48"/>
  <c r="V652" s="1"/>
  <c r="T636"/>
  <c r="T453" s="1"/>
  <c r="T465" s="1"/>
  <c r="T486" s="1"/>
  <c r="T488" s="1"/>
  <c r="V480"/>
  <c r="W356" i="2"/>
  <c r="U215" i="1"/>
  <c r="W72" i="2"/>
  <c r="W414"/>
  <c r="V584" i="1"/>
  <c r="V270"/>
  <c r="V456"/>
  <c r="X429" i="2"/>
  <c r="W530"/>
  <c r="W14"/>
  <c r="W300"/>
  <c r="V443" i="1"/>
  <c r="V441"/>
  <c r="V250"/>
  <c r="V268"/>
  <c r="W416" i="2"/>
  <c r="V448" i="1"/>
  <c r="W644" i="2"/>
  <c r="W128"/>
  <c r="V574" i="1"/>
  <c r="V575"/>
  <c r="V265"/>
  <c r="W529" i="2"/>
  <c r="W357"/>
  <c r="V455" i="1"/>
  <c r="V249"/>
  <c r="W473" i="2"/>
  <c r="W358"/>
  <c r="X368"/>
  <c r="V457" i="1"/>
  <c r="V266"/>
  <c r="V269"/>
  <c r="W645" i="2"/>
  <c r="W13"/>
  <c r="W415"/>
  <c r="V454" i="1"/>
  <c r="W301" i="2"/>
  <c r="W299"/>
  <c r="V238" i="1"/>
  <c r="W73" i="2"/>
  <c r="W472"/>
  <c r="X1087"/>
  <c r="X701"/>
  <c r="X760"/>
  <c r="X697"/>
  <c r="X800" s="1"/>
  <c r="X704"/>
  <c r="X1003"/>
  <c r="X977"/>
  <c r="Y2"/>
  <c r="X788"/>
  <c r="X942" s="1"/>
  <c r="X702"/>
  <c r="X765"/>
  <c r="X998"/>
  <c r="X976"/>
  <c r="X705"/>
  <c r="X1002"/>
  <c r="X791"/>
  <c r="X995"/>
  <c r="X12" s="1"/>
  <c r="X767"/>
  <c r="X761"/>
  <c r="X762"/>
  <c r="X1001"/>
  <c r="X700"/>
  <c r="X789"/>
  <c r="X708"/>
  <c r="X1047"/>
  <c r="X1048" s="1"/>
  <c r="X1049" s="1"/>
  <c r="X469" s="1"/>
  <c r="W1048"/>
  <c r="W698"/>
  <c r="W643"/>
  <c r="W586"/>
  <c r="W242"/>
  <c r="W528"/>
  <c r="W185"/>
  <c r="W471"/>
  <c r="W71"/>
  <c r="U661" i="1"/>
  <c r="U179"/>
  <c r="U185" s="1"/>
  <c r="U652"/>
  <c r="U67"/>
  <c r="U257"/>
  <c r="U576"/>
  <c r="U482"/>
  <c r="U637" s="1"/>
  <c r="U474" s="1"/>
  <c r="U484" s="1"/>
  <c r="U76"/>
  <c r="U593"/>
  <c r="U135"/>
  <c r="U64"/>
  <c r="U585"/>
  <c r="U462"/>
  <c r="U103"/>
  <c r="U256"/>
  <c r="U271"/>
  <c r="U255"/>
  <c r="U254"/>
  <c r="U463"/>
  <c r="J335"/>
  <c r="J610"/>
  <c r="F184" i="2"/>
  <c r="L331" i="1"/>
  <c r="U383"/>
  <c r="U658"/>
  <c r="U146"/>
  <c r="U155" s="1"/>
  <c r="F311" i="2"/>
  <c r="J542" i="1"/>
  <c r="J656"/>
  <c r="J119"/>
  <c r="F241" i="2"/>
  <c r="O657" i="1"/>
  <c r="O120"/>
  <c r="L538"/>
  <c r="M542"/>
  <c r="M656"/>
  <c r="M119"/>
  <c r="F244" i="2"/>
  <c r="N516" i="1"/>
  <c r="H1061" i="2"/>
  <c r="H1062" s="1"/>
  <c r="K1061"/>
  <c r="K1062" s="1"/>
  <c r="G1061"/>
  <c r="M1061"/>
  <c r="M1062" s="1"/>
  <c r="T1061"/>
  <c r="T1062" s="1"/>
  <c r="S1061"/>
  <c r="S1062" s="1"/>
  <c r="X1061"/>
  <c r="X1062" s="1"/>
  <c r="F1062"/>
  <c r="N1061"/>
  <c r="N1062" s="1"/>
  <c r="L1061"/>
  <c r="L1062" s="1"/>
  <c r="Q1061"/>
  <c r="Q1062" s="1"/>
  <c r="V1061"/>
  <c r="V1062" s="1"/>
  <c r="R1061"/>
  <c r="R1062" s="1"/>
  <c r="U1061"/>
  <c r="U1062" s="1"/>
  <c r="W1061"/>
  <c r="W1062" s="1"/>
  <c r="I1061"/>
  <c r="I1062" s="1"/>
  <c r="O1061"/>
  <c r="O1062" s="1"/>
  <c r="P1061"/>
  <c r="P1062" s="1"/>
  <c r="J1061"/>
  <c r="J1062" s="1"/>
  <c r="M308" i="1"/>
  <c r="M333"/>
  <c r="Q666"/>
  <c r="Q320"/>
  <c r="Q530"/>
  <c r="Q323"/>
  <c r="Q528"/>
  <c r="Q534"/>
  <c r="Q317"/>
  <c r="Q527"/>
  <c r="Q526"/>
  <c r="Q318"/>
  <c r="Q327"/>
  <c r="Q322"/>
  <c r="Q326"/>
  <c r="Q531"/>
  <c r="Q525"/>
  <c r="Q533"/>
  <c r="Q319"/>
  <c r="U450"/>
  <c r="V264"/>
  <c r="V306"/>
  <c r="V415"/>
  <c r="V633"/>
  <c r="V375" s="1"/>
  <c r="V381" s="1"/>
  <c r="V514"/>
  <c r="V102"/>
  <c r="V442"/>
  <c r="V446"/>
  <c r="V592"/>
  <c r="V476"/>
  <c r="V447"/>
  <c r="V499"/>
  <c r="V635"/>
  <c r="V396" s="1"/>
  <c r="V402" s="1"/>
  <c r="V423"/>
  <c r="V640"/>
  <c r="V123" s="1"/>
  <c r="V634"/>
  <c r="V386" s="1"/>
  <c r="V393" s="1"/>
  <c r="T221"/>
  <c r="O109"/>
  <c r="O321"/>
  <c r="O602"/>
  <c r="O529"/>
  <c r="O532"/>
  <c r="O598"/>
  <c r="O606"/>
  <c r="O604"/>
  <c r="O324"/>
  <c r="O600"/>
  <c r="O325"/>
  <c r="T660"/>
  <c r="T404"/>
  <c r="T427" s="1"/>
  <c r="T169"/>
  <c r="P223"/>
  <c r="F13" i="14"/>
  <c r="H140" i="1"/>
  <c r="T665"/>
  <c r="T263"/>
  <c r="T273" s="1"/>
  <c r="U404"/>
  <c r="U660"/>
  <c r="U169"/>
  <c r="U176" s="1"/>
  <c r="U662"/>
  <c r="U425"/>
  <c r="U190"/>
  <c r="U196" s="1"/>
  <c r="U208" s="1"/>
  <c r="U659"/>
  <c r="U158"/>
  <c r="U164" s="1"/>
  <c r="Q655"/>
  <c r="Q81"/>
  <c r="Q95"/>
  <c r="Q98" s="1"/>
  <c r="F24" i="2"/>
  <c r="Q126" i="1"/>
  <c r="Q125"/>
  <c r="Q114"/>
  <c r="Q127"/>
  <c r="Q113"/>
  <c r="Q128"/>
  <c r="L657"/>
  <c r="L120"/>
  <c r="W27"/>
  <c r="W370"/>
  <c r="W170"/>
  <c r="W398"/>
  <c r="W193"/>
  <c r="W152"/>
  <c r="W388"/>
  <c r="W460"/>
  <c r="W19"/>
  <c r="W289"/>
  <c r="W217"/>
  <c r="W304"/>
  <c r="W153"/>
  <c r="W45"/>
  <c r="W251" s="1"/>
  <c r="W162"/>
  <c r="W150"/>
  <c r="W512"/>
  <c r="W147"/>
  <c r="W295"/>
  <c r="W389"/>
  <c r="W253"/>
  <c r="X2"/>
  <c r="W510"/>
  <c r="W411"/>
  <c r="W101"/>
  <c r="W410"/>
  <c r="W299"/>
  <c r="W39"/>
  <c r="W456" s="1"/>
  <c r="W367"/>
  <c r="W192"/>
  <c r="W298"/>
  <c r="W149"/>
  <c r="W505"/>
  <c r="W497"/>
  <c r="W42"/>
  <c r="W23"/>
  <c r="W194"/>
  <c r="W642"/>
  <c r="W173"/>
  <c r="W182"/>
  <c r="W572"/>
  <c r="W180"/>
  <c r="W133"/>
  <c r="W502"/>
  <c r="W399"/>
  <c r="W171"/>
  <c r="W496"/>
  <c r="W174"/>
  <c r="W159"/>
  <c r="W75"/>
  <c r="W397"/>
  <c r="W300"/>
  <c r="W288"/>
  <c r="W115"/>
  <c r="W43"/>
  <c r="W481" s="1"/>
  <c r="W218"/>
  <c r="W507"/>
  <c r="W202"/>
  <c r="W369"/>
  <c r="W493"/>
  <c r="W390"/>
  <c r="W44"/>
  <c r="W461" s="1"/>
  <c r="W400"/>
  <c r="W412"/>
  <c r="W432"/>
  <c r="W151"/>
  <c r="W509"/>
  <c r="W503"/>
  <c r="W65"/>
  <c r="W294"/>
  <c r="W376"/>
  <c r="W641"/>
  <c r="W33"/>
  <c r="W161"/>
  <c r="W287"/>
  <c r="W511"/>
  <c r="W296"/>
  <c r="W391"/>
  <c r="W506"/>
  <c r="W573"/>
  <c r="W201"/>
  <c r="W46"/>
  <c r="W494"/>
  <c r="W148"/>
  <c r="W41"/>
  <c r="W479" s="1"/>
  <c r="W160"/>
  <c r="W413"/>
  <c r="W366"/>
  <c r="W191"/>
  <c r="W421"/>
  <c r="W297"/>
  <c r="W219"/>
  <c r="W172"/>
  <c r="W302"/>
  <c r="W571"/>
  <c r="W368"/>
  <c r="W285"/>
  <c r="W377"/>
  <c r="W504"/>
  <c r="W181"/>
  <c r="W583"/>
  <c r="W409"/>
  <c r="W508"/>
  <c r="W40"/>
  <c r="W457" s="1"/>
  <c r="W286"/>
  <c r="W387"/>
  <c r="W303"/>
  <c r="W183"/>
  <c r="W203"/>
  <c r="W418"/>
  <c r="W38"/>
  <c r="W265" s="1"/>
  <c r="W378"/>
  <c r="W74"/>
  <c r="W379"/>
  <c r="W431"/>
  <c r="W495"/>
  <c r="W204"/>
  <c r="W301"/>
  <c r="W66"/>
  <c r="W420"/>
  <c r="W365"/>
  <c r="W591"/>
  <c r="W419"/>
  <c r="V653"/>
  <c r="T651"/>
  <c r="T77"/>
  <c r="T79" s="1"/>
  <c r="T96" s="1"/>
  <c r="T11"/>
  <c r="T60"/>
  <c r="T104"/>
  <c r="T9"/>
  <c r="T10"/>
  <c r="T62"/>
  <c r="T12"/>
  <c r="T63"/>
  <c r="T136"/>
  <c r="T138" s="1"/>
  <c r="T105"/>
  <c r="T13"/>
  <c r="F314" i="2"/>
  <c r="R185" i="1"/>
  <c r="R187" s="1"/>
  <c r="R210" s="1"/>
  <c r="T155"/>
  <c r="T166" s="1"/>
  <c r="N308"/>
  <c r="V291"/>
  <c r="V631"/>
  <c r="V364" s="1"/>
  <c r="V372" s="1"/>
  <c r="V440"/>
  <c r="V444"/>
  <c r="V134"/>
  <c r="V247"/>
  <c r="V248"/>
  <c r="V206"/>
  <c r="V475"/>
  <c r="X19" i="2" l="1"/>
  <c r="Y1061"/>
  <c r="Y1062" s="1"/>
  <c r="Y1063" s="1"/>
  <c r="Y649" s="1"/>
  <c r="W1063"/>
  <c r="W305" s="1"/>
  <c r="R125" i="1"/>
  <c r="R128"/>
  <c r="R81"/>
  <c r="F27" i="2"/>
  <c r="M27" s="1"/>
  <c r="R127" i="1"/>
  <c r="R114"/>
  <c r="R113"/>
  <c r="R655"/>
  <c r="R126"/>
  <c r="V50"/>
  <c r="V12" s="1"/>
  <c r="W238"/>
  <c r="W35"/>
  <c r="G374" i="2"/>
  <c r="U374"/>
  <c r="P538" i="1"/>
  <c r="P540" s="1"/>
  <c r="P542" s="1"/>
  <c r="P608"/>
  <c r="P331"/>
  <c r="W269"/>
  <c r="O432" i="2"/>
  <c r="K374"/>
  <c r="Y374"/>
  <c r="P374"/>
  <c r="T374"/>
  <c r="J374"/>
  <c r="X374"/>
  <c r="S69" i="1"/>
  <c r="S655" s="1"/>
  <c r="W374" i="2"/>
  <c r="H374"/>
  <c r="I374"/>
  <c r="S374"/>
  <c r="R374"/>
  <c r="V374"/>
  <c r="Q374"/>
  <c r="O374"/>
  <c r="N374"/>
  <c r="L374"/>
  <c r="V462" i="1"/>
  <c r="V593"/>
  <c r="T246"/>
  <c r="T259" s="1"/>
  <c r="T275" s="1"/>
  <c r="T664"/>
  <c r="M432" i="2"/>
  <c r="N432"/>
  <c r="Q432"/>
  <c r="L432"/>
  <c r="X432"/>
  <c r="H432"/>
  <c r="K432"/>
  <c r="V430" i="1"/>
  <c r="V434" s="1"/>
  <c r="U432" i="2"/>
  <c r="Y432"/>
  <c r="J432"/>
  <c r="V214" i="1"/>
  <c r="I432" i="2"/>
  <c r="V432"/>
  <c r="W432"/>
  <c r="G432"/>
  <c r="R432"/>
  <c r="T432"/>
  <c r="V215" i="1"/>
  <c r="P432" i="2"/>
  <c r="V213" i="1"/>
  <c r="S578"/>
  <c r="S580" s="1"/>
  <c r="F317" i="2" s="1"/>
  <c r="S277" i="1"/>
  <c r="W443"/>
  <c r="X584" i="2"/>
  <c r="S279" i="1"/>
  <c r="S308" s="1"/>
  <c r="S120" s="1"/>
  <c r="U221"/>
  <c r="X526" i="2"/>
  <c r="X643"/>
  <c r="X13"/>
  <c r="X356"/>
  <c r="X473"/>
  <c r="X72"/>
  <c r="W480" i="1"/>
  <c r="T241"/>
  <c r="V103"/>
  <c r="V482"/>
  <c r="V637" s="1"/>
  <c r="V474" s="1"/>
  <c r="V484" s="1"/>
  <c r="V257"/>
  <c r="W477"/>
  <c r="V135"/>
  <c r="V463"/>
  <c r="X185" i="2"/>
  <c r="X300"/>
  <c r="V271" i="1"/>
  <c r="V256"/>
  <c r="V254"/>
  <c r="V67"/>
  <c r="V64"/>
  <c r="V76"/>
  <c r="V255"/>
  <c r="W266"/>
  <c r="V585"/>
  <c r="X472" i="2"/>
  <c r="W249" i="1"/>
  <c r="V576"/>
  <c r="W445"/>
  <c r="U1063" i="2"/>
  <c r="U18" s="1"/>
  <c r="X297"/>
  <c r="R1063"/>
  <c r="R77" s="1"/>
  <c r="X10"/>
  <c r="W447" i="1"/>
  <c r="W454"/>
  <c r="W441"/>
  <c r="W264"/>
  <c r="W232"/>
  <c r="X354" i="2"/>
  <c r="X645"/>
  <c r="W415" i="1"/>
  <c r="W190" s="1"/>
  <c r="W196" s="1"/>
  <c r="W267"/>
  <c r="W574"/>
  <c r="W250"/>
  <c r="W478"/>
  <c r="W592"/>
  <c r="X69" i="2"/>
  <c r="W440" i="1"/>
  <c r="W631"/>
  <c r="W364" s="1"/>
  <c r="W372" s="1"/>
  <c r="W146" s="1"/>
  <c r="W155" s="1"/>
  <c r="X412" i="2"/>
  <c r="X587"/>
  <c r="W270" i="1"/>
  <c r="X529" i="2"/>
  <c r="X586"/>
  <c r="X71"/>
  <c r="X588"/>
  <c r="X644"/>
  <c r="X299"/>
  <c r="W458" i="1"/>
  <c r="X416" i="2"/>
  <c r="Q1063"/>
  <c r="Q420" s="1"/>
  <c r="W268" i="1"/>
  <c r="W252"/>
  <c r="L1063" i="2"/>
  <c r="L353" s="1"/>
  <c r="X471"/>
  <c r="X421"/>
  <c r="X530"/>
  <c r="X14"/>
  <c r="X415"/>
  <c r="U187" i="1"/>
  <c r="V1063" i="2"/>
  <c r="V182" s="1"/>
  <c r="X242"/>
  <c r="X414"/>
  <c r="W459" i="1"/>
  <c r="W643"/>
  <c r="N1063" i="2"/>
  <c r="N420" s="1"/>
  <c r="X363"/>
  <c r="X528"/>
  <c r="X301"/>
  <c r="X358"/>
  <c r="X357"/>
  <c r="X73"/>
  <c r="X641"/>
  <c r="W1049"/>
  <c r="W19" s="1"/>
  <c r="Y995"/>
  <c r="Y356" s="1"/>
  <c r="Y765"/>
  <c r="Y1001"/>
  <c r="Y1003"/>
  <c r="Y788"/>
  <c r="Y942" s="1"/>
  <c r="Y700"/>
  <c r="Y977"/>
  <c r="Y789"/>
  <c r="Y701"/>
  <c r="Y760"/>
  <c r="Y697"/>
  <c r="Y800" s="1"/>
  <c r="Y998"/>
  <c r="Y704"/>
  <c r="Y767"/>
  <c r="Y976"/>
  <c r="Y705"/>
  <c r="Y1002"/>
  <c r="Y761"/>
  <c r="Y762"/>
  <c r="Z2"/>
  <c r="Y708"/>
  <c r="Y1087"/>
  <c r="Y791"/>
  <c r="Y702"/>
  <c r="Y1047"/>
  <c r="Y371"/>
  <c r="Y426"/>
  <c r="Y429"/>
  <c r="Y368"/>
  <c r="X698"/>
  <c r="X128"/>
  <c r="X240"/>
  <c r="X306"/>
  <c r="X183"/>
  <c r="X126"/>
  <c r="T15" i="1"/>
  <c r="T578" s="1"/>
  <c r="W48"/>
  <c r="W76" s="1"/>
  <c r="T107"/>
  <c r="U636"/>
  <c r="U453" s="1"/>
  <c r="U465" s="1"/>
  <c r="U664" s="1"/>
  <c r="R223"/>
  <c r="R279" s="1"/>
  <c r="N657"/>
  <c r="N120"/>
  <c r="J314" i="2"/>
  <c r="T314"/>
  <c r="G314"/>
  <c r="N314"/>
  <c r="W314"/>
  <c r="I314"/>
  <c r="S314"/>
  <c r="M314"/>
  <c r="R314"/>
  <c r="O314"/>
  <c r="V314"/>
  <c r="L314"/>
  <c r="Q314"/>
  <c r="Y314"/>
  <c r="K314"/>
  <c r="U314"/>
  <c r="H314"/>
  <c r="P314"/>
  <c r="X314"/>
  <c r="X170" i="1"/>
  <c r="X294"/>
  <c r="X376"/>
  <c r="X509"/>
  <c r="X502"/>
  <c r="X183"/>
  <c r="X180"/>
  <c r="X387"/>
  <c r="X400"/>
  <c r="X512"/>
  <c r="X150"/>
  <c r="X44"/>
  <c r="X461" s="1"/>
  <c r="X162"/>
  <c r="X642"/>
  <c r="X369"/>
  <c r="X253"/>
  <c r="X193"/>
  <c r="X368"/>
  <c r="X510"/>
  <c r="X42"/>
  <c r="X40"/>
  <c r="X457" s="1"/>
  <c r="X493"/>
  <c r="X494"/>
  <c r="X33"/>
  <c r="X35" s="1"/>
  <c r="X45"/>
  <c r="X458" s="1"/>
  <c r="X152"/>
  <c r="X297"/>
  <c r="X391"/>
  <c r="X388"/>
  <c r="X496"/>
  <c r="X583"/>
  <c r="X66"/>
  <c r="X591"/>
  <c r="X153"/>
  <c r="X287"/>
  <c r="X409"/>
  <c r="X410"/>
  <c r="X505"/>
  <c r="X390"/>
  <c r="X419"/>
  <c r="X301"/>
  <c r="X74"/>
  <c r="X217"/>
  <c r="X399"/>
  <c r="X507"/>
  <c r="X421"/>
  <c r="X398"/>
  <c r="X378"/>
  <c r="X495"/>
  <c r="X295"/>
  <c r="X431"/>
  <c r="X460"/>
  <c r="X159"/>
  <c r="X299"/>
  <c r="X506"/>
  <c r="X420"/>
  <c r="X504"/>
  <c r="X161"/>
  <c r="X288"/>
  <c r="X203"/>
  <c r="X432"/>
  <c r="X511"/>
  <c r="X173"/>
  <c r="X218"/>
  <c r="X219"/>
  <c r="X418"/>
  <c r="X367"/>
  <c r="X641"/>
  <c r="X202"/>
  <c r="X377"/>
  <c r="X300"/>
  <c r="X379"/>
  <c r="X497"/>
  <c r="X27"/>
  <c r="X503"/>
  <c r="X19"/>
  <c r="X191"/>
  <c r="X370"/>
  <c r="X397"/>
  <c r="X160"/>
  <c r="X204"/>
  <c r="X289"/>
  <c r="X413"/>
  <c r="X23"/>
  <c r="X149"/>
  <c r="X285"/>
  <c r="X296"/>
  <c r="X304"/>
  <c r="X365"/>
  <c r="X366"/>
  <c r="X303"/>
  <c r="X151"/>
  <c r="X147"/>
  <c r="X194"/>
  <c r="X389"/>
  <c r="X38"/>
  <c r="X265" s="1"/>
  <c r="X101"/>
  <c r="X171"/>
  <c r="X39"/>
  <c r="X302"/>
  <c r="X65"/>
  <c r="X201"/>
  <c r="X172"/>
  <c r="X75"/>
  <c r="X41"/>
  <c r="X268" s="1"/>
  <c r="X115"/>
  <c r="X46"/>
  <c r="X174"/>
  <c r="X182"/>
  <c r="X298"/>
  <c r="X43"/>
  <c r="X252" s="1"/>
  <c r="X148"/>
  <c r="X181"/>
  <c r="X192"/>
  <c r="X133"/>
  <c r="X286"/>
  <c r="X412"/>
  <c r="Y2"/>
  <c r="X508"/>
  <c r="X411"/>
  <c r="I24" i="2"/>
  <c r="L24"/>
  <c r="O24"/>
  <c r="Q24"/>
  <c r="G24"/>
  <c r="K24"/>
  <c r="P24"/>
  <c r="V24"/>
  <c r="X24"/>
  <c r="J24"/>
  <c r="N24"/>
  <c r="U24"/>
  <c r="S24"/>
  <c r="Y24"/>
  <c r="H24"/>
  <c r="M24"/>
  <c r="T24"/>
  <c r="R24"/>
  <c r="W24"/>
  <c r="F125"/>
  <c r="F535"/>
  <c r="F650"/>
  <c r="F478"/>
  <c r="O608" i="1"/>
  <c r="F78" i="2"/>
  <c r="U663" i="1"/>
  <c r="U230"/>
  <c r="U234"/>
  <c r="U226"/>
  <c r="U227"/>
  <c r="U237"/>
  <c r="U235"/>
  <c r="U239"/>
  <c r="U229"/>
  <c r="U236"/>
  <c r="U233"/>
  <c r="U228"/>
  <c r="U651"/>
  <c r="U63"/>
  <c r="U136"/>
  <c r="U138" s="1"/>
  <c r="U62"/>
  <c r="U77"/>
  <c r="U79" s="1"/>
  <c r="U96" s="1"/>
  <c r="U11"/>
  <c r="U12"/>
  <c r="U10"/>
  <c r="U13"/>
  <c r="U104"/>
  <c r="U60"/>
  <c r="U105"/>
  <c r="U9"/>
  <c r="M657"/>
  <c r="M120"/>
  <c r="M122" s="1"/>
  <c r="N666"/>
  <c r="N319"/>
  <c r="N320"/>
  <c r="N323"/>
  <c r="N317"/>
  <c r="N531"/>
  <c r="N327"/>
  <c r="N534"/>
  <c r="N318"/>
  <c r="N525"/>
  <c r="N326"/>
  <c r="N533"/>
  <c r="N322"/>
  <c r="N526"/>
  <c r="N527"/>
  <c r="N530"/>
  <c r="N528"/>
  <c r="R109"/>
  <c r="F86" i="2" s="1"/>
  <c r="R606" i="1"/>
  <c r="R321"/>
  <c r="R604"/>
  <c r="F658" i="2" s="1"/>
  <c r="R529" i="1"/>
  <c r="R532"/>
  <c r="R600"/>
  <c r="F543" i="2" s="1"/>
  <c r="R324" i="1"/>
  <c r="R602"/>
  <c r="F601" i="2" s="1"/>
  <c r="R598" i="1"/>
  <c r="R325"/>
  <c r="J122"/>
  <c r="F1052" i="2"/>
  <c r="J654" i="1"/>
  <c r="J112"/>
  <c r="V450"/>
  <c r="W248"/>
  <c r="W247"/>
  <c r="W476"/>
  <c r="W475"/>
  <c r="W423"/>
  <c r="W634"/>
  <c r="W386" s="1"/>
  <c r="W393" s="1"/>
  <c r="W206"/>
  <c r="W306"/>
  <c r="W446"/>
  <c r="W444"/>
  <c r="W575"/>
  <c r="W635"/>
  <c r="W396" s="1"/>
  <c r="W402" s="1"/>
  <c r="W514"/>
  <c r="Q130"/>
  <c r="O538"/>
  <c r="O540" s="1"/>
  <c r="O331"/>
  <c r="O333" s="1"/>
  <c r="V383"/>
  <c r="V658"/>
  <c r="V146"/>
  <c r="V155" s="1"/>
  <c r="T667"/>
  <c r="T328"/>
  <c r="T329"/>
  <c r="T535"/>
  <c r="T586"/>
  <c r="T588" s="1"/>
  <c r="F375" i="2" s="1"/>
  <c r="T594" i="1"/>
  <c r="T596" s="1"/>
  <c r="F433" i="2" s="1"/>
  <c r="T536" i="1"/>
  <c r="T577"/>
  <c r="W653"/>
  <c r="Q109"/>
  <c r="F83" i="2" s="1"/>
  <c r="Q324" i="1"/>
  <c r="Q325"/>
  <c r="Q604"/>
  <c r="F655" i="2" s="1"/>
  <c r="Q600" i="1"/>
  <c r="F540" i="2" s="1"/>
  <c r="Q532" i="1"/>
  <c r="Q606"/>
  <c r="Q598"/>
  <c r="Q602"/>
  <c r="F598" i="2" s="1"/>
  <c r="Q321" i="1"/>
  <c r="Q529"/>
  <c r="Q657"/>
  <c r="Q120"/>
  <c r="S666"/>
  <c r="S534"/>
  <c r="S327"/>
  <c r="S527"/>
  <c r="S533"/>
  <c r="S323"/>
  <c r="S320"/>
  <c r="S531"/>
  <c r="S526"/>
  <c r="S528"/>
  <c r="S525"/>
  <c r="S530"/>
  <c r="S326"/>
  <c r="S318"/>
  <c r="S319"/>
  <c r="S322"/>
  <c r="S317"/>
  <c r="T490"/>
  <c r="P279"/>
  <c r="T176"/>
  <c r="F593" i="2"/>
  <c r="V660" i="1"/>
  <c r="V404"/>
  <c r="V169"/>
  <c r="V176" s="1"/>
  <c r="V661"/>
  <c r="V179"/>
  <c r="V185" s="1"/>
  <c r="V659"/>
  <c r="V158"/>
  <c r="V164" s="1"/>
  <c r="V662"/>
  <c r="V425"/>
  <c r="V190"/>
  <c r="V196" s="1"/>
  <c r="V208" s="1"/>
  <c r="M335"/>
  <c r="M610"/>
  <c r="F187" i="2"/>
  <c r="X1063"/>
  <c r="P1063"/>
  <c r="M1063"/>
  <c r="K1063"/>
  <c r="J1063"/>
  <c r="S1063"/>
  <c r="T1063"/>
  <c r="O1063"/>
  <c r="H1063"/>
  <c r="I1063"/>
  <c r="G1062"/>
  <c r="G244"/>
  <c r="I244"/>
  <c r="M244"/>
  <c r="R244"/>
  <c r="V244"/>
  <c r="Q244"/>
  <c r="U244"/>
  <c r="X244"/>
  <c r="H244"/>
  <c r="L244"/>
  <c r="N244"/>
  <c r="T244"/>
  <c r="S244"/>
  <c r="W244"/>
  <c r="K244"/>
  <c r="J244"/>
  <c r="O244"/>
  <c r="P244"/>
  <c r="L540" i="1"/>
  <c r="G311" i="2"/>
  <c r="H311"/>
  <c r="K311"/>
  <c r="L311"/>
  <c r="N311"/>
  <c r="S311"/>
  <c r="R311"/>
  <c r="U311"/>
  <c r="W311"/>
  <c r="X311"/>
  <c r="I311"/>
  <c r="J311"/>
  <c r="O311"/>
  <c r="M311"/>
  <c r="P311"/>
  <c r="Q311"/>
  <c r="T311"/>
  <c r="V311"/>
  <c r="Y311"/>
  <c r="R666" i="1"/>
  <c r="R527"/>
  <c r="R525"/>
  <c r="R533"/>
  <c r="R318"/>
  <c r="R322"/>
  <c r="R317"/>
  <c r="R327"/>
  <c r="R531"/>
  <c r="R526"/>
  <c r="R320"/>
  <c r="R530"/>
  <c r="R319"/>
  <c r="R528"/>
  <c r="R323"/>
  <c r="R534"/>
  <c r="R326"/>
  <c r="L333"/>
  <c r="U665"/>
  <c r="U263"/>
  <c r="U273" s="1"/>
  <c r="W291"/>
  <c r="W633"/>
  <c r="W375" s="1"/>
  <c r="W381" s="1"/>
  <c r="W102"/>
  <c r="W448"/>
  <c r="W442"/>
  <c r="W134"/>
  <c r="W584"/>
  <c r="W499"/>
  <c r="W455"/>
  <c r="W231"/>
  <c r="W640"/>
  <c r="W123" s="1"/>
  <c r="U166"/>
  <c r="U427"/>
  <c r="W182" i="2" l="1"/>
  <c r="W649"/>
  <c r="W640"/>
  <c r="W68"/>
  <c r="W362"/>
  <c r="W525"/>
  <c r="H27"/>
  <c r="W534"/>
  <c r="W353"/>
  <c r="W592"/>
  <c r="W411"/>
  <c r="W18"/>
  <c r="W477"/>
  <c r="W420"/>
  <c r="W296"/>
  <c r="W468"/>
  <c r="W239"/>
  <c r="W9"/>
  <c r="W77"/>
  <c r="W583"/>
  <c r="Z311"/>
  <c r="AA311" s="1"/>
  <c r="AB311" s="1"/>
  <c r="T27"/>
  <c r="L27"/>
  <c r="G27"/>
  <c r="U27"/>
  <c r="R27"/>
  <c r="S27"/>
  <c r="K27"/>
  <c r="Q27"/>
  <c r="X27"/>
  <c r="Y27"/>
  <c r="J27"/>
  <c r="V27"/>
  <c r="N27"/>
  <c r="Z27"/>
  <c r="O27"/>
  <c r="I27"/>
  <c r="P27"/>
  <c r="W27"/>
  <c r="R130" i="1"/>
  <c r="P656"/>
  <c r="W50"/>
  <c r="W60" s="1"/>
  <c r="P119"/>
  <c r="F250" i="2"/>
  <c r="X653" i="1"/>
  <c r="S81"/>
  <c r="X250"/>
  <c r="S95"/>
  <c r="S98" s="1"/>
  <c r="S324" s="1"/>
  <c r="F30" i="2"/>
  <c r="M30" s="1"/>
  <c r="S128" i="1"/>
  <c r="S113"/>
  <c r="S127"/>
  <c r="S126"/>
  <c r="S114"/>
  <c r="S125"/>
  <c r="V636"/>
  <c r="V453" s="1"/>
  <c r="V465" s="1"/>
  <c r="V664" s="1"/>
  <c r="S657"/>
  <c r="U486"/>
  <c r="U488" s="1"/>
  <c r="U490" s="1"/>
  <c r="U516" s="1"/>
  <c r="T669"/>
  <c r="V221"/>
  <c r="N592" i="2"/>
  <c r="V77"/>
  <c r="V77" i="1"/>
  <c r="V79" s="1"/>
  <c r="V96" s="1"/>
  <c r="N534" i="2"/>
  <c r="U77"/>
  <c r="U9"/>
  <c r="Q362"/>
  <c r="U125"/>
  <c r="U649"/>
  <c r="Q640"/>
  <c r="N9"/>
  <c r="N477"/>
  <c r="R362"/>
  <c r="V62" i="1"/>
  <c r="T277"/>
  <c r="N411" i="2"/>
  <c r="R411"/>
  <c r="U210" i="1"/>
  <c r="U223" s="1"/>
  <c r="R592" i="2"/>
  <c r="U534"/>
  <c r="U411"/>
  <c r="U640"/>
  <c r="N640"/>
  <c r="R182"/>
  <c r="X640" i="1"/>
  <c r="X123" s="1"/>
  <c r="N18" i="2"/>
  <c r="R649"/>
  <c r="R525"/>
  <c r="R18"/>
  <c r="R640"/>
  <c r="U525"/>
  <c r="N296"/>
  <c r="R583"/>
  <c r="R468"/>
  <c r="R420"/>
  <c r="V640"/>
  <c r="V18"/>
  <c r="V68"/>
  <c r="R239"/>
  <c r="V9"/>
  <c r="U182"/>
  <c r="N353"/>
  <c r="R353"/>
  <c r="R305"/>
  <c r="R68"/>
  <c r="V477"/>
  <c r="R477"/>
  <c r="R534"/>
  <c r="R9"/>
  <c r="V583"/>
  <c r="R296"/>
  <c r="V296"/>
  <c r="Y13"/>
  <c r="L77"/>
  <c r="L525"/>
  <c r="V468"/>
  <c r="Y358"/>
  <c r="L411"/>
  <c r="V305"/>
  <c r="L592"/>
  <c r="V353"/>
  <c r="Y128"/>
  <c r="X643" i="1"/>
  <c r="X213" s="1"/>
  <c r="X231"/>
  <c r="X574"/>
  <c r="X134"/>
  <c r="X267"/>
  <c r="U107"/>
  <c r="X448"/>
  <c r="Y534" i="2"/>
  <c r="Y296"/>
  <c r="T69" i="1"/>
  <c r="T655" s="1"/>
  <c r="U239" i="2"/>
  <c r="U362"/>
  <c r="N68"/>
  <c r="N239"/>
  <c r="Q305"/>
  <c r="Q18"/>
  <c r="Q534"/>
  <c r="V13" i="1"/>
  <c r="V651"/>
  <c r="V9"/>
  <c r="V10"/>
  <c r="N362" i="2"/>
  <c r="N649"/>
  <c r="Q411"/>
  <c r="Q525"/>
  <c r="Q68"/>
  <c r="X478" i="1"/>
  <c r="V63"/>
  <c r="Q296" i="2"/>
  <c r="U468"/>
  <c r="U477"/>
  <c r="U68"/>
  <c r="N583"/>
  <c r="N77"/>
  <c r="Q583"/>
  <c r="Q477"/>
  <c r="Q77"/>
  <c r="V136" i="1"/>
  <c r="V138" s="1"/>
  <c r="Q353" i="2"/>
  <c r="U583"/>
  <c r="U305"/>
  <c r="U353"/>
  <c r="U592"/>
  <c r="N468"/>
  <c r="N525"/>
  <c r="Q468"/>
  <c r="Q239"/>
  <c r="Q592"/>
  <c r="V105" i="1"/>
  <c r="Y528" i="2"/>
  <c r="U420"/>
  <c r="U296"/>
  <c r="N305"/>
  <c r="N182"/>
  <c r="Q182"/>
  <c r="Q9"/>
  <c r="V104" i="1"/>
  <c r="V60"/>
  <c r="V586" s="1"/>
  <c r="V588" s="1"/>
  <c r="F377" i="2" s="1"/>
  <c r="Q649"/>
  <c r="V11" i="1"/>
  <c r="Q125" i="2"/>
  <c r="X269" i="1"/>
  <c r="W662"/>
  <c r="Y301" i="2"/>
  <c r="Y415"/>
  <c r="L239"/>
  <c r="Y244"/>
  <c r="L9"/>
  <c r="W425" i="1"/>
  <c r="X440"/>
  <c r="W658"/>
  <c r="Y588" i="2"/>
  <c r="Y357"/>
  <c r="V125"/>
  <c r="L583"/>
  <c r="L477"/>
  <c r="L362"/>
  <c r="L640"/>
  <c r="X423" i="1"/>
  <c r="X232"/>
  <c r="Y185" i="2"/>
  <c r="Y644"/>
  <c r="Y473"/>
  <c r="Y12"/>
  <c r="L182"/>
  <c r="L68"/>
  <c r="Y242"/>
  <c r="Y72"/>
  <c r="L125"/>
  <c r="X480" i="1"/>
  <c r="Y71" i="2"/>
  <c r="Y14"/>
  <c r="W135" i="1"/>
  <c r="X479"/>
  <c r="X270"/>
  <c r="Y18" i="2"/>
  <c r="T580" i="1"/>
  <c r="F318" i="2" s="1"/>
  <c r="Y77"/>
  <c r="Y300"/>
  <c r="Y525"/>
  <c r="Y305"/>
  <c r="W585" i="1"/>
  <c r="Y68" i="2"/>
  <c r="Y583"/>
  <c r="Y530"/>
  <c r="L305"/>
  <c r="L468"/>
  <c r="V420"/>
  <c r="V534"/>
  <c r="V411"/>
  <c r="W125"/>
  <c r="W271" i="1"/>
  <c r="Y592" i="2"/>
  <c r="Y125"/>
  <c r="Y239"/>
  <c r="X251" i="1"/>
  <c r="X249"/>
  <c r="X635"/>
  <c r="X396" s="1"/>
  <c r="X402" s="1"/>
  <c r="X661" s="1"/>
  <c r="Y73" i="2"/>
  <c r="Y645"/>
  <c r="Y414"/>
  <c r="Y477"/>
  <c r="Y411"/>
  <c r="Y643"/>
  <c r="Y698"/>
  <c r="L534"/>
  <c r="L18"/>
  <c r="L420"/>
  <c r="V362"/>
  <c r="V525"/>
  <c r="V649"/>
  <c r="N125"/>
  <c r="R125"/>
  <c r="Y353"/>
  <c r="Y182"/>
  <c r="Y9"/>
  <c r="Z24"/>
  <c r="AA24" s="1"/>
  <c r="AB24" s="1"/>
  <c r="X266" i="1"/>
  <c r="Z314" i="2"/>
  <c r="AA314" s="1"/>
  <c r="AB314" s="1"/>
  <c r="Y586"/>
  <c r="Y416"/>
  <c r="Y587"/>
  <c r="Y299"/>
  <c r="Y420"/>
  <c r="W208" i="1"/>
  <c r="Y640" i="2"/>
  <c r="X102" i="1"/>
  <c r="X447"/>
  <c r="L649" i="2"/>
  <c r="L296"/>
  <c r="V592"/>
  <c r="V239"/>
  <c r="Y468"/>
  <c r="Y362"/>
  <c r="X441" i="1"/>
  <c r="Y471" i="2"/>
  <c r="Y472"/>
  <c r="Y529"/>
  <c r="W215" i="1"/>
  <c r="W214"/>
  <c r="W430"/>
  <c r="W434" s="1"/>
  <c r="W216"/>
  <c r="W213"/>
  <c r="Z704" i="2"/>
  <c r="AA704" s="1"/>
  <c r="AB704" s="1"/>
  <c r="Z1002"/>
  <c r="AA1002" s="1"/>
  <c r="AB1002" s="1"/>
  <c r="Z762"/>
  <c r="AA762" s="1"/>
  <c r="AB762" s="1"/>
  <c r="Z765"/>
  <c r="AA765" s="1"/>
  <c r="AB765" s="1"/>
  <c r="Z1003"/>
  <c r="AA1003" s="1"/>
  <c r="AB1003" s="1"/>
  <c r="Z791"/>
  <c r="AA791" s="1"/>
  <c r="AB791" s="1"/>
  <c r="Z761"/>
  <c r="AA761" s="1"/>
  <c r="AB761" s="1"/>
  <c r="AA2"/>
  <c r="AB2" s="1"/>
  <c r="Z789"/>
  <c r="AA789" s="1"/>
  <c r="AB789" s="1"/>
  <c r="Z700"/>
  <c r="AA700" s="1"/>
  <c r="AB700" s="1"/>
  <c r="Z767"/>
  <c r="AA767" s="1"/>
  <c r="AB767" s="1"/>
  <c r="Z760"/>
  <c r="AA760" s="1"/>
  <c r="AB760" s="1"/>
  <c r="Z976"/>
  <c r="AA976" s="1"/>
  <c r="AB976" s="1"/>
  <c r="Z1001"/>
  <c r="AA1001" s="1"/>
  <c r="AB1001" s="1"/>
  <c r="Z788"/>
  <c r="Z998"/>
  <c r="AA998" s="1"/>
  <c r="AB998" s="1"/>
  <c r="Z708"/>
  <c r="AA708" s="1"/>
  <c r="AB708" s="1"/>
  <c r="Z1087"/>
  <c r="AA1087" s="1"/>
  <c r="AB1087" s="1"/>
  <c r="Z977"/>
  <c r="AA977" s="1"/>
  <c r="AB977" s="1"/>
  <c r="Z705"/>
  <c r="AA705" s="1"/>
  <c r="AB705" s="1"/>
  <c r="Z702"/>
  <c r="AA702" s="1"/>
  <c r="AB702" s="1"/>
  <c r="Z995"/>
  <c r="Z357" s="1"/>
  <c r="Z697"/>
  <c r="Z701"/>
  <c r="AA701" s="1"/>
  <c r="AB701" s="1"/>
  <c r="Z1047"/>
  <c r="Z1048" s="1"/>
  <c r="Z1049" s="1"/>
  <c r="Z584" s="1"/>
  <c r="Z371"/>
  <c r="AA371" s="1"/>
  <c r="AB371" s="1"/>
  <c r="Z368"/>
  <c r="AA368" s="1"/>
  <c r="AB368" s="1"/>
  <c r="Z429"/>
  <c r="AA429" s="1"/>
  <c r="AB429" s="1"/>
  <c r="Z426"/>
  <c r="AA426" s="1"/>
  <c r="AB426" s="1"/>
  <c r="Z432"/>
  <c r="AA432" s="1"/>
  <c r="AB432" s="1"/>
  <c r="Z374"/>
  <c r="AA374" s="1"/>
  <c r="AB374" s="1"/>
  <c r="Z1061"/>
  <c r="W126"/>
  <c r="W10"/>
  <c r="W354"/>
  <c r="W412"/>
  <c r="W584"/>
  <c r="W183"/>
  <c r="W297"/>
  <c r="W469"/>
  <c r="W306"/>
  <c r="W641"/>
  <c r="W526"/>
  <c r="W240"/>
  <c r="W69"/>
  <c r="W421"/>
  <c r="W363"/>
  <c r="Y1048"/>
  <c r="W450" i="1"/>
  <c r="W235" s="1"/>
  <c r="Q538"/>
  <c r="Q540" s="1"/>
  <c r="Q656" s="1"/>
  <c r="X481"/>
  <c r="X247"/>
  <c r="W652"/>
  <c r="W576"/>
  <c r="W103"/>
  <c r="W463"/>
  <c r="W256"/>
  <c r="W593"/>
  <c r="W462"/>
  <c r="W64"/>
  <c r="W257"/>
  <c r="W67"/>
  <c r="W482"/>
  <c r="W637" s="1"/>
  <c r="W474" s="1"/>
  <c r="W484" s="1"/>
  <c r="W255"/>
  <c r="W254"/>
  <c r="X48"/>
  <c r="X256" s="1"/>
  <c r="U246"/>
  <c r="U259" s="1"/>
  <c r="U275" s="1"/>
  <c r="Q331"/>
  <c r="Q333" s="1"/>
  <c r="Q335" s="1"/>
  <c r="U15"/>
  <c r="U669" s="1"/>
  <c r="X264"/>
  <c r="X444"/>
  <c r="X445"/>
  <c r="X575"/>
  <c r="X584"/>
  <c r="X592"/>
  <c r="X238"/>
  <c r="X442"/>
  <c r="X446"/>
  <c r="X443"/>
  <c r="W659"/>
  <c r="W158"/>
  <c r="W164" s="1"/>
  <c r="W166" s="1"/>
  <c r="L656"/>
  <c r="L542"/>
  <c r="F243" i="2"/>
  <c r="L119" i="1"/>
  <c r="H182" i="2"/>
  <c r="H583"/>
  <c r="H296"/>
  <c r="H649"/>
  <c r="H420"/>
  <c r="H239"/>
  <c r="H477"/>
  <c r="H468"/>
  <c r="H525"/>
  <c r="H68"/>
  <c r="H411"/>
  <c r="H125"/>
  <c r="H353"/>
  <c r="H592"/>
  <c r="H9"/>
  <c r="H640"/>
  <c r="H362"/>
  <c r="H18"/>
  <c r="H77"/>
  <c r="H305"/>
  <c r="H534"/>
  <c r="T353"/>
  <c r="T468"/>
  <c r="T649"/>
  <c r="T583"/>
  <c r="T68"/>
  <c r="T411"/>
  <c r="T77"/>
  <c r="T477"/>
  <c r="T125"/>
  <c r="T239"/>
  <c r="T362"/>
  <c r="T296"/>
  <c r="T640"/>
  <c r="T18"/>
  <c r="T420"/>
  <c r="T525"/>
  <c r="T9"/>
  <c r="T534"/>
  <c r="T592"/>
  <c r="T305"/>
  <c r="T182"/>
  <c r="K77"/>
  <c r="K420"/>
  <c r="K477"/>
  <c r="K68"/>
  <c r="K468"/>
  <c r="K296"/>
  <c r="K534"/>
  <c r="K239"/>
  <c r="K305"/>
  <c r="K125"/>
  <c r="K525"/>
  <c r="K592"/>
  <c r="K649"/>
  <c r="K640"/>
  <c r="K411"/>
  <c r="K9"/>
  <c r="K353"/>
  <c r="K583"/>
  <c r="K182"/>
  <c r="K18"/>
  <c r="K362"/>
  <c r="P77"/>
  <c r="P9"/>
  <c r="P640"/>
  <c r="P305"/>
  <c r="P649"/>
  <c r="P420"/>
  <c r="P239"/>
  <c r="P477"/>
  <c r="P583"/>
  <c r="P125"/>
  <c r="P534"/>
  <c r="P182"/>
  <c r="P68"/>
  <c r="P592"/>
  <c r="P525"/>
  <c r="P468"/>
  <c r="P353"/>
  <c r="P18"/>
  <c r="P411"/>
  <c r="P362"/>
  <c r="P296"/>
  <c r="T516" i="1"/>
  <c r="K598" i="2"/>
  <c r="M598"/>
  <c r="T598"/>
  <c r="R598"/>
  <c r="Z598"/>
  <c r="J598"/>
  <c r="L598"/>
  <c r="S598"/>
  <c r="Q598"/>
  <c r="Y598"/>
  <c r="H598"/>
  <c r="O598"/>
  <c r="P598"/>
  <c r="V598"/>
  <c r="X598"/>
  <c r="G598"/>
  <c r="I598"/>
  <c r="N598"/>
  <c r="U598"/>
  <c r="W598"/>
  <c r="H540"/>
  <c r="J540"/>
  <c r="M540"/>
  <c r="Q540"/>
  <c r="W540"/>
  <c r="K540"/>
  <c r="L540"/>
  <c r="N540"/>
  <c r="R540"/>
  <c r="X540"/>
  <c r="G540"/>
  <c r="O540"/>
  <c r="S540"/>
  <c r="T540"/>
  <c r="Z540"/>
  <c r="I540"/>
  <c r="P540"/>
  <c r="V540"/>
  <c r="U540"/>
  <c r="Y540"/>
  <c r="H433"/>
  <c r="L433"/>
  <c r="N433"/>
  <c r="T433"/>
  <c r="V433"/>
  <c r="X433"/>
  <c r="I433"/>
  <c r="P433"/>
  <c r="R433"/>
  <c r="Y433"/>
  <c r="K433"/>
  <c r="M433"/>
  <c r="O433"/>
  <c r="U433"/>
  <c r="W433"/>
  <c r="G433"/>
  <c r="J433"/>
  <c r="Q433"/>
  <c r="S433"/>
  <c r="Z433"/>
  <c r="O335" i="1"/>
  <c r="O610"/>
  <c r="F192" i="2"/>
  <c r="V663" i="1"/>
  <c r="V236"/>
  <c r="V239"/>
  <c r="V235"/>
  <c r="V233"/>
  <c r="V228"/>
  <c r="V226"/>
  <c r="V230"/>
  <c r="V234"/>
  <c r="V227"/>
  <c r="V237"/>
  <c r="V229"/>
  <c r="AA1052" i="2"/>
  <c r="AB1052" s="1"/>
  <c r="F1054"/>
  <c r="F486"/>
  <c r="R608" i="1"/>
  <c r="H658" i="2"/>
  <c r="N658"/>
  <c r="R658"/>
  <c r="U658"/>
  <c r="Z658"/>
  <c r="G658"/>
  <c r="M658"/>
  <c r="Q658"/>
  <c r="V658"/>
  <c r="Y658"/>
  <c r="J658"/>
  <c r="L658"/>
  <c r="P658"/>
  <c r="T658"/>
  <c r="X658"/>
  <c r="I658"/>
  <c r="K658"/>
  <c r="O658"/>
  <c r="S658"/>
  <c r="W658"/>
  <c r="I86"/>
  <c r="N86"/>
  <c r="R86"/>
  <c r="U86"/>
  <c r="W86"/>
  <c r="J86"/>
  <c r="P86"/>
  <c r="S86"/>
  <c r="V86"/>
  <c r="X86"/>
  <c r="H86"/>
  <c r="K86"/>
  <c r="L86"/>
  <c r="Q86"/>
  <c r="Y86"/>
  <c r="G86"/>
  <c r="M86"/>
  <c r="O86"/>
  <c r="T86"/>
  <c r="Z86"/>
  <c r="N331" i="1"/>
  <c r="V478" i="2"/>
  <c r="Q478"/>
  <c r="L478"/>
  <c r="W478"/>
  <c r="N478"/>
  <c r="R478"/>
  <c r="O478"/>
  <c r="T478"/>
  <c r="J478"/>
  <c r="U478"/>
  <c r="S478"/>
  <c r="X478"/>
  <c r="P478"/>
  <c r="G478"/>
  <c r="K478"/>
  <c r="I478"/>
  <c r="H478"/>
  <c r="M478"/>
  <c r="F480"/>
  <c r="T650"/>
  <c r="Q650"/>
  <c r="L650"/>
  <c r="J650"/>
  <c r="X650"/>
  <c r="P650"/>
  <c r="V650"/>
  <c r="W650"/>
  <c r="U650"/>
  <c r="S650"/>
  <c r="N650"/>
  <c r="R650"/>
  <c r="O650"/>
  <c r="I650"/>
  <c r="H650"/>
  <c r="G650"/>
  <c r="K650"/>
  <c r="M650"/>
  <c r="F652"/>
  <c r="U535"/>
  <c r="V535"/>
  <c r="T535"/>
  <c r="Q535"/>
  <c r="L535"/>
  <c r="J535"/>
  <c r="W535"/>
  <c r="S535"/>
  <c r="X535"/>
  <c r="P535"/>
  <c r="N535"/>
  <c r="R535"/>
  <c r="O535"/>
  <c r="K535"/>
  <c r="I535"/>
  <c r="H535"/>
  <c r="G535"/>
  <c r="M535"/>
  <c r="F537"/>
  <c r="R308" i="1"/>
  <c r="R331"/>
  <c r="R333" s="1"/>
  <c r="R538"/>
  <c r="R540" s="1"/>
  <c r="G1063" i="2"/>
  <c r="V166" i="1"/>
  <c r="V427"/>
  <c r="U241"/>
  <c r="X206"/>
  <c r="X631"/>
  <c r="X364" s="1"/>
  <c r="X372" s="1"/>
  <c r="X29"/>
  <c r="X455"/>
  <c r="X456"/>
  <c r="X459"/>
  <c r="X248"/>
  <c r="X475"/>
  <c r="X415"/>
  <c r="X499"/>
  <c r="X634"/>
  <c r="X386" s="1"/>
  <c r="X393" s="1"/>
  <c r="X306"/>
  <c r="L610"/>
  <c r="L335"/>
  <c r="F186" i="2"/>
  <c r="I296"/>
  <c r="I362"/>
  <c r="I592"/>
  <c r="I411"/>
  <c r="I125"/>
  <c r="I640"/>
  <c r="I18"/>
  <c r="I649"/>
  <c r="I182"/>
  <c r="I420"/>
  <c r="I477"/>
  <c r="I534"/>
  <c r="I353"/>
  <c r="I305"/>
  <c r="I9"/>
  <c r="I239"/>
  <c r="I468"/>
  <c r="I77"/>
  <c r="I68"/>
  <c r="I583"/>
  <c r="I525"/>
  <c r="O649"/>
  <c r="O362"/>
  <c r="O77"/>
  <c r="O583"/>
  <c r="O296"/>
  <c r="O18"/>
  <c r="O305"/>
  <c r="O68"/>
  <c r="O468"/>
  <c r="O239"/>
  <c r="O353"/>
  <c r="O9"/>
  <c r="O477"/>
  <c r="O525"/>
  <c r="O411"/>
  <c r="O534"/>
  <c r="O420"/>
  <c r="O125"/>
  <c r="O640"/>
  <c r="O592"/>
  <c r="O182"/>
  <c r="S305"/>
  <c r="S649"/>
  <c r="S296"/>
  <c r="S525"/>
  <c r="S9"/>
  <c r="S411"/>
  <c r="S18"/>
  <c r="S353"/>
  <c r="S477"/>
  <c r="S583"/>
  <c r="S77"/>
  <c r="S68"/>
  <c r="S362"/>
  <c r="S182"/>
  <c r="S125"/>
  <c r="S420"/>
  <c r="S592"/>
  <c r="S239"/>
  <c r="S534"/>
  <c r="S468"/>
  <c r="S640"/>
  <c r="J420"/>
  <c r="J534"/>
  <c r="J305"/>
  <c r="J68"/>
  <c r="J583"/>
  <c r="J362"/>
  <c r="J239"/>
  <c r="J525"/>
  <c r="J77"/>
  <c r="J411"/>
  <c r="J640"/>
  <c r="J468"/>
  <c r="J353"/>
  <c r="J18"/>
  <c r="J477"/>
  <c r="J9"/>
  <c r="J649"/>
  <c r="J182"/>
  <c r="J592"/>
  <c r="J296"/>
  <c r="J125"/>
  <c r="M525"/>
  <c r="M305"/>
  <c r="M468"/>
  <c r="M477"/>
  <c r="M583"/>
  <c r="M296"/>
  <c r="M125"/>
  <c r="M640"/>
  <c r="M77"/>
  <c r="M68"/>
  <c r="M9"/>
  <c r="M420"/>
  <c r="M411"/>
  <c r="M18"/>
  <c r="M353"/>
  <c r="M362"/>
  <c r="M182"/>
  <c r="M649"/>
  <c r="M239"/>
  <c r="M534"/>
  <c r="M592"/>
  <c r="X77"/>
  <c r="X420"/>
  <c r="X305"/>
  <c r="X534"/>
  <c r="X296"/>
  <c r="X9"/>
  <c r="X649"/>
  <c r="X182"/>
  <c r="X525"/>
  <c r="X592"/>
  <c r="X640"/>
  <c r="X68"/>
  <c r="X18"/>
  <c r="X125"/>
  <c r="X583"/>
  <c r="X353"/>
  <c r="X477"/>
  <c r="X239"/>
  <c r="X411"/>
  <c r="X362"/>
  <c r="X468"/>
  <c r="I187"/>
  <c r="G187"/>
  <c r="L187"/>
  <c r="N187"/>
  <c r="R187"/>
  <c r="S187"/>
  <c r="U187"/>
  <c r="X187"/>
  <c r="H187"/>
  <c r="M187"/>
  <c r="Q187"/>
  <c r="V187"/>
  <c r="T187"/>
  <c r="W187"/>
  <c r="Y187"/>
  <c r="K187"/>
  <c r="J187"/>
  <c r="O187"/>
  <c r="P187"/>
  <c r="M654" i="1"/>
  <c r="M112"/>
  <c r="M116" s="1"/>
  <c r="M140" s="1"/>
  <c r="F130" i="2" s="1"/>
  <c r="V593"/>
  <c r="Q593"/>
  <c r="L593"/>
  <c r="W593"/>
  <c r="U593"/>
  <c r="X593"/>
  <c r="N593"/>
  <c r="R593"/>
  <c r="T593"/>
  <c r="J593"/>
  <c r="S593"/>
  <c r="P593"/>
  <c r="O593"/>
  <c r="G593"/>
  <c r="M593"/>
  <c r="I593"/>
  <c r="H593"/>
  <c r="K593"/>
  <c r="F595"/>
  <c r="T187" i="1"/>
  <c r="T210" s="1"/>
  <c r="T223" s="1"/>
  <c r="P333"/>
  <c r="P308"/>
  <c r="F483" i="2"/>
  <c r="Q608" i="1"/>
  <c r="K655" i="2"/>
  <c r="L655"/>
  <c r="P655"/>
  <c r="R655"/>
  <c r="Z655"/>
  <c r="G655"/>
  <c r="J655"/>
  <c r="N655"/>
  <c r="Q655"/>
  <c r="Y655"/>
  <c r="I655"/>
  <c r="O655"/>
  <c r="T655"/>
  <c r="V655"/>
  <c r="X655"/>
  <c r="H655"/>
  <c r="M655"/>
  <c r="S655"/>
  <c r="U655"/>
  <c r="W655"/>
  <c r="H83"/>
  <c r="N83"/>
  <c r="T83"/>
  <c r="V83"/>
  <c r="Z83"/>
  <c r="G83"/>
  <c r="M83"/>
  <c r="Q83"/>
  <c r="S83"/>
  <c r="X83"/>
  <c r="J83"/>
  <c r="L83"/>
  <c r="P83"/>
  <c r="R83"/>
  <c r="Y83"/>
  <c r="I83"/>
  <c r="K83"/>
  <c r="O83"/>
  <c r="U83"/>
  <c r="W83"/>
  <c r="G375"/>
  <c r="M375"/>
  <c r="V375"/>
  <c r="K375"/>
  <c r="T375"/>
  <c r="H375"/>
  <c r="P375"/>
  <c r="W375"/>
  <c r="N375"/>
  <c r="U375"/>
  <c r="J375"/>
  <c r="Q375"/>
  <c r="X375"/>
  <c r="O375"/>
  <c r="Y375"/>
  <c r="L375"/>
  <c r="S375"/>
  <c r="I375"/>
  <c r="R375"/>
  <c r="Z375"/>
  <c r="O542" i="1"/>
  <c r="O656"/>
  <c r="F249" i="2"/>
  <c r="O119" i="1"/>
  <c r="O122" s="1"/>
  <c r="W661"/>
  <c r="W179"/>
  <c r="W185" s="1"/>
  <c r="W660"/>
  <c r="W404"/>
  <c r="W169"/>
  <c r="W176" s="1"/>
  <c r="V665"/>
  <c r="V263"/>
  <c r="V273" s="1"/>
  <c r="J116"/>
  <c r="J601" i="2"/>
  <c r="N601"/>
  <c r="T601"/>
  <c r="V601"/>
  <c r="Z601"/>
  <c r="H601"/>
  <c r="M601"/>
  <c r="R601"/>
  <c r="S601"/>
  <c r="Y601"/>
  <c r="I601"/>
  <c r="L601"/>
  <c r="O601"/>
  <c r="Q601"/>
  <c r="X601"/>
  <c r="G601"/>
  <c r="K601"/>
  <c r="P601"/>
  <c r="U601"/>
  <c r="W601"/>
  <c r="K543"/>
  <c r="M543"/>
  <c r="R543"/>
  <c r="T543"/>
  <c r="Z543"/>
  <c r="J543"/>
  <c r="L543"/>
  <c r="Q543"/>
  <c r="S543"/>
  <c r="W543"/>
  <c r="H543"/>
  <c r="N543"/>
  <c r="P543"/>
  <c r="V543"/>
  <c r="Y543"/>
  <c r="G543"/>
  <c r="I543"/>
  <c r="O543"/>
  <c r="U543"/>
  <c r="X543"/>
  <c r="N538" i="1"/>
  <c r="U667"/>
  <c r="U577"/>
  <c r="U329"/>
  <c r="U594"/>
  <c r="U596" s="1"/>
  <c r="F434" i="2" s="1"/>
  <c r="U586" i="1"/>
  <c r="U588" s="1"/>
  <c r="F376" i="2" s="1"/>
  <c r="U536" i="1"/>
  <c r="U328"/>
  <c r="U535"/>
  <c r="V78" i="2"/>
  <c r="T78"/>
  <c r="L78"/>
  <c r="S78"/>
  <c r="P78"/>
  <c r="O78"/>
  <c r="Q78"/>
  <c r="J78"/>
  <c r="W78"/>
  <c r="U78"/>
  <c r="X78"/>
  <c r="N78"/>
  <c r="R78"/>
  <c r="I78"/>
  <c r="H78"/>
  <c r="G78"/>
  <c r="M78"/>
  <c r="K78"/>
  <c r="F80"/>
  <c r="Y148" i="1"/>
  <c r="Y174"/>
  <c r="Y191"/>
  <c r="Y388"/>
  <c r="Y44"/>
  <c r="Y461" s="1"/>
  <c r="Y115"/>
  <c r="Y27"/>
  <c r="Y192"/>
  <c r="Y287"/>
  <c r="Y285"/>
  <c r="Y201"/>
  <c r="Y147"/>
  <c r="Y193"/>
  <c r="Y289"/>
  <c r="Y503"/>
  <c r="Y19"/>
  <c r="Y150"/>
  <c r="Y40"/>
  <c r="Y457" s="1"/>
  <c r="Y160"/>
  <c r="Y409"/>
  <c r="Y413"/>
  <c r="Y512"/>
  <c r="Y181"/>
  <c r="Y182"/>
  <c r="Y151"/>
  <c r="Y46"/>
  <c r="Y39"/>
  <c r="Y266" s="1"/>
  <c r="Y23"/>
  <c r="Y219"/>
  <c r="Y410"/>
  <c r="Y217"/>
  <c r="Y288"/>
  <c r="Y369"/>
  <c r="Y33"/>
  <c r="Y153"/>
  <c r="Y218"/>
  <c r="Y299"/>
  <c r="Y365"/>
  <c r="Y400"/>
  <c r="Y398"/>
  <c r="Y303"/>
  <c r="Y296"/>
  <c r="Y418"/>
  <c r="Y378"/>
  <c r="Y202"/>
  <c r="Y173"/>
  <c r="Y294"/>
  <c r="Y74"/>
  <c r="Y286"/>
  <c r="Y203"/>
  <c r="Y298"/>
  <c r="Y399"/>
  <c r="Y65"/>
  <c r="Y66"/>
  <c r="Y508"/>
  <c r="Y172"/>
  <c r="Y101"/>
  <c r="Y194"/>
  <c r="Y391"/>
  <c r="Y496"/>
  <c r="Y41"/>
  <c r="Y479" s="1"/>
  <c r="Y397"/>
  <c r="Y412"/>
  <c r="Y510"/>
  <c r="Y253"/>
  <c r="Y368"/>
  <c r="Y460"/>
  <c r="Y504"/>
  <c r="Z2"/>
  <c r="Y494"/>
  <c r="Y420"/>
  <c r="Y370"/>
  <c r="Y509"/>
  <c r="Y170"/>
  <c r="Y376"/>
  <c r="Y301"/>
  <c r="Y390"/>
  <c r="Y183"/>
  <c r="Y511"/>
  <c r="Y204"/>
  <c r="Y171"/>
  <c r="Y432"/>
  <c r="Y505"/>
  <c r="Y419"/>
  <c r="Y379"/>
  <c r="Y300"/>
  <c r="Y366"/>
  <c r="Y297"/>
  <c r="Y45"/>
  <c r="Y480" s="1"/>
  <c r="Y152"/>
  <c r="Y641"/>
  <c r="Y367"/>
  <c r="Y180"/>
  <c r="Y377"/>
  <c r="Y591"/>
  <c r="Y149"/>
  <c r="Y161"/>
  <c r="Y162"/>
  <c r="Y38"/>
  <c r="Y475" s="1"/>
  <c r="Y42"/>
  <c r="Y507"/>
  <c r="Y583"/>
  <c r="Y133"/>
  <c r="Y387"/>
  <c r="Y421"/>
  <c r="Y497"/>
  <c r="Y502"/>
  <c r="Y431"/>
  <c r="Y642"/>
  <c r="Y506"/>
  <c r="Y43"/>
  <c r="Y459" s="1"/>
  <c r="Y75"/>
  <c r="Y389"/>
  <c r="Y302"/>
  <c r="Y295"/>
  <c r="Y495"/>
  <c r="Y411"/>
  <c r="Y493"/>
  <c r="Y159"/>
  <c r="Y304"/>
  <c r="G317" i="2"/>
  <c r="J317"/>
  <c r="I317"/>
  <c r="L317"/>
  <c r="O317"/>
  <c r="P317"/>
  <c r="T317"/>
  <c r="V317"/>
  <c r="S317"/>
  <c r="W317"/>
  <c r="Y317"/>
  <c r="H317"/>
  <c r="K317"/>
  <c r="M317"/>
  <c r="N317"/>
  <c r="R317"/>
  <c r="U317"/>
  <c r="Q317"/>
  <c r="Z317"/>
  <c r="X317"/>
  <c r="V187" i="1"/>
  <c r="X291"/>
  <c r="X477"/>
  <c r="X454"/>
  <c r="X476"/>
  <c r="X514"/>
  <c r="X633"/>
  <c r="X375" s="1"/>
  <c r="X381" s="1"/>
  <c r="W383"/>
  <c r="Z19" i="2" l="1"/>
  <c r="Y35" i="1"/>
  <c r="AA27" i="2"/>
  <c r="AB27" s="1"/>
  <c r="G30"/>
  <c r="X430" i="1"/>
  <c r="X434" s="1"/>
  <c r="X50"/>
  <c r="Y30" i="2"/>
  <c r="O30"/>
  <c r="J30"/>
  <c r="Z30"/>
  <c r="P30"/>
  <c r="K30"/>
  <c r="H30"/>
  <c r="L30"/>
  <c r="I30"/>
  <c r="Y653" i="1"/>
  <c r="X30" i="2"/>
  <c r="S602" i="1"/>
  <c r="V107"/>
  <c r="U30" i="2"/>
  <c r="W30"/>
  <c r="T30"/>
  <c r="S30"/>
  <c r="R30"/>
  <c r="Q30"/>
  <c r="S606" i="1"/>
  <c r="S325"/>
  <c r="S529"/>
  <c r="S532"/>
  <c r="S600"/>
  <c r="F546" i="2" s="1"/>
  <c r="J546" s="1"/>
  <c r="S321" i="1"/>
  <c r="S109"/>
  <c r="F89" i="2" s="1"/>
  <c r="R89" s="1"/>
  <c r="S598" i="1"/>
  <c r="F489" i="2" s="1"/>
  <c r="S604" i="1"/>
  <c r="F661" i="2" s="1"/>
  <c r="I661" s="1"/>
  <c r="V30"/>
  <c r="N30"/>
  <c r="S130" i="1"/>
  <c r="V486"/>
  <c r="V488" s="1"/>
  <c r="V490" s="1"/>
  <c r="V516" s="1"/>
  <c r="V246"/>
  <c r="V259" s="1"/>
  <c r="V275" s="1"/>
  <c r="AA357" i="2"/>
  <c r="AB357" s="1"/>
  <c r="X216" i="1"/>
  <c r="X214"/>
  <c r="X215"/>
  <c r="T127"/>
  <c r="Z650" i="2"/>
  <c r="F31"/>
  <c r="H31" s="1"/>
  <c r="Z78"/>
  <c r="Z593"/>
  <c r="V536" i="1"/>
  <c r="T114"/>
  <c r="T128"/>
  <c r="T113"/>
  <c r="T81"/>
  <c r="Z297" i="2"/>
  <c r="U69" i="1"/>
  <c r="U128" s="1"/>
  <c r="T126"/>
  <c r="T95"/>
  <c r="T98" s="1"/>
  <c r="T321" s="1"/>
  <c r="T125"/>
  <c r="W105"/>
  <c r="Y592"/>
  <c r="U578"/>
  <c r="U580" s="1"/>
  <c r="F319" i="2" s="1"/>
  <c r="W62" i="1"/>
  <c r="Y584"/>
  <c r="X179"/>
  <c r="X185" s="1"/>
  <c r="Y441"/>
  <c r="Y446"/>
  <c r="W636"/>
  <c r="W453" s="1"/>
  <c r="W465" s="1"/>
  <c r="W246" s="1"/>
  <c r="W259" s="1"/>
  <c r="Z478" i="2"/>
  <c r="Z535"/>
  <c r="AA1047"/>
  <c r="AB1047" s="1"/>
  <c r="W226" i="1"/>
  <c r="Z10" i="2"/>
  <c r="V15" i="1"/>
  <c r="V669" s="1"/>
  <c r="Y477"/>
  <c r="W236"/>
  <c r="Z306" i="2"/>
  <c r="W665" i="1"/>
  <c r="W263"/>
  <c r="W273" s="1"/>
  <c r="V667"/>
  <c r="V594"/>
  <c r="V596" s="1"/>
  <c r="F435" i="2" s="1"/>
  <c r="N435" s="1"/>
  <c r="W229" i="1"/>
  <c r="X254"/>
  <c r="Z471" i="2"/>
  <c r="AA471" s="1"/>
  <c r="AB471" s="1"/>
  <c r="V328" i="1"/>
  <c r="Z354" i="2"/>
  <c r="Z529"/>
  <c r="AA529" s="1"/>
  <c r="AB529" s="1"/>
  <c r="Z530"/>
  <c r="AA530" s="1"/>
  <c r="AB530" s="1"/>
  <c r="V535" i="1"/>
  <c r="Z469" i="2"/>
  <c r="Z358"/>
  <c r="AA358" s="1"/>
  <c r="AB358" s="1"/>
  <c r="Z472"/>
  <c r="AA472" s="1"/>
  <c r="AB472" s="1"/>
  <c r="V329" i="1"/>
  <c r="Z363" i="2"/>
  <c r="V577" i="1"/>
  <c r="F254" i="2"/>
  <c r="H254" s="1"/>
  <c r="U277" i="1"/>
  <c r="Z641" i="2"/>
  <c r="Q119" i="1"/>
  <c r="Q122" s="1"/>
  <c r="Z71" i="2"/>
  <c r="AA71" s="1"/>
  <c r="AB71" s="1"/>
  <c r="W9" i="1"/>
  <c r="W12"/>
  <c r="Z299" i="2"/>
  <c r="AA299" s="1"/>
  <c r="AB299" s="1"/>
  <c r="Z416"/>
  <c r="AA416" s="1"/>
  <c r="AB416" s="1"/>
  <c r="W77" i="1"/>
  <c r="W79" s="1"/>
  <c r="W96" s="1"/>
  <c r="W651"/>
  <c r="X450"/>
  <c r="X239" s="1"/>
  <c r="Z412" i="2"/>
  <c r="Z69"/>
  <c r="Z526"/>
  <c r="Z473"/>
  <c r="AA473" s="1"/>
  <c r="AB473" s="1"/>
  <c r="Z12"/>
  <c r="AA12" s="1"/>
  <c r="AB12" s="1"/>
  <c r="W104" i="1"/>
  <c r="W136"/>
  <c r="W138" s="1"/>
  <c r="W63"/>
  <c r="W10"/>
  <c r="Z185" i="2"/>
  <c r="AA185" s="1"/>
  <c r="AB185" s="1"/>
  <c r="Y478" i="1"/>
  <c r="Z187" i="2"/>
  <c r="AA187" s="1"/>
  <c r="AB187" s="1"/>
  <c r="W11" i="1"/>
  <c r="F197" i="2"/>
  <c r="T197" s="1"/>
  <c r="Z421"/>
  <c r="Z240"/>
  <c r="Z183"/>
  <c r="Z301"/>
  <c r="AA301" s="1"/>
  <c r="AB301" s="1"/>
  <c r="Z300"/>
  <c r="AA300" s="1"/>
  <c r="AB300" s="1"/>
  <c r="Z13"/>
  <c r="AA13" s="1"/>
  <c r="AB13" s="1"/>
  <c r="Y248" i="1"/>
  <c r="W13"/>
  <c r="Z126" i="2"/>
  <c r="Z586"/>
  <c r="AA586" s="1"/>
  <c r="AB586" s="1"/>
  <c r="Z587"/>
  <c r="AA587" s="1"/>
  <c r="AB587" s="1"/>
  <c r="Q610" i="1"/>
  <c r="Z643" i="2"/>
  <c r="AA643" s="1"/>
  <c r="AB643" s="1"/>
  <c r="Z73"/>
  <c r="AA73" s="1"/>
  <c r="AB73" s="1"/>
  <c r="Z72"/>
  <c r="AA72" s="1"/>
  <c r="AB72" s="1"/>
  <c r="Q542" i="1"/>
  <c r="X255"/>
  <c r="X271"/>
  <c r="Y232"/>
  <c r="Y238"/>
  <c r="Y249"/>
  <c r="Y456"/>
  <c r="W239"/>
  <c r="W663"/>
  <c r="X135"/>
  <c r="Z128" i="2"/>
  <c r="AA128" s="1"/>
  <c r="AB128" s="1"/>
  <c r="Z528"/>
  <c r="AA528" s="1"/>
  <c r="AB528" s="1"/>
  <c r="Z242"/>
  <c r="AA242" s="1"/>
  <c r="AB242" s="1"/>
  <c r="Z414"/>
  <c r="AA414" s="1"/>
  <c r="AB414" s="1"/>
  <c r="Z415"/>
  <c r="AA415" s="1"/>
  <c r="AB415" s="1"/>
  <c r="W228" i="1"/>
  <c r="X482"/>
  <c r="X637" s="1"/>
  <c r="X474" s="1"/>
  <c r="X484" s="1"/>
  <c r="W227"/>
  <c r="W230"/>
  <c r="X64"/>
  <c r="X462"/>
  <c r="W427"/>
  <c r="Y448"/>
  <c r="Y574"/>
  <c r="W237"/>
  <c r="W233"/>
  <c r="Z645" i="2"/>
  <c r="AA645" s="1"/>
  <c r="AB645" s="1"/>
  <c r="Z644"/>
  <c r="AA644" s="1"/>
  <c r="AB644" s="1"/>
  <c r="Z356"/>
  <c r="AA356" s="1"/>
  <c r="AB356" s="1"/>
  <c r="Y231" i="1"/>
  <c r="Y444"/>
  <c r="Y267"/>
  <c r="W234"/>
  <c r="Z588" i="2"/>
  <c r="AA588" s="1"/>
  <c r="AB588" s="1"/>
  <c r="Z14"/>
  <c r="AA14" s="1"/>
  <c r="AB14" s="1"/>
  <c r="W221" i="1"/>
  <c r="Y1049" i="2"/>
  <c r="AA1048"/>
  <c r="AB1048" s="1"/>
  <c r="Z1062"/>
  <c r="AA1061"/>
  <c r="AB1061" s="1"/>
  <c r="Z800"/>
  <c r="AA800" s="1"/>
  <c r="AB800" s="1"/>
  <c r="AA697"/>
  <c r="AB697" s="1"/>
  <c r="Z942"/>
  <c r="AA788"/>
  <c r="AB788" s="1"/>
  <c r="Z698"/>
  <c r="AA698" s="1"/>
  <c r="AB698" s="1"/>
  <c r="Z244"/>
  <c r="AA244" s="1"/>
  <c r="AB244" s="1"/>
  <c r="AA995"/>
  <c r="AB995" s="1"/>
  <c r="Y514" i="1"/>
  <c r="Y445"/>
  <c r="Y268"/>
  <c r="Y635"/>
  <c r="Y396" s="1"/>
  <c r="Y402" s="1"/>
  <c r="Y661" s="1"/>
  <c r="Y250"/>
  <c r="X652"/>
  <c r="X76"/>
  <c r="X463"/>
  <c r="X103"/>
  <c r="X67"/>
  <c r="X585"/>
  <c r="X576"/>
  <c r="X257"/>
  <c r="X593"/>
  <c r="Y447"/>
  <c r="Y458"/>
  <c r="Y102"/>
  <c r="Y575"/>
  <c r="Y443"/>
  <c r="Y476"/>
  <c r="Y442"/>
  <c r="Y264"/>
  <c r="Y440"/>
  <c r="Y499"/>
  <c r="Y134"/>
  <c r="U279"/>
  <c r="U308" s="1"/>
  <c r="Y481"/>
  <c r="Y270"/>
  <c r="Y247"/>
  <c r="Y454"/>
  <c r="W187"/>
  <c r="W210" s="1"/>
  <c r="R610"/>
  <c r="R335"/>
  <c r="F200" i="2"/>
  <c r="I434"/>
  <c r="O434"/>
  <c r="M434"/>
  <c r="S434"/>
  <c r="T434"/>
  <c r="Z434"/>
  <c r="X434"/>
  <c r="G434"/>
  <c r="L434"/>
  <c r="P434"/>
  <c r="V434"/>
  <c r="W434"/>
  <c r="Y434"/>
  <c r="R434"/>
  <c r="Q434"/>
  <c r="H434"/>
  <c r="U434"/>
  <c r="K434"/>
  <c r="N434"/>
  <c r="J434"/>
  <c r="N540" i="1"/>
  <c r="J140"/>
  <c r="AA375" i="2"/>
  <c r="AB375" s="1"/>
  <c r="G483"/>
  <c r="K483"/>
  <c r="N483"/>
  <c r="U483"/>
  <c r="X483"/>
  <c r="H483"/>
  <c r="L483"/>
  <c r="O483"/>
  <c r="V483"/>
  <c r="Y483"/>
  <c r="I483"/>
  <c r="P483"/>
  <c r="R483"/>
  <c r="Q483"/>
  <c r="W483"/>
  <c r="J483"/>
  <c r="M483"/>
  <c r="S483"/>
  <c r="T483"/>
  <c r="Z483"/>
  <c r="P657" i="1"/>
  <c r="P120"/>
  <c r="P122" s="1"/>
  <c r="H186" i="2"/>
  <c r="L186"/>
  <c r="Q186"/>
  <c r="S186"/>
  <c r="U186"/>
  <c r="W186"/>
  <c r="Z186"/>
  <c r="K186"/>
  <c r="G186"/>
  <c r="I186"/>
  <c r="N186"/>
  <c r="M186"/>
  <c r="R186"/>
  <c r="T186"/>
  <c r="V186"/>
  <c r="X186"/>
  <c r="Y186"/>
  <c r="J186"/>
  <c r="O186"/>
  <c r="P186"/>
  <c r="F188"/>
  <c r="U666" i="1"/>
  <c r="U531"/>
  <c r="U534"/>
  <c r="U526"/>
  <c r="U525"/>
  <c r="U327"/>
  <c r="U318"/>
  <c r="U322"/>
  <c r="U326"/>
  <c r="U323"/>
  <c r="U533"/>
  <c r="U320"/>
  <c r="U319"/>
  <c r="U528"/>
  <c r="U530"/>
  <c r="U317"/>
  <c r="U527"/>
  <c r="X404"/>
  <c r="X660"/>
  <c r="X169"/>
  <c r="X176" s="1"/>
  <c r="X662"/>
  <c r="X425"/>
  <c r="X190"/>
  <c r="X196" s="1"/>
  <c r="X208" s="1"/>
  <c r="X658"/>
  <c r="X383"/>
  <c r="X146"/>
  <c r="X155" s="1"/>
  <c r="F604" i="2"/>
  <c r="N333" i="1"/>
  <c r="J486" i="2"/>
  <c r="L486"/>
  <c r="T486"/>
  <c r="W486"/>
  <c r="Z486"/>
  <c r="I486"/>
  <c r="N486"/>
  <c r="Q486"/>
  <c r="U486"/>
  <c r="V486"/>
  <c r="G486"/>
  <c r="M486"/>
  <c r="P486"/>
  <c r="S486"/>
  <c r="Y486"/>
  <c r="H486"/>
  <c r="K486"/>
  <c r="O486"/>
  <c r="R486"/>
  <c r="X486"/>
  <c r="G1054"/>
  <c r="K1054"/>
  <c r="K1055" s="1"/>
  <c r="J1054"/>
  <c r="J1055" s="1"/>
  <c r="N1054"/>
  <c r="N1055" s="1"/>
  <c r="L1054"/>
  <c r="L1055" s="1"/>
  <c r="R1054"/>
  <c r="R1055" s="1"/>
  <c r="T1054"/>
  <c r="T1055" s="1"/>
  <c r="Q1054"/>
  <c r="Q1055" s="1"/>
  <c r="W1054"/>
  <c r="W1055" s="1"/>
  <c r="Y1054"/>
  <c r="Y1055" s="1"/>
  <c r="F1055"/>
  <c r="H1054"/>
  <c r="H1055" s="1"/>
  <c r="I1054"/>
  <c r="I1055" s="1"/>
  <c r="M1054"/>
  <c r="M1055" s="1"/>
  <c r="P1054"/>
  <c r="P1055" s="1"/>
  <c r="O1054"/>
  <c r="O1055" s="1"/>
  <c r="S1054"/>
  <c r="S1055" s="1"/>
  <c r="U1054"/>
  <c r="U1055" s="1"/>
  <c r="V1054"/>
  <c r="V1055" s="1"/>
  <c r="V1056" s="1"/>
  <c r="V20" s="1"/>
  <c r="V21" s="1"/>
  <c r="X1054"/>
  <c r="X1055" s="1"/>
  <c r="Z1054"/>
  <c r="Z1055" s="1"/>
  <c r="J192"/>
  <c r="W192"/>
  <c r="S192"/>
  <c r="X192"/>
  <c r="N192"/>
  <c r="R192"/>
  <c r="O192"/>
  <c r="V192"/>
  <c r="T192"/>
  <c r="Q192"/>
  <c r="L192"/>
  <c r="U192"/>
  <c r="P192"/>
  <c r="Z192"/>
  <c r="H192"/>
  <c r="I192"/>
  <c r="G192"/>
  <c r="M192"/>
  <c r="K192"/>
  <c r="O654" i="1"/>
  <c r="O112"/>
  <c r="O116" s="1"/>
  <c r="O140" s="1"/>
  <c r="F135" i="2" s="1"/>
  <c r="AA433"/>
  <c r="AB433" s="1"/>
  <c r="N318"/>
  <c r="V318"/>
  <c r="J318"/>
  <c r="P318"/>
  <c r="Y318"/>
  <c r="L318"/>
  <c r="T318"/>
  <c r="H318"/>
  <c r="O318"/>
  <c r="W318"/>
  <c r="I318"/>
  <c r="R318"/>
  <c r="Z318"/>
  <c r="M318"/>
  <c r="U318"/>
  <c r="G318"/>
  <c r="Q318"/>
  <c r="X318"/>
  <c r="K318"/>
  <c r="S318"/>
  <c r="L122" i="1"/>
  <c r="Q654"/>
  <c r="Q112"/>
  <c r="Q116" s="1"/>
  <c r="Y269"/>
  <c r="Y252"/>
  <c r="Y251"/>
  <c r="Y634"/>
  <c r="Y386" s="1"/>
  <c r="Y393" s="1"/>
  <c r="Y643"/>
  <c r="Y306"/>
  <c r="Y423"/>
  <c r="Y631"/>
  <c r="Y364" s="1"/>
  <c r="Y372" s="1"/>
  <c r="Y640"/>
  <c r="Y123" s="1"/>
  <c r="Y206"/>
  <c r="AA540" i="2"/>
  <c r="AB540" s="1"/>
  <c r="X659" i="1"/>
  <c r="X158"/>
  <c r="X164" s="1"/>
  <c r="AA317" i="2"/>
  <c r="AB317" s="1"/>
  <c r="Z298" i="1"/>
  <c r="Z304"/>
  <c r="Z411"/>
  <c r="Z159"/>
  <c r="Z160"/>
  <c r="Z494"/>
  <c r="Z512"/>
  <c r="Z19"/>
  <c r="Z133"/>
  <c r="Z174"/>
  <c r="Z506"/>
  <c r="Z171"/>
  <c r="Z66"/>
  <c r="Z204"/>
  <c r="Z387"/>
  <c r="Z368"/>
  <c r="Z400"/>
  <c r="Z412"/>
  <c r="Z170"/>
  <c r="Z46"/>
  <c r="Z367"/>
  <c r="Z642"/>
  <c r="Z45"/>
  <c r="Z269" s="1"/>
  <c r="Z191"/>
  <c r="Z192"/>
  <c r="Z379"/>
  <c r="Z289"/>
  <c r="Z193"/>
  <c r="Z217"/>
  <c r="Z419"/>
  <c r="Z505"/>
  <c r="Z431"/>
  <c r="Z508"/>
  <c r="Z218"/>
  <c r="Z153"/>
  <c r="Z101"/>
  <c r="Z180"/>
  <c r="Z183"/>
  <c r="Z39"/>
  <c r="Z266" s="1"/>
  <c r="Z161"/>
  <c r="Z366"/>
  <c r="Z573"/>
  <c r="Z376"/>
  <c r="Z296"/>
  <c r="Z301"/>
  <c r="Z295"/>
  <c r="Z496"/>
  <c r="Z41"/>
  <c r="Z268" s="1"/>
  <c r="Z74"/>
  <c r="Z399"/>
  <c r="Z302"/>
  <c r="Z203"/>
  <c r="Z503"/>
  <c r="Z432"/>
  <c r="Z493"/>
  <c r="Z23"/>
  <c r="Z33"/>
  <c r="Z44"/>
  <c r="Z461" s="1"/>
  <c r="Z150"/>
  <c r="Z75"/>
  <c r="Z172"/>
  <c r="Z115"/>
  <c r="Z497"/>
  <c r="Z152"/>
  <c r="Z162"/>
  <c r="Z413"/>
  <c r="Z398"/>
  <c r="Z287"/>
  <c r="Z288"/>
  <c r="Z510"/>
  <c r="Z297"/>
  <c r="Z378"/>
  <c r="Z460"/>
  <c r="Z202"/>
  <c r="Z572"/>
  <c r="Z370"/>
  <c r="Z504"/>
  <c r="Z38"/>
  <c r="Z265" s="1"/>
  <c r="Z151"/>
  <c r="Z27"/>
  <c r="Z182"/>
  <c r="Z377"/>
  <c r="Z509"/>
  <c r="Z388"/>
  <c r="Z389"/>
  <c r="Z391"/>
  <c r="Z418"/>
  <c r="Z365"/>
  <c r="Z286"/>
  <c r="AA2"/>
  <c r="Z511"/>
  <c r="Z495"/>
  <c r="Z201"/>
  <c r="Z148"/>
  <c r="Z253"/>
  <c r="Z299"/>
  <c r="Z571"/>
  <c r="Z420"/>
  <c r="Z421"/>
  <c r="Z369"/>
  <c r="Z583"/>
  <c r="Z507"/>
  <c r="Z641"/>
  <c r="Z149"/>
  <c r="Z43"/>
  <c r="Z252" s="1"/>
  <c r="Z147"/>
  <c r="Z591"/>
  <c r="Z303"/>
  <c r="Z294"/>
  <c r="Z173"/>
  <c r="Z409"/>
  <c r="Z42"/>
  <c r="Z40"/>
  <c r="Z267" s="1"/>
  <c r="Z65"/>
  <c r="Z194"/>
  <c r="Z410"/>
  <c r="Z285"/>
  <c r="Z181"/>
  <c r="Z219"/>
  <c r="Z390"/>
  <c r="Z300"/>
  <c r="Z397"/>
  <c r="Z502"/>
  <c r="G376" i="2"/>
  <c r="L376"/>
  <c r="P376"/>
  <c r="T376"/>
  <c r="Y376"/>
  <c r="V376"/>
  <c r="I376"/>
  <c r="O376"/>
  <c r="M376"/>
  <c r="S376"/>
  <c r="W376"/>
  <c r="Z376"/>
  <c r="X376"/>
  <c r="R376"/>
  <c r="Q376"/>
  <c r="H376"/>
  <c r="K376"/>
  <c r="U376"/>
  <c r="N376"/>
  <c r="J376"/>
  <c r="Q249"/>
  <c r="L249"/>
  <c r="J249"/>
  <c r="U249"/>
  <c r="S249"/>
  <c r="P249"/>
  <c r="V249"/>
  <c r="T249"/>
  <c r="W249"/>
  <c r="X249"/>
  <c r="N249"/>
  <c r="Z249"/>
  <c r="R249"/>
  <c r="O249"/>
  <c r="I249"/>
  <c r="G249"/>
  <c r="M249"/>
  <c r="H249"/>
  <c r="K249"/>
  <c r="P335" i="1"/>
  <c r="P610"/>
  <c r="F193" i="2"/>
  <c r="T279" i="1"/>
  <c r="G130" i="2"/>
  <c r="K130"/>
  <c r="M130"/>
  <c r="Q130"/>
  <c r="S130"/>
  <c r="U130"/>
  <c r="W130"/>
  <c r="Y130"/>
  <c r="I130"/>
  <c r="H130"/>
  <c r="N130"/>
  <c r="L130"/>
  <c r="R130"/>
  <c r="T130"/>
  <c r="V130"/>
  <c r="X130"/>
  <c r="Z130"/>
  <c r="J130"/>
  <c r="O130"/>
  <c r="P130"/>
  <c r="L654" i="1"/>
  <c r="L112"/>
  <c r="X668"/>
  <c r="X572"/>
  <c r="X573"/>
  <c r="X571"/>
  <c r="G77" i="2"/>
  <c r="G239"/>
  <c r="G18"/>
  <c r="G420"/>
  <c r="G534"/>
  <c r="G468"/>
  <c r="G296"/>
  <c r="G477"/>
  <c r="G9"/>
  <c r="G305"/>
  <c r="G68"/>
  <c r="G125"/>
  <c r="G592"/>
  <c r="G362"/>
  <c r="G640"/>
  <c r="G649"/>
  <c r="G525"/>
  <c r="G182"/>
  <c r="G583"/>
  <c r="G411"/>
  <c r="G353"/>
  <c r="R656" i="1"/>
  <c r="R542"/>
  <c r="R119"/>
  <c r="F257" i="2"/>
  <c r="R657" i="1"/>
  <c r="R120"/>
  <c r="H377" i="2"/>
  <c r="L377"/>
  <c r="T377"/>
  <c r="X377"/>
  <c r="I377"/>
  <c r="M377"/>
  <c r="O377"/>
  <c r="Q377"/>
  <c r="U377"/>
  <c r="Y377"/>
  <c r="G377"/>
  <c r="J377"/>
  <c r="S377"/>
  <c r="V377"/>
  <c r="Z377"/>
  <c r="K377"/>
  <c r="N377"/>
  <c r="P377"/>
  <c r="R377"/>
  <c r="W377"/>
  <c r="W667" i="1"/>
  <c r="W536"/>
  <c r="W328"/>
  <c r="W577"/>
  <c r="W586"/>
  <c r="W588" s="1"/>
  <c r="F378" i="2" s="1"/>
  <c r="W535" i="1"/>
  <c r="W594"/>
  <c r="W596" s="1"/>
  <c r="F436" i="2" s="1"/>
  <c r="W329" i="1"/>
  <c r="T666"/>
  <c r="T322"/>
  <c r="T320"/>
  <c r="T318"/>
  <c r="T526"/>
  <c r="T534"/>
  <c r="T319"/>
  <c r="T528"/>
  <c r="T533"/>
  <c r="T527"/>
  <c r="T323"/>
  <c r="T531"/>
  <c r="T327"/>
  <c r="T530"/>
  <c r="T326"/>
  <c r="T525"/>
  <c r="T317"/>
  <c r="G243" i="2"/>
  <c r="L243"/>
  <c r="N243"/>
  <c r="S243"/>
  <c r="Q243"/>
  <c r="T243"/>
  <c r="Y243"/>
  <c r="W243"/>
  <c r="H243"/>
  <c r="I243"/>
  <c r="M243"/>
  <c r="K243"/>
  <c r="U243"/>
  <c r="R243"/>
  <c r="X243"/>
  <c r="V243"/>
  <c r="Z243"/>
  <c r="O243"/>
  <c r="P243"/>
  <c r="J243"/>
  <c r="F245"/>
  <c r="Y48" i="1"/>
  <c r="Y633"/>
  <c r="Y375" s="1"/>
  <c r="Y381" s="1"/>
  <c r="Y265"/>
  <c r="Y455"/>
  <c r="Y415"/>
  <c r="Y29"/>
  <c r="Y291"/>
  <c r="AA543" i="2"/>
  <c r="AB543" s="1"/>
  <c r="AA601"/>
  <c r="AB601" s="1"/>
  <c r="AA83"/>
  <c r="AB83" s="1"/>
  <c r="AA655"/>
  <c r="AB655" s="1"/>
  <c r="V210" i="1"/>
  <c r="V223" s="1"/>
  <c r="AA86" i="2"/>
  <c r="AB86" s="1"/>
  <c r="AA658"/>
  <c r="AB658" s="1"/>
  <c r="V241" i="1"/>
  <c r="AA598" i="2"/>
  <c r="AB598" s="1"/>
  <c r="Y192" l="1"/>
  <c r="AA192" s="1"/>
  <c r="AB192" s="1"/>
  <c r="Y19"/>
  <c r="AA19" s="1"/>
  <c r="AB19" s="1"/>
  <c r="Y50" i="1"/>
  <c r="Z442"/>
  <c r="Z35"/>
  <c r="U546" i="2"/>
  <c r="T546"/>
  <c r="I546"/>
  <c r="S546"/>
  <c r="Z546"/>
  <c r="N546"/>
  <c r="Q546"/>
  <c r="L546"/>
  <c r="V546"/>
  <c r="W546"/>
  <c r="H546"/>
  <c r="M546"/>
  <c r="K546"/>
  <c r="Y546"/>
  <c r="O546"/>
  <c r="G546"/>
  <c r="P546"/>
  <c r="R546"/>
  <c r="X546"/>
  <c r="J89"/>
  <c r="K89"/>
  <c r="Q89"/>
  <c r="G89"/>
  <c r="U89"/>
  <c r="S661"/>
  <c r="N89"/>
  <c r="Z89"/>
  <c r="L89"/>
  <c r="W89"/>
  <c r="P661"/>
  <c r="M89"/>
  <c r="U661"/>
  <c r="R661"/>
  <c r="AA30"/>
  <c r="AB30" s="1"/>
  <c r="S331" i="1"/>
  <c r="S333" s="1"/>
  <c r="F203" i="2" s="1"/>
  <c r="S203" s="1"/>
  <c r="N661"/>
  <c r="V661"/>
  <c r="H661"/>
  <c r="X661"/>
  <c r="J661"/>
  <c r="O661"/>
  <c r="Y661"/>
  <c r="G661"/>
  <c r="M661"/>
  <c r="L661"/>
  <c r="T661"/>
  <c r="Z661"/>
  <c r="K661"/>
  <c r="Q661"/>
  <c r="W661"/>
  <c r="S89"/>
  <c r="H89"/>
  <c r="Y89"/>
  <c r="I89"/>
  <c r="P89"/>
  <c r="X89"/>
  <c r="T89"/>
  <c r="V89"/>
  <c r="S608" i="1"/>
  <c r="S538"/>
  <c r="S540" s="1"/>
  <c r="S542" s="1"/>
  <c r="O89" i="2"/>
  <c r="X221" i="1"/>
  <c r="Z31" i="2"/>
  <c r="I31"/>
  <c r="X31"/>
  <c r="W31"/>
  <c r="T31"/>
  <c r="V31"/>
  <c r="R31"/>
  <c r="L31"/>
  <c r="Q31"/>
  <c r="O31"/>
  <c r="M31"/>
  <c r="S31"/>
  <c r="J31"/>
  <c r="P31"/>
  <c r="N31"/>
  <c r="Y31"/>
  <c r="K31"/>
  <c r="G31"/>
  <c r="U31"/>
  <c r="Z592" i="1"/>
  <c r="Q254" i="2"/>
  <c r="V254"/>
  <c r="T254"/>
  <c r="T130" i="1"/>
  <c r="W107"/>
  <c r="S254" i="2"/>
  <c r="M254"/>
  <c r="L254"/>
  <c r="I254"/>
  <c r="O254"/>
  <c r="J254"/>
  <c r="U113" i="1"/>
  <c r="U125"/>
  <c r="U114"/>
  <c r="T600"/>
  <c r="F547" i="2" s="1"/>
  <c r="Y547" s="1"/>
  <c r="T109" i="1"/>
  <c r="F90" i="2" s="1"/>
  <c r="J90" s="1"/>
  <c r="S335" i="1"/>
  <c r="S112" s="1"/>
  <c r="S116" s="1"/>
  <c r="U81"/>
  <c r="T602"/>
  <c r="F605" i="2" s="1"/>
  <c r="L605" s="1"/>
  <c r="X187" i="1"/>
  <c r="T529"/>
  <c r="U126"/>
  <c r="U655"/>
  <c r="T604"/>
  <c r="F662" i="2" s="1"/>
  <c r="S662" s="1"/>
  <c r="X227" i="1"/>
  <c r="F32" i="2"/>
  <c r="X32" s="1"/>
  <c r="U95" i="1"/>
  <c r="U98" s="1"/>
  <c r="U600" s="1"/>
  <c r="F548" i="2" s="1"/>
  <c r="T606" i="1"/>
  <c r="X234"/>
  <c r="T598"/>
  <c r="U127"/>
  <c r="T325"/>
  <c r="T532"/>
  <c r="X233"/>
  <c r="T324"/>
  <c r="X229"/>
  <c r="V277"/>
  <c r="Z574"/>
  <c r="W275"/>
  <c r="U435" i="2"/>
  <c r="W664" i="1"/>
  <c r="Y435" i="2"/>
  <c r="W486" i="1"/>
  <c r="W488" s="1"/>
  <c r="W490" s="1"/>
  <c r="W516" s="1"/>
  <c r="L435" i="2"/>
  <c r="X235" i="1"/>
  <c r="X228"/>
  <c r="X237"/>
  <c r="X663"/>
  <c r="Y179"/>
  <c r="Y185" s="1"/>
  <c r="X230"/>
  <c r="W15"/>
  <c r="W69" s="1"/>
  <c r="X226"/>
  <c r="X236"/>
  <c r="Z441"/>
  <c r="G435" i="2"/>
  <c r="I435"/>
  <c r="T435"/>
  <c r="V578" i="1"/>
  <c r="V580" s="1"/>
  <c r="F320" i="2" s="1"/>
  <c r="N254"/>
  <c r="V435"/>
  <c r="J435"/>
  <c r="V69" i="1"/>
  <c r="V81" s="1"/>
  <c r="W435" i="2"/>
  <c r="P254"/>
  <c r="G254"/>
  <c r="U254"/>
  <c r="Z254"/>
  <c r="K254"/>
  <c r="R435"/>
  <c r="H435"/>
  <c r="Q435"/>
  <c r="Y254"/>
  <c r="W254"/>
  <c r="R254"/>
  <c r="X254"/>
  <c r="F437"/>
  <c r="O435"/>
  <c r="S435"/>
  <c r="Z435"/>
  <c r="M435"/>
  <c r="P435"/>
  <c r="X435"/>
  <c r="K435"/>
  <c r="R197"/>
  <c r="X197"/>
  <c r="W223" i="1"/>
  <c r="K197" i="2"/>
  <c r="W241" i="1"/>
  <c r="G197" i="2"/>
  <c r="V197"/>
  <c r="Z248" i="1"/>
  <c r="O197" i="2"/>
  <c r="Z455" i="1"/>
  <c r="Z643"/>
  <c r="Z430" s="1"/>
  <c r="Z434" s="1"/>
  <c r="Q140"/>
  <c r="F140" i="2" s="1"/>
  <c r="P140" s="1"/>
  <c r="N197"/>
  <c r="Y197"/>
  <c r="J197"/>
  <c r="L197"/>
  <c r="U197"/>
  <c r="Z197"/>
  <c r="H197"/>
  <c r="Z249" i="1"/>
  <c r="Q197" i="2"/>
  <c r="W197"/>
  <c r="I197"/>
  <c r="M197"/>
  <c r="S197"/>
  <c r="P1056"/>
  <c r="Y450" i="1"/>
  <c r="Y226" s="1"/>
  <c r="Z479"/>
  <c r="Z456"/>
  <c r="P197" i="2"/>
  <c r="Y249"/>
  <c r="AA249" s="1"/>
  <c r="AB249" s="1"/>
  <c r="Z134" i="1"/>
  <c r="Z440"/>
  <c r="Z635"/>
  <c r="Z396" s="1"/>
  <c r="Z402" s="1"/>
  <c r="Z661" s="1"/>
  <c r="Z1056" i="2"/>
  <c r="I1056"/>
  <c r="X636" i="1"/>
  <c r="X453" s="1"/>
  <c r="X465" s="1"/>
  <c r="X486" s="1"/>
  <c r="X488" s="1"/>
  <c r="Z478"/>
  <c r="Z251"/>
  <c r="X1056" i="2"/>
  <c r="U1056"/>
  <c r="X427" i="1"/>
  <c r="Z584"/>
  <c r="Z446"/>
  <c r="Z457"/>
  <c r="S1056" i="2"/>
  <c r="Z270" i="1"/>
  <c r="Z102"/>
  <c r="Z458"/>
  <c r="Y354" i="2"/>
  <c r="AA354" s="1"/>
  <c r="AB354" s="1"/>
  <c r="Y126"/>
  <c r="AA126" s="1"/>
  <c r="AB126" s="1"/>
  <c r="Y10"/>
  <c r="AA10" s="1"/>
  <c r="AB10" s="1"/>
  <c r="Y297"/>
  <c r="AA297" s="1"/>
  <c r="AB297" s="1"/>
  <c r="Y641"/>
  <c r="AA641" s="1"/>
  <c r="AB641" s="1"/>
  <c r="Y306"/>
  <c r="AA306" s="1"/>
  <c r="AB306" s="1"/>
  <c r="Y584"/>
  <c r="AA584" s="1"/>
  <c r="AB584" s="1"/>
  <c r="Y69"/>
  <c r="AA69" s="1"/>
  <c r="AB69" s="1"/>
  <c r="Y183"/>
  <c r="AA183" s="1"/>
  <c r="AB183" s="1"/>
  <c r="Y412"/>
  <c r="AA412" s="1"/>
  <c r="AB412" s="1"/>
  <c r="Y421"/>
  <c r="AA421" s="1"/>
  <c r="AB421" s="1"/>
  <c r="Y469"/>
  <c r="AA469" s="1"/>
  <c r="AB469" s="1"/>
  <c r="Y363"/>
  <c r="AA363" s="1"/>
  <c r="AB363" s="1"/>
  <c r="Y526"/>
  <c r="AA526" s="1"/>
  <c r="AB526" s="1"/>
  <c r="Y240"/>
  <c r="AA240" s="1"/>
  <c r="AB240" s="1"/>
  <c r="AA1049"/>
  <c r="AB1049" s="1"/>
  <c r="Y78"/>
  <c r="AA78" s="1"/>
  <c r="AB78" s="1"/>
  <c r="Y650"/>
  <c r="AA650" s="1"/>
  <c r="AB650" s="1"/>
  <c r="Y593"/>
  <c r="AA593" s="1"/>
  <c r="AB593" s="1"/>
  <c r="Y478"/>
  <c r="AA478" s="1"/>
  <c r="AB478" s="1"/>
  <c r="Y535"/>
  <c r="AA535" s="1"/>
  <c r="AB535" s="1"/>
  <c r="Z1063"/>
  <c r="AA1062"/>
  <c r="AB1062" s="1"/>
  <c r="K1056"/>
  <c r="Z481" i="1"/>
  <c r="Z459"/>
  <c r="Z447"/>
  <c r="Z444"/>
  <c r="Z445"/>
  <c r="Z575"/>
  <c r="Z238"/>
  <c r="Z443"/>
  <c r="Z247"/>
  <c r="Z448"/>
  <c r="Z231"/>
  <c r="Z291"/>
  <c r="Z480"/>
  <c r="O1056" i="2"/>
  <c r="M1056"/>
  <c r="H1056"/>
  <c r="H20" s="1"/>
  <c r="H21" s="1"/>
  <c r="V279" i="1"/>
  <c r="V308" s="1"/>
  <c r="Z514"/>
  <c r="Z415"/>
  <c r="Z190" s="1"/>
  <c r="Z196" s="1"/>
  <c r="Z206"/>
  <c r="X665"/>
  <c r="X263"/>
  <c r="X273" s="1"/>
  <c r="Y668"/>
  <c r="Y571"/>
  <c r="Y572"/>
  <c r="Y573"/>
  <c r="Y659"/>
  <c r="Y158"/>
  <c r="Y164" s="1"/>
  <c r="Y652"/>
  <c r="Y585"/>
  <c r="Y254"/>
  <c r="Y255"/>
  <c r="Y256"/>
  <c r="Y463"/>
  <c r="Y67"/>
  <c r="Y271"/>
  <c r="Y135"/>
  <c r="Y64"/>
  <c r="Y482"/>
  <c r="Y637" s="1"/>
  <c r="Y474" s="1"/>
  <c r="Y484" s="1"/>
  <c r="Y76"/>
  <c r="Y257"/>
  <c r="Y593"/>
  <c r="Y576"/>
  <c r="Y462"/>
  <c r="Y103"/>
  <c r="O436" i="2"/>
  <c r="Z436"/>
  <c r="N436"/>
  <c r="N437" s="1"/>
  <c r="T436"/>
  <c r="I436"/>
  <c r="P436"/>
  <c r="J436"/>
  <c r="Q436"/>
  <c r="Y436"/>
  <c r="G436"/>
  <c r="W436"/>
  <c r="L436"/>
  <c r="R436"/>
  <c r="V436"/>
  <c r="K436"/>
  <c r="X436"/>
  <c r="M436"/>
  <c r="S436"/>
  <c r="H436"/>
  <c r="U436"/>
  <c r="J378"/>
  <c r="J379" s="1"/>
  <c r="R378"/>
  <c r="R379" s="1"/>
  <c r="K378"/>
  <c r="K379" s="1"/>
  <c r="S378"/>
  <c r="S379" s="1"/>
  <c r="I378"/>
  <c r="I379" s="1"/>
  <c r="O378"/>
  <c r="O379" s="1"/>
  <c r="G378"/>
  <c r="Q378"/>
  <c r="Q379" s="1"/>
  <c r="V378"/>
  <c r="V379" s="1"/>
  <c r="N378"/>
  <c r="N379" s="1"/>
  <c r="Z378"/>
  <c r="Z379" s="1"/>
  <c r="P378"/>
  <c r="P379" s="1"/>
  <c r="W378"/>
  <c r="W379" s="1"/>
  <c r="M378"/>
  <c r="M379" s="1"/>
  <c r="Y378"/>
  <c r="Y379" s="1"/>
  <c r="L378"/>
  <c r="L379" s="1"/>
  <c r="T378"/>
  <c r="T379" s="1"/>
  <c r="X378"/>
  <c r="X379" s="1"/>
  <c r="H378"/>
  <c r="H379" s="1"/>
  <c r="U378"/>
  <c r="U379" s="1"/>
  <c r="H489"/>
  <c r="I489"/>
  <c r="L489"/>
  <c r="M489"/>
  <c r="P489"/>
  <c r="S489"/>
  <c r="T489"/>
  <c r="V489"/>
  <c r="Y489"/>
  <c r="X489"/>
  <c r="G489"/>
  <c r="J489"/>
  <c r="K489"/>
  <c r="N489"/>
  <c r="O489"/>
  <c r="R489"/>
  <c r="Q489"/>
  <c r="U489"/>
  <c r="W489"/>
  <c r="Z489"/>
  <c r="L116" i="1"/>
  <c r="P654"/>
  <c r="P112"/>
  <c r="P116" s="1"/>
  <c r="P140" s="1"/>
  <c r="F136" i="2" s="1"/>
  <c r="AA431" i="1"/>
  <c r="AB2"/>
  <c r="AA153"/>
  <c r="AA289"/>
  <c r="AA150"/>
  <c r="AA288"/>
  <c r="AA203"/>
  <c r="AA41"/>
  <c r="AA268" s="1"/>
  <c r="AA115"/>
  <c r="AA365"/>
  <c r="AA297"/>
  <c r="AA193"/>
  <c r="AA387"/>
  <c r="AA302"/>
  <c r="AA45"/>
  <c r="AA269" s="1"/>
  <c r="AA286"/>
  <c r="AA377"/>
  <c r="AA510"/>
  <c r="AA495"/>
  <c r="AA23"/>
  <c r="AA40"/>
  <c r="AA250" s="1"/>
  <c r="AA75"/>
  <c r="AA171"/>
  <c r="AA496"/>
  <c r="AA182"/>
  <c r="AA301"/>
  <c r="AA298"/>
  <c r="AA508"/>
  <c r="AA389"/>
  <c r="AA149"/>
  <c r="AA378"/>
  <c r="AA493"/>
  <c r="AA170"/>
  <c r="AA192"/>
  <c r="AA512"/>
  <c r="AA39"/>
  <c r="AA477" s="1"/>
  <c r="AA411"/>
  <c r="AA101"/>
  <c r="AA641"/>
  <c r="AA219"/>
  <c r="AA38"/>
  <c r="AA247" s="1"/>
  <c r="AA460"/>
  <c r="AA418"/>
  <c r="AA398"/>
  <c r="AA506"/>
  <c r="AA571"/>
  <c r="AA173"/>
  <c r="AA27"/>
  <c r="AA161"/>
  <c r="AA432"/>
  <c r="AA642"/>
  <c r="AA174"/>
  <c r="AA397"/>
  <c r="AA497"/>
  <c r="AA368"/>
  <c r="AA502"/>
  <c r="AA511"/>
  <c r="AA390"/>
  <c r="AA43"/>
  <c r="AA270" s="1"/>
  <c r="AA160"/>
  <c r="AA181"/>
  <c r="AA159"/>
  <c r="AA66"/>
  <c r="AA287"/>
  <c r="AA366"/>
  <c r="AA583"/>
  <c r="AA296"/>
  <c r="AA410"/>
  <c r="AA409"/>
  <c r="AA304"/>
  <c r="AA303"/>
  <c r="AA591"/>
  <c r="AA148"/>
  <c r="AA367"/>
  <c r="AA46"/>
  <c r="AA504"/>
  <c r="AA19"/>
  <c r="AA162"/>
  <c r="AA253"/>
  <c r="AA183"/>
  <c r="AA202"/>
  <c r="AA379"/>
  <c r="AA413"/>
  <c r="AA573"/>
  <c r="AA421"/>
  <c r="AA65"/>
  <c r="AA42"/>
  <c r="AA44"/>
  <c r="AA461" s="1"/>
  <c r="AA133"/>
  <c r="AA370"/>
  <c r="AA295"/>
  <c r="AA505"/>
  <c r="AA172"/>
  <c r="AA391"/>
  <c r="AA503"/>
  <c r="AA412"/>
  <c r="AA33"/>
  <c r="AA152"/>
  <c r="AA294"/>
  <c r="AA376"/>
  <c r="AA74"/>
  <c r="AA218"/>
  <c r="AA180"/>
  <c r="AA151"/>
  <c r="AA509"/>
  <c r="AA191"/>
  <c r="AA217"/>
  <c r="AA300"/>
  <c r="AA147"/>
  <c r="AA400"/>
  <c r="AA388"/>
  <c r="AA369"/>
  <c r="AA299"/>
  <c r="AA494"/>
  <c r="AA507"/>
  <c r="AA399"/>
  <c r="AA204"/>
  <c r="AA201"/>
  <c r="AA194"/>
  <c r="AA285"/>
  <c r="AA419"/>
  <c r="AA420"/>
  <c r="AA572"/>
  <c r="Y213"/>
  <c r="Y430"/>
  <c r="Y434" s="1"/>
  <c r="Y216"/>
  <c r="Y214"/>
  <c r="Y215"/>
  <c r="Y404"/>
  <c r="Y660"/>
  <c r="Y169"/>
  <c r="Y176" s="1"/>
  <c r="AA186" i="2"/>
  <c r="AB186" s="1"/>
  <c r="I319"/>
  <c r="L319"/>
  <c r="P319"/>
  <c r="T319"/>
  <c r="X319"/>
  <c r="Y319"/>
  <c r="G319"/>
  <c r="M319"/>
  <c r="O319"/>
  <c r="S319"/>
  <c r="V319"/>
  <c r="W319"/>
  <c r="Z319"/>
  <c r="R319"/>
  <c r="H319"/>
  <c r="Q319"/>
  <c r="K319"/>
  <c r="U319"/>
  <c r="N319"/>
  <c r="J319"/>
  <c r="G200"/>
  <c r="K200"/>
  <c r="J200"/>
  <c r="N200"/>
  <c r="L200"/>
  <c r="H200"/>
  <c r="I200"/>
  <c r="M200"/>
  <c r="O200"/>
  <c r="P200"/>
  <c r="S200"/>
  <c r="V200"/>
  <c r="T200"/>
  <c r="Z200"/>
  <c r="Y200"/>
  <c r="U200"/>
  <c r="X200"/>
  <c r="R200"/>
  <c r="Q200"/>
  <c r="W200"/>
  <c r="U657" i="1"/>
  <c r="U120"/>
  <c r="AA243" i="2"/>
  <c r="AB243" s="1"/>
  <c r="AA377"/>
  <c r="AB377" s="1"/>
  <c r="R122" i="1"/>
  <c r="Z250"/>
  <c r="Z232"/>
  <c r="Z475"/>
  <c r="Z454"/>
  <c r="Z306"/>
  <c r="Z477"/>
  <c r="Z631"/>
  <c r="Z364" s="1"/>
  <c r="Z372" s="1"/>
  <c r="Z634"/>
  <c r="Z386" s="1"/>
  <c r="Z393" s="1"/>
  <c r="Y1056" i="2"/>
  <c r="Y20" s="1"/>
  <c r="Q1056"/>
  <c r="Q20" s="1"/>
  <c r="Q21" s="1"/>
  <c r="R1056"/>
  <c r="R20" s="1"/>
  <c r="R21" s="1"/>
  <c r="N1056"/>
  <c r="N20" s="1"/>
  <c r="N21" s="1"/>
  <c r="X166" i="1"/>
  <c r="AA434" i="2"/>
  <c r="AB434" s="1"/>
  <c r="F379"/>
  <c r="Y662" i="1"/>
  <c r="Y425"/>
  <c r="Y190"/>
  <c r="Y196" s="1"/>
  <c r="Y208" s="1"/>
  <c r="G257" i="2"/>
  <c r="K257"/>
  <c r="J257"/>
  <c r="M257"/>
  <c r="N257"/>
  <c r="Q257"/>
  <c r="V257"/>
  <c r="S257"/>
  <c r="W257"/>
  <c r="Y257"/>
  <c r="I257"/>
  <c r="H257"/>
  <c r="L257"/>
  <c r="O257"/>
  <c r="P257"/>
  <c r="T257"/>
  <c r="R257"/>
  <c r="U257"/>
  <c r="X257"/>
  <c r="Z257"/>
  <c r="X651" i="1"/>
  <c r="X12"/>
  <c r="X104"/>
  <c r="X62"/>
  <c r="X136"/>
  <c r="X138" s="1"/>
  <c r="X77"/>
  <c r="X79" s="1"/>
  <c r="X96" s="1"/>
  <c r="X13"/>
  <c r="X9"/>
  <c r="X11"/>
  <c r="X60"/>
  <c r="X63"/>
  <c r="X105"/>
  <c r="X10"/>
  <c r="T308"/>
  <c r="AA376" i="2"/>
  <c r="AB376" s="1"/>
  <c r="Z653" i="1"/>
  <c r="Y383"/>
  <c r="Y658"/>
  <c r="Y146"/>
  <c r="Y155" s="1"/>
  <c r="AA318" i="2"/>
  <c r="AB318" s="1"/>
  <c r="V135"/>
  <c r="T135"/>
  <c r="L135"/>
  <c r="W135"/>
  <c r="S135"/>
  <c r="P135"/>
  <c r="N135"/>
  <c r="O135"/>
  <c r="Q135"/>
  <c r="J135"/>
  <c r="U135"/>
  <c r="Y135"/>
  <c r="X135"/>
  <c r="Z135"/>
  <c r="R135"/>
  <c r="H135"/>
  <c r="G135"/>
  <c r="I135"/>
  <c r="M135"/>
  <c r="K135"/>
  <c r="V250"/>
  <c r="V298"/>
  <c r="V302" s="1"/>
  <c r="V801" s="1"/>
  <c r="V413"/>
  <c r="V417" s="1"/>
  <c r="V642"/>
  <c r="V646" s="1"/>
  <c r="V241"/>
  <c r="V245" s="1"/>
  <c r="V585"/>
  <c r="V589" s="1"/>
  <c r="V422"/>
  <c r="V423" s="1"/>
  <c r="V479"/>
  <c r="V480" s="1"/>
  <c r="V307"/>
  <c r="V308" s="1"/>
  <c r="V11"/>
  <c r="V193"/>
  <c r="V594"/>
  <c r="V595" s="1"/>
  <c r="V470"/>
  <c r="V474" s="1"/>
  <c r="V184"/>
  <c r="V188" s="1"/>
  <c r="V536"/>
  <c r="V537" s="1"/>
  <c r="V355"/>
  <c r="V359" s="1"/>
  <c r="V527"/>
  <c r="V531" s="1"/>
  <c r="V70"/>
  <c r="V74" s="1"/>
  <c r="V79"/>
  <c r="V80" s="1"/>
  <c r="V651"/>
  <c r="V652" s="1"/>
  <c r="V364"/>
  <c r="V365" s="1"/>
  <c r="G1055"/>
  <c r="AA1054"/>
  <c r="AB1054" s="1"/>
  <c r="N610" i="1"/>
  <c r="N335"/>
  <c r="F191" i="2"/>
  <c r="H604"/>
  <c r="K604"/>
  <c r="M604"/>
  <c r="O604"/>
  <c r="P604"/>
  <c r="R604"/>
  <c r="V604"/>
  <c r="T604"/>
  <c r="X604"/>
  <c r="Z604"/>
  <c r="G604"/>
  <c r="I604"/>
  <c r="J604"/>
  <c r="N604"/>
  <c r="L604"/>
  <c r="Q604"/>
  <c r="U604"/>
  <c r="S604"/>
  <c r="W604"/>
  <c r="Y604"/>
  <c r="V666" i="1"/>
  <c r="V534"/>
  <c r="V318"/>
  <c r="V317"/>
  <c r="V525"/>
  <c r="V327"/>
  <c r="V323"/>
  <c r="V527"/>
  <c r="V322"/>
  <c r="V319"/>
  <c r="V528"/>
  <c r="V533"/>
  <c r="V530"/>
  <c r="V326"/>
  <c r="V526"/>
  <c r="V531"/>
  <c r="V320"/>
  <c r="F127" i="2"/>
  <c r="N542" i="1"/>
  <c r="N656"/>
  <c r="F248" i="2"/>
  <c r="N119" i="1"/>
  <c r="R654"/>
  <c r="R112"/>
  <c r="R116" s="1"/>
  <c r="AA130" i="2"/>
  <c r="AB130" s="1"/>
  <c r="Z423" i="1"/>
  <c r="Z48"/>
  <c r="Z476"/>
  <c r="Z499"/>
  <c r="Z633"/>
  <c r="Z375" s="1"/>
  <c r="Z381" s="1"/>
  <c r="Z640"/>
  <c r="Z123" s="1"/>
  <c r="Z264"/>
  <c r="W1056" i="2"/>
  <c r="W20" s="1"/>
  <c r="W21" s="1"/>
  <c r="T1056"/>
  <c r="T20" s="1"/>
  <c r="T21" s="1"/>
  <c r="L1056"/>
  <c r="L20" s="1"/>
  <c r="L21" s="1"/>
  <c r="J1056"/>
  <c r="J20" s="1"/>
  <c r="J21" s="1"/>
  <c r="AA486"/>
  <c r="AB486" s="1"/>
  <c r="AA483"/>
  <c r="AB483" s="1"/>
  <c r="P479" l="1"/>
  <c r="P480" s="1"/>
  <c r="P20"/>
  <c r="P21" s="1"/>
  <c r="P802" s="1"/>
  <c r="I651"/>
  <c r="I652" s="1"/>
  <c r="I20"/>
  <c r="I21" s="1"/>
  <c r="I799" s="1"/>
  <c r="Z11"/>
  <c r="Z1095" s="1"/>
  <c r="Z20"/>
  <c r="K413"/>
  <c r="K417" s="1"/>
  <c r="K20"/>
  <c r="K21" s="1"/>
  <c r="U364"/>
  <c r="U365" s="1"/>
  <c r="U20"/>
  <c r="U21" s="1"/>
  <c r="U802" s="1"/>
  <c r="O250"/>
  <c r="O20"/>
  <c r="O21" s="1"/>
  <c r="O802" s="1"/>
  <c r="M355"/>
  <c r="M359" s="1"/>
  <c r="M20"/>
  <c r="M21" s="1"/>
  <c r="M802" s="1"/>
  <c r="X250"/>
  <c r="X20"/>
  <c r="X21" s="1"/>
  <c r="X799" s="1"/>
  <c r="S642"/>
  <c r="S646" s="1"/>
  <c r="S20"/>
  <c r="S21" s="1"/>
  <c r="Y21"/>
  <c r="Z50" i="1"/>
  <c r="Z62" s="1"/>
  <c r="AA584"/>
  <c r="AA35"/>
  <c r="AA546" i="2"/>
  <c r="AB546" s="1"/>
  <c r="Z203"/>
  <c r="O203"/>
  <c r="R203"/>
  <c r="K203"/>
  <c r="N203"/>
  <c r="J203"/>
  <c r="L203"/>
  <c r="M203"/>
  <c r="G203"/>
  <c r="P203"/>
  <c r="X203"/>
  <c r="U203"/>
  <c r="F260"/>
  <c r="I260" s="1"/>
  <c r="Q203"/>
  <c r="Y203"/>
  <c r="H203"/>
  <c r="S610" i="1"/>
  <c r="V203" i="2"/>
  <c r="W203"/>
  <c r="I203"/>
  <c r="W662"/>
  <c r="T203"/>
  <c r="S119" i="1"/>
  <c r="S122" s="1"/>
  <c r="S140" s="1"/>
  <c r="F146" i="2" s="1"/>
  <c r="J146" s="1"/>
  <c r="AA89"/>
  <c r="AB89" s="1"/>
  <c r="AA661"/>
  <c r="AB661" s="1"/>
  <c r="S656" i="1"/>
  <c r="U140" i="2"/>
  <c r="K140"/>
  <c r="Y90"/>
  <c r="U662"/>
  <c r="Y140"/>
  <c r="K662"/>
  <c r="I193"/>
  <c r="I250"/>
  <c r="Z355"/>
  <c r="V90"/>
  <c r="L90"/>
  <c r="S90"/>
  <c r="T90"/>
  <c r="N90"/>
  <c r="P90"/>
  <c r="G662"/>
  <c r="Z79"/>
  <c r="O90"/>
  <c r="W90"/>
  <c r="I90"/>
  <c r="I140"/>
  <c r="Q90"/>
  <c r="J140"/>
  <c r="X90"/>
  <c r="K90"/>
  <c r="G90"/>
  <c r="T662"/>
  <c r="H90"/>
  <c r="M90"/>
  <c r="U90"/>
  <c r="Z140"/>
  <c r="S654" i="1"/>
  <c r="T32" i="2"/>
  <c r="W32"/>
  <c r="P32"/>
  <c r="I662"/>
  <c r="Q140"/>
  <c r="R90"/>
  <c r="Z90"/>
  <c r="L140"/>
  <c r="Y662"/>
  <c r="Y227" i="1"/>
  <c r="Z307" i="2"/>
  <c r="V547"/>
  <c r="S547"/>
  <c r="AA31"/>
  <c r="AB31" s="1"/>
  <c r="Y605"/>
  <c r="J32"/>
  <c r="Y32"/>
  <c r="K536"/>
  <c r="K537" s="1"/>
  <c r="U109" i="1"/>
  <c r="F91" i="2" s="1"/>
  <c r="P91" s="1"/>
  <c r="X210" i="1"/>
  <c r="X223" s="1"/>
  <c r="L547" i="2"/>
  <c r="H547"/>
  <c r="Y234" i="1"/>
  <c r="Z527" i="2"/>
  <c r="Z298"/>
  <c r="Z547"/>
  <c r="P547"/>
  <c r="Y228" i="1"/>
  <c r="Y229"/>
  <c r="Z193" i="2"/>
  <c r="Z479"/>
  <c r="K364"/>
  <c r="K365" s="1"/>
  <c r="Z241"/>
  <c r="J547"/>
  <c r="Y236" i="1"/>
  <c r="Y233"/>
  <c r="Z213"/>
  <c r="K307" i="2"/>
  <c r="K308" s="1"/>
  <c r="Z422"/>
  <c r="V126" i="1"/>
  <c r="K470" i="2"/>
  <c r="K474" s="1"/>
  <c r="Z70"/>
  <c r="F33"/>
  <c r="L33" s="1"/>
  <c r="Z184"/>
  <c r="X547"/>
  <c r="T547"/>
  <c r="K799"/>
  <c r="Z536"/>
  <c r="M547"/>
  <c r="N547"/>
  <c r="W547"/>
  <c r="Y239" i="1"/>
  <c r="Y235"/>
  <c r="Z215"/>
  <c r="Z594" i="2"/>
  <c r="Z651"/>
  <c r="Z364"/>
  <c r="I547"/>
  <c r="Q547"/>
  <c r="R547"/>
  <c r="Y230" i="1"/>
  <c r="Y663"/>
  <c r="Z214"/>
  <c r="Z642" i="2"/>
  <c r="Z413"/>
  <c r="Z585"/>
  <c r="U547"/>
  <c r="K547"/>
  <c r="G547"/>
  <c r="Y237" i="1"/>
  <c r="Z216"/>
  <c r="W277"/>
  <c r="Z250" i="2"/>
  <c r="Z470"/>
  <c r="O547"/>
  <c r="H437"/>
  <c r="S184"/>
  <c r="S188" s="1"/>
  <c r="G605"/>
  <c r="U325" i="1"/>
  <c r="U324"/>
  <c r="X605" i="2"/>
  <c r="K32"/>
  <c r="T331" i="1"/>
  <c r="T333" s="1"/>
  <c r="T335" s="1"/>
  <c r="P605" i="2"/>
  <c r="J605"/>
  <c r="S32"/>
  <c r="H479"/>
  <c r="H480" s="1"/>
  <c r="U598" i="1"/>
  <c r="F491" i="2" s="1"/>
  <c r="M32"/>
  <c r="O605"/>
  <c r="R605"/>
  <c r="N605"/>
  <c r="U529" i="1"/>
  <c r="U32" i="2"/>
  <c r="L32"/>
  <c r="I32"/>
  <c r="Z437"/>
  <c r="T605"/>
  <c r="U604" i="1"/>
  <c r="F663" i="2" s="1"/>
  <c r="O663" s="1"/>
  <c r="K605"/>
  <c r="N32"/>
  <c r="O32"/>
  <c r="W605"/>
  <c r="V32"/>
  <c r="H605"/>
  <c r="I605"/>
  <c r="Z605"/>
  <c r="U606" i="1"/>
  <c r="Q32" i="2"/>
  <c r="G32"/>
  <c r="Y437"/>
  <c r="T608" i="1"/>
  <c r="U130"/>
  <c r="V605" i="2"/>
  <c r="S605"/>
  <c r="U605"/>
  <c r="U321" i="1"/>
  <c r="U532"/>
  <c r="H32" i="2"/>
  <c r="Z32"/>
  <c r="Q605"/>
  <c r="M605"/>
  <c r="U602" i="1"/>
  <c r="F606" i="2" s="1"/>
  <c r="W606" s="1"/>
  <c r="R32"/>
  <c r="U470"/>
  <c r="U474" s="1"/>
  <c r="U422"/>
  <c r="U423" s="1"/>
  <c r="U79"/>
  <c r="U80" s="1"/>
  <c r="X490" i="1"/>
  <c r="X516" s="1"/>
  <c r="T538"/>
  <c r="T540" s="1"/>
  <c r="F490" i="2"/>
  <c r="G490" s="1"/>
  <c r="P651"/>
  <c r="P652" s="1"/>
  <c r="M437"/>
  <c r="I184"/>
  <c r="I188" s="1"/>
  <c r="W140"/>
  <c r="G140"/>
  <c r="N140"/>
  <c r="R662"/>
  <c r="M662"/>
  <c r="L662"/>
  <c r="I136"/>
  <c r="Q437"/>
  <c r="R140"/>
  <c r="X140"/>
  <c r="H140"/>
  <c r="V662"/>
  <c r="Z662"/>
  <c r="Q662"/>
  <c r="Z179" i="1"/>
  <c r="Z185" s="1"/>
  <c r="O79" i="2"/>
  <c r="O80" s="1"/>
  <c r="P307"/>
  <c r="P308" s="1"/>
  <c r="P585"/>
  <c r="P589" s="1"/>
  <c r="S140"/>
  <c r="V140"/>
  <c r="N662"/>
  <c r="O662"/>
  <c r="J662"/>
  <c r="AA435"/>
  <c r="AB435" s="1"/>
  <c r="X241" i="1"/>
  <c r="M140" i="2"/>
  <c r="T140"/>
  <c r="H662"/>
  <c r="X662"/>
  <c r="U437"/>
  <c r="I642"/>
  <c r="I646" s="1"/>
  <c r="O140"/>
  <c r="P662"/>
  <c r="W437"/>
  <c r="AA254"/>
  <c r="AB254" s="1"/>
  <c r="O422"/>
  <c r="O423" s="1"/>
  <c r="K594"/>
  <c r="K595" s="1"/>
  <c r="I298"/>
  <c r="I302" s="1"/>
  <c r="I801" s="1"/>
  <c r="W578" i="1"/>
  <c r="W580" s="1"/>
  <c r="F321" i="2" s="1"/>
  <c r="Z321" s="1"/>
  <c r="O585"/>
  <c r="O589" s="1"/>
  <c r="X437"/>
  <c r="K422"/>
  <c r="K423" s="1"/>
  <c r="I413"/>
  <c r="I417" s="1"/>
  <c r="P437"/>
  <c r="I437"/>
  <c r="Y187" i="1"/>
  <c r="L437" i="2"/>
  <c r="T437"/>
  <c r="M241"/>
  <c r="M245" s="1"/>
  <c r="M479"/>
  <c r="M480" s="1"/>
  <c r="W125" i="1"/>
  <c r="W81"/>
  <c r="W95"/>
  <c r="W98" s="1"/>
  <c r="W321" s="1"/>
  <c r="W655"/>
  <c r="W127"/>
  <c r="F34" i="2"/>
  <c r="Z34" s="1"/>
  <c r="W114" i="1"/>
  <c r="W669"/>
  <c r="M536" i="2"/>
  <c r="M537" s="1"/>
  <c r="O193"/>
  <c r="X241"/>
  <c r="X245" s="1"/>
  <c r="AA291" i="1"/>
  <c r="V114"/>
  <c r="X470" i="2"/>
  <c r="X474" s="1"/>
  <c r="H193"/>
  <c r="X184"/>
  <c r="X188" s="1"/>
  <c r="O437"/>
  <c r="W128" i="1"/>
  <c r="S527" i="2"/>
  <c r="S531" s="1"/>
  <c r="W113" i="1"/>
  <c r="M364" i="2"/>
  <c r="M365" s="1"/>
  <c r="O651"/>
  <c r="O652" s="1"/>
  <c r="O413"/>
  <c r="O417" s="1"/>
  <c r="X193"/>
  <c r="K437"/>
  <c r="J437"/>
  <c r="W279" i="1"/>
  <c r="W308" s="1"/>
  <c r="H355" i="2"/>
  <c r="H359" s="1"/>
  <c r="S437"/>
  <c r="V113" i="1"/>
  <c r="S651" i="2"/>
  <c r="S652" s="1"/>
  <c r="M193"/>
  <c r="V128" i="1"/>
  <c r="S802" i="2"/>
  <c r="V655" i="1"/>
  <c r="V127"/>
  <c r="V95"/>
  <c r="V98" s="1"/>
  <c r="V532" s="1"/>
  <c r="S479" i="2"/>
  <c r="S480" s="1"/>
  <c r="W126" i="1"/>
  <c r="H413" i="2"/>
  <c r="H417" s="1"/>
  <c r="M79"/>
  <c r="M80" s="1"/>
  <c r="O298"/>
  <c r="O302" s="1"/>
  <c r="O594"/>
  <c r="O595" s="1"/>
  <c r="X355"/>
  <c r="X359" s="1"/>
  <c r="V437"/>
  <c r="S422"/>
  <c r="S423" s="1"/>
  <c r="V125" i="1"/>
  <c r="H79" i="2"/>
  <c r="H80" s="1"/>
  <c r="M422"/>
  <c r="M423" s="1"/>
  <c r="O470"/>
  <c r="O474" s="1"/>
  <c r="R437"/>
  <c r="H307"/>
  <c r="H308" s="1"/>
  <c r="M527"/>
  <c r="M531" s="1"/>
  <c r="O355"/>
  <c r="O359" s="1"/>
  <c r="AA444" i="1"/>
  <c r="Z425"/>
  <c r="K479" i="2"/>
  <c r="K480" s="1"/>
  <c r="K585"/>
  <c r="K589" s="1"/>
  <c r="I364"/>
  <c r="I365" s="1"/>
  <c r="I585"/>
  <c r="I589" s="1"/>
  <c r="O136"/>
  <c r="AA454" i="1"/>
  <c r="K355" i="2"/>
  <c r="K359" s="1"/>
  <c r="K250"/>
  <c r="I594"/>
  <c r="I595" s="1"/>
  <c r="I479"/>
  <c r="I480" s="1"/>
  <c r="Z662" i="1"/>
  <c r="AA264"/>
  <c r="AA197" i="2"/>
  <c r="AB197" s="1"/>
  <c r="AA480" i="1"/>
  <c r="K651" i="2"/>
  <c r="K652" s="1"/>
  <c r="K79"/>
  <c r="K80" s="1"/>
  <c r="I70"/>
  <c r="I74" s="1"/>
  <c r="K70"/>
  <c r="K74" s="1"/>
  <c r="K184"/>
  <c r="I11"/>
  <c r="I1095" s="1"/>
  <c r="I470"/>
  <c r="I474" s="1"/>
  <c r="K298"/>
  <c r="K302" s="1"/>
  <c r="K527"/>
  <c r="K531" s="1"/>
  <c r="I241"/>
  <c r="I245" s="1"/>
  <c r="I307"/>
  <c r="I308" s="1"/>
  <c r="Z136"/>
  <c r="M136"/>
  <c r="V136"/>
  <c r="P355"/>
  <c r="P359" s="1"/>
  <c r="P594"/>
  <c r="P595" s="1"/>
  <c r="P70"/>
  <c r="P74" s="1"/>
  <c r="H184"/>
  <c r="U11"/>
  <c r="U1095" s="1"/>
  <c r="P184"/>
  <c r="S585"/>
  <c r="S589" s="1"/>
  <c r="H594"/>
  <c r="H595" s="1"/>
  <c r="H651"/>
  <c r="H652" s="1"/>
  <c r="M250"/>
  <c r="P250"/>
  <c r="P241"/>
  <c r="P245" s="1"/>
  <c r="S594"/>
  <c r="S595" s="1"/>
  <c r="S193"/>
  <c r="S79"/>
  <c r="S80" s="1"/>
  <c r="H70"/>
  <c r="H74" s="1"/>
  <c r="H298"/>
  <c r="H302" s="1"/>
  <c r="H642"/>
  <c r="H646" s="1"/>
  <c r="M470"/>
  <c r="M474" s="1"/>
  <c r="M651"/>
  <c r="M652" s="1"/>
  <c r="M413"/>
  <c r="M417" s="1"/>
  <c r="O364"/>
  <c r="O365" s="1"/>
  <c r="O70"/>
  <c r="O74" s="1"/>
  <c r="O11"/>
  <c r="O1095" s="1"/>
  <c r="U585"/>
  <c r="U589" s="1"/>
  <c r="U479"/>
  <c r="U480" s="1"/>
  <c r="X585"/>
  <c r="X589" s="1"/>
  <c r="X527"/>
  <c r="X531" s="1"/>
  <c r="X70"/>
  <c r="X74" s="1"/>
  <c r="AA248" i="1"/>
  <c r="AA574"/>
  <c r="AA476"/>
  <c r="Z450"/>
  <c r="Z235" s="1"/>
  <c r="U250" i="2"/>
  <c r="U70"/>
  <c r="U74" s="1"/>
  <c r="P298"/>
  <c r="P302" s="1"/>
  <c r="S355"/>
  <c r="S359" s="1"/>
  <c r="H422"/>
  <c r="H423" s="1"/>
  <c r="U241"/>
  <c r="U245" s="1"/>
  <c r="X651"/>
  <c r="X652" s="1"/>
  <c r="P79"/>
  <c r="P80" s="1"/>
  <c r="P536"/>
  <c r="P537" s="1"/>
  <c r="H250"/>
  <c r="M585"/>
  <c r="M589" s="1"/>
  <c r="U413"/>
  <c r="U417" s="1"/>
  <c r="X298"/>
  <c r="X302" s="1"/>
  <c r="X801" s="1"/>
  <c r="X307"/>
  <c r="X308" s="1"/>
  <c r="AA475" i="1"/>
  <c r="X136" i="2"/>
  <c r="P136"/>
  <c r="P364"/>
  <c r="P365" s="1"/>
  <c r="S364"/>
  <c r="S365" s="1"/>
  <c r="S241"/>
  <c r="S245" s="1"/>
  <c r="S250"/>
  <c r="Y427" i="1"/>
  <c r="H527" i="2"/>
  <c r="H531" s="1"/>
  <c r="H11"/>
  <c r="H1095" s="1"/>
  <c r="H136"/>
  <c r="M70"/>
  <c r="M74" s="1"/>
  <c r="M307"/>
  <c r="M308" s="1"/>
  <c r="M184"/>
  <c r="M188" s="1"/>
  <c r="O642"/>
  <c r="O646" s="1"/>
  <c r="O527"/>
  <c r="O531" s="1"/>
  <c r="U184"/>
  <c r="U188" s="1"/>
  <c r="U527"/>
  <c r="U531" s="1"/>
  <c r="U355"/>
  <c r="U359" s="1"/>
  <c r="X11"/>
  <c r="X1095" s="1"/>
  <c r="X422"/>
  <c r="X423" s="1"/>
  <c r="X364"/>
  <c r="X365" s="1"/>
  <c r="AA455" i="1"/>
  <c r="AA134"/>
  <c r="P413" i="2"/>
  <c r="P417" s="1"/>
  <c r="U594"/>
  <c r="U595" s="1"/>
  <c r="S536"/>
  <c r="S537" s="1"/>
  <c r="H585"/>
  <c r="H589" s="1"/>
  <c r="X79"/>
  <c r="X80" s="1"/>
  <c r="S298"/>
  <c r="S302" s="1"/>
  <c r="S801" s="1"/>
  <c r="H127"/>
  <c r="P193"/>
  <c r="S307"/>
  <c r="S308" s="1"/>
  <c r="H536"/>
  <c r="H537" s="1"/>
  <c r="H364"/>
  <c r="H365" s="1"/>
  <c r="H241"/>
  <c r="H245" s="1"/>
  <c r="M11"/>
  <c r="M1095" s="1"/>
  <c r="M594"/>
  <c r="M595" s="1"/>
  <c r="O479"/>
  <c r="O480" s="1"/>
  <c r="O536"/>
  <c r="O537" s="1"/>
  <c r="O241"/>
  <c r="O245" s="1"/>
  <c r="U651"/>
  <c r="U652" s="1"/>
  <c r="U642"/>
  <c r="U646" s="1"/>
  <c r="U298"/>
  <c r="U302" s="1"/>
  <c r="U801" s="1"/>
  <c r="X642"/>
  <c r="X646" s="1"/>
  <c r="X413"/>
  <c r="X417" s="1"/>
  <c r="X594"/>
  <c r="X595" s="1"/>
  <c r="AA265" i="1"/>
  <c r="AA633"/>
  <c r="AA375" s="1"/>
  <c r="AA381" s="1"/>
  <c r="AA158" s="1"/>
  <c r="AA164" s="1"/>
  <c r="P422" i="2"/>
  <c r="P423" s="1"/>
  <c r="S11"/>
  <c r="S1095" s="1"/>
  <c r="U193"/>
  <c r="Y166" i="1"/>
  <c r="P642" i="2"/>
  <c r="P646" s="1"/>
  <c r="P11"/>
  <c r="P15" s="1"/>
  <c r="S136"/>
  <c r="S413"/>
  <c r="S417" s="1"/>
  <c r="P527"/>
  <c r="P531" s="1"/>
  <c r="P470"/>
  <c r="P474" s="1"/>
  <c r="S470"/>
  <c r="S474" s="1"/>
  <c r="S70"/>
  <c r="S74" s="1"/>
  <c r="H470"/>
  <c r="H474" s="1"/>
  <c r="M642"/>
  <c r="M646" s="1"/>
  <c r="M298"/>
  <c r="M302" s="1"/>
  <c r="M801" s="1"/>
  <c r="O184"/>
  <c r="O307"/>
  <c r="O308" s="1"/>
  <c r="U307"/>
  <c r="U308" s="1"/>
  <c r="U536"/>
  <c r="U537" s="1"/>
  <c r="X479"/>
  <c r="X480" s="1"/>
  <c r="X536"/>
  <c r="X537" s="1"/>
  <c r="AA442" i="1"/>
  <c r="AA266"/>
  <c r="AA459"/>
  <c r="X664"/>
  <c r="AA252"/>
  <c r="K193" i="2"/>
  <c r="K11"/>
  <c r="K1095" s="1"/>
  <c r="K136"/>
  <c r="I79"/>
  <c r="I80" s="1"/>
  <c r="I355"/>
  <c r="I359" s="1"/>
  <c r="I527"/>
  <c r="I531" s="1"/>
  <c r="U136"/>
  <c r="AA441" i="1"/>
  <c r="AA440"/>
  <c r="AA479"/>
  <c r="Y636"/>
  <c r="Y453" s="1"/>
  <c r="Y465" s="1"/>
  <c r="Y664" s="1"/>
  <c r="X246"/>
  <c r="X259" s="1"/>
  <c r="X275" s="1"/>
  <c r="AA478"/>
  <c r="AA481"/>
  <c r="AA592"/>
  <c r="AA446"/>
  <c r="AA456"/>
  <c r="AA445"/>
  <c r="AA249"/>
  <c r="R140"/>
  <c r="F143" i="2" s="1"/>
  <c r="L143" s="1"/>
  <c r="AA267" i="1"/>
  <c r="AA232"/>
  <c r="K241" i="2"/>
  <c r="K245" s="1"/>
  <c r="K642"/>
  <c r="K646" s="1"/>
  <c r="I536"/>
  <c r="I537" s="1"/>
  <c r="I422"/>
  <c r="I423" s="1"/>
  <c r="AA575" i="1"/>
  <c r="Z353" i="2"/>
  <c r="AA353" s="1"/>
  <c r="AB353" s="1"/>
  <c r="Z18"/>
  <c r="Z477"/>
  <c r="AA477" s="1"/>
  <c r="AB477" s="1"/>
  <c r="Z77"/>
  <c r="AA77" s="1"/>
  <c r="AB77" s="1"/>
  <c r="Z534"/>
  <c r="AA534" s="1"/>
  <c r="AB534" s="1"/>
  <c r="Z125"/>
  <c r="AA125" s="1"/>
  <c r="AB125" s="1"/>
  <c r="Z362"/>
  <c r="AA362" s="1"/>
  <c r="AB362" s="1"/>
  <c r="Z640"/>
  <c r="AA640" s="1"/>
  <c r="AB640" s="1"/>
  <c r="Z592"/>
  <c r="AA592" s="1"/>
  <c r="AB592" s="1"/>
  <c r="Z296"/>
  <c r="AA296" s="1"/>
  <c r="AB296" s="1"/>
  <c r="Z420"/>
  <c r="AA420" s="1"/>
  <c r="AB420" s="1"/>
  <c r="Z9"/>
  <c r="AA9" s="1"/>
  <c r="AB9" s="1"/>
  <c r="Z182"/>
  <c r="AA182" s="1"/>
  <c r="AB182" s="1"/>
  <c r="Z525"/>
  <c r="AA525" s="1"/>
  <c r="AB525" s="1"/>
  <c r="Z68"/>
  <c r="AA68" s="1"/>
  <c r="AB68" s="1"/>
  <c r="Z411"/>
  <c r="AA411" s="1"/>
  <c r="AB411" s="1"/>
  <c r="Z583"/>
  <c r="AA583" s="1"/>
  <c r="AB583" s="1"/>
  <c r="Z649"/>
  <c r="AA649" s="1"/>
  <c r="AB649" s="1"/>
  <c r="Z468"/>
  <c r="AA468" s="1"/>
  <c r="AB468" s="1"/>
  <c r="Z305"/>
  <c r="AA305" s="1"/>
  <c r="AB305" s="1"/>
  <c r="Z239"/>
  <c r="AA239" s="1"/>
  <c r="AB239" s="1"/>
  <c r="AA1063"/>
  <c r="AB1063" s="1"/>
  <c r="AA643" i="1"/>
  <c r="AA430" s="1"/>
  <c r="AA434" s="1"/>
  <c r="X107"/>
  <c r="AA206"/>
  <c r="AA458"/>
  <c r="AA457"/>
  <c r="AA251"/>
  <c r="AA640"/>
  <c r="AA123" s="1"/>
  <c r="Z208"/>
  <c r="J642" i="2"/>
  <c r="J646" s="1"/>
  <c r="J594"/>
  <c r="J595" s="1"/>
  <c r="J422"/>
  <c r="J423" s="1"/>
  <c r="J70"/>
  <c r="J74" s="1"/>
  <c r="J536"/>
  <c r="J537" s="1"/>
  <c r="J193"/>
  <c r="J651"/>
  <c r="J652" s="1"/>
  <c r="J298"/>
  <c r="J302" s="1"/>
  <c r="J307"/>
  <c r="J308" s="1"/>
  <c r="J11"/>
  <c r="J136"/>
  <c r="J241"/>
  <c r="J245" s="1"/>
  <c r="J479"/>
  <c r="J480" s="1"/>
  <c r="J250"/>
  <c r="J585"/>
  <c r="J589" s="1"/>
  <c r="J527"/>
  <c r="J531" s="1"/>
  <c r="J470"/>
  <c r="J474" s="1"/>
  <c r="J79"/>
  <c r="J80" s="1"/>
  <c r="J127"/>
  <c r="J413"/>
  <c r="J417" s="1"/>
  <c r="J184"/>
  <c r="J364"/>
  <c r="J365" s="1"/>
  <c r="J355"/>
  <c r="J359" s="1"/>
  <c r="L136"/>
  <c r="L298"/>
  <c r="L302" s="1"/>
  <c r="L307"/>
  <c r="L308" s="1"/>
  <c r="L642"/>
  <c r="L646" s="1"/>
  <c r="L585"/>
  <c r="L589" s="1"/>
  <c r="L11"/>
  <c r="L651"/>
  <c r="L652" s="1"/>
  <c r="L364"/>
  <c r="L365" s="1"/>
  <c r="L70"/>
  <c r="L74" s="1"/>
  <c r="L527"/>
  <c r="L531" s="1"/>
  <c r="L470"/>
  <c r="L474" s="1"/>
  <c r="L422"/>
  <c r="L423" s="1"/>
  <c r="L250"/>
  <c r="L413"/>
  <c r="L417" s="1"/>
  <c r="L193"/>
  <c r="L594"/>
  <c r="L595" s="1"/>
  <c r="L79"/>
  <c r="L80" s="1"/>
  <c r="L355"/>
  <c r="L359" s="1"/>
  <c r="L536"/>
  <c r="L537" s="1"/>
  <c r="L241"/>
  <c r="L245" s="1"/>
  <c r="L184"/>
  <c r="L479"/>
  <c r="L480" s="1"/>
  <c r="L127"/>
  <c r="W536"/>
  <c r="W537" s="1"/>
  <c r="W364"/>
  <c r="W365" s="1"/>
  <c r="W307"/>
  <c r="W308" s="1"/>
  <c r="W136"/>
  <c r="W241"/>
  <c r="W245" s="1"/>
  <c r="W184"/>
  <c r="W188" s="1"/>
  <c r="W527"/>
  <c r="W531" s="1"/>
  <c r="W585"/>
  <c r="W589" s="1"/>
  <c r="W127"/>
  <c r="W11"/>
  <c r="W594"/>
  <c r="W595" s="1"/>
  <c r="W470"/>
  <c r="W474" s="1"/>
  <c r="W79"/>
  <c r="W80" s="1"/>
  <c r="W413"/>
  <c r="W417" s="1"/>
  <c r="W651"/>
  <c r="W652" s="1"/>
  <c r="W642"/>
  <c r="W646" s="1"/>
  <c r="W479"/>
  <c r="W480" s="1"/>
  <c r="W298"/>
  <c r="W302" s="1"/>
  <c r="W422"/>
  <c r="W423" s="1"/>
  <c r="W193"/>
  <c r="W250"/>
  <c r="W70"/>
  <c r="W74" s="1"/>
  <c r="W355"/>
  <c r="W359" s="1"/>
  <c r="Z659" i="1"/>
  <c r="Z158"/>
  <c r="Z164" s="1"/>
  <c r="N122"/>
  <c r="N654"/>
  <c r="N112"/>
  <c r="V807" i="2"/>
  <c r="V802"/>
  <c r="V799"/>
  <c r="AA135"/>
  <c r="AB135" s="1"/>
  <c r="P548"/>
  <c r="M548"/>
  <c r="T548"/>
  <c r="W548"/>
  <c r="X548"/>
  <c r="I548"/>
  <c r="G548"/>
  <c r="O548"/>
  <c r="L548"/>
  <c r="S548"/>
  <c r="V548"/>
  <c r="Y548"/>
  <c r="Z548"/>
  <c r="R548"/>
  <c r="H548"/>
  <c r="Q548"/>
  <c r="K548"/>
  <c r="U548"/>
  <c r="N548"/>
  <c r="J548"/>
  <c r="T657" i="1"/>
  <c r="T120"/>
  <c r="X667"/>
  <c r="X594"/>
  <c r="X596" s="1"/>
  <c r="F440" i="2" s="1"/>
  <c r="X329" i="1"/>
  <c r="X586"/>
  <c r="X588" s="1"/>
  <c r="F382" i="2" s="1"/>
  <c r="X328" i="1"/>
  <c r="X577"/>
  <c r="X535"/>
  <c r="X536"/>
  <c r="V657"/>
  <c r="V120"/>
  <c r="N536" i="2"/>
  <c r="N537" s="1"/>
  <c r="N193"/>
  <c r="N184"/>
  <c r="N250"/>
  <c r="N642"/>
  <c r="N646" s="1"/>
  <c r="N651"/>
  <c r="N652" s="1"/>
  <c r="N70"/>
  <c r="N74" s="1"/>
  <c r="N79"/>
  <c r="N80" s="1"/>
  <c r="N527"/>
  <c r="N531" s="1"/>
  <c r="N241"/>
  <c r="N245" s="1"/>
  <c r="N594"/>
  <c r="N595" s="1"/>
  <c r="N355"/>
  <c r="N359" s="1"/>
  <c r="N127"/>
  <c r="N479"/>
  <c r="N480" s="1"/>
  <c r="N11"/>
  <c r="N585"/>
  <c r="N589" s="1"/>
  <c r="N413"/>
  <c r="N417" s="1"/>
  <c r="N422"/>
  <c r="N423" s="1"/>
  <c r="N470"/>
  <c r="N474" s="1"/>
  <c r="N136"/>
  <c r="N298"/>
  <c r="N302" s="1"/>
  <c r="N307"/>
  <c r="N308" s="1"/>
  <c r="N364"/>
  <c r="N365" s="1"/>
  <c r="Q184"/>
  <c r="Q193"/>
  <c r="Q307"/>
  <c r="Q308" s="1"/>
  <c r="Q364"/>
  <c r="Q365" s="1"/>
  <c r="Q470"/>
  <c r="Q474" s="1"/>
  <c r="Q594"/>
  <c r="Q595" s="1"/>
  <c r="Q127"/>
  <c r="Q79"/>
  <c r="Q80" s="1"/>
  <c r="Q355"/>
  <c r="Q359" s="1"/>
  <c r="Q585"/>
  <c r="Q589" s="1"/>
  <c r="Q642"/>
  <c r="Q646" s="1"/>
  <c r="Q413"/>
  <c r="Q417" s="1"/>
  <c r="Q136"/>
  <c r="Q651"/>
  <c r="Q652" s="1"/>
  <c r="Q527"/>
  <c r="Q531" s="1"/>
  <c r="Q250"/>
  <c r="Q70"/>
  <c r="Q74" s="1"/>
  <c r="Q479"/>
  <c r="Q480" s="1"/>
  <c r="Q422"/>
  <c r="Q423" s="1"/>
  <c r="Q11"/>
  <c r="Q298"/>
  <c r="Q302" s="1"/>
  <c r="Q241"/>
  <c r="Q245" s="1"/>
  <c r="Q536"/>
  <c r="Q537" s="1"/>
  <c r="Z383" i="1"/>
  <c r="Z658"/>
  <c r="Z146"/>
  <c r="Z155" s="1"/>
  <c r="AA200" i="2"/>
  <c r="AB200" s="1"/>
  <c r="AA319"/>
  <c r="AB319" s="1"/>
  <c r="H802"/>
  <c r="H807"/>
  <c r="H799"/>
  <c r="AA653" i="1"/>
  <c r="AB204"/>
  <c r="AB217"/>
  <c r="AB432"/>
  <c r="AB410"/>
  <c r="AB502"/>
  <c r="AB33"/>
  <c r="AB35" s="1"/>
  <c r="AB44"/>
  <c r="AB461" s="1"/>
  <c r="AB297"/>
  <c r="AB377"/>
  <c r="AB303"/>
  <c r="AB496"/>
  <c r="AB504"/>
  <c r="AB46"/>
  <c r="AB294"/>
  <c r="AB194"/>
  <c r="AB287"/>
  <c r="AB387"/>
  <c r="AB365"/>
  <c r="AB493"/>
  <c r="AB509"/>
  <c r="AB27"/>
  <c r="AB202"/>
  <c r="AB180"/>
  <c r="AB192"/>
  <c r="AB286"/>
  <c r="AB366"/>
  <c r="AB298"/>
  <c r="AB510"/>
  <c r="AB642"/>
  <c r="AB74"/>
  <c r="AB150"/>
  <c r="AB43"/>
  <c r="AB459" s="1"/>
  <c r="AB115"/>
  <c r="AB172"/>
  <c r="AB296"/>
  <c r="AB299"/>
  <c r="AB304"/>
  <c r="AB295"/>
  <c r="AB583"/>
  <c r="AB506"/>
  <c r="AB159"/>
  <c r="AB191"/>
  <c r="AB203"/>
  <c r="AB379"/>
  <c r="AB409"/>
  <c r="AB302"/>
  <c r="AB413"/>
  <c r="AB507"/>
  <c r="AB398"/>
  <c r="AB418"/>
  <c r="AB511"/>
  <c r="AB641"/>
  <c r="AB42"/>
  <c r="AB39"/>
  <c r="AB477" s="1"/>
  <c r="AB101"/>
  <c r="AB419"/>
  <c r="AB367"/>
  <c r="AB201"/>
  <c r="AB431"/>
  <c r="AB508"/>
  <c r="AB495"/>
  <c r="AC2"/>
  <c r="AB148"/>
  <c r="AB285"/>
  <c r="AB193"/>
  <c r="AB152"/>
  <c r="AB45"/>
  <c r="AB480" s="1"/>
  <c r="AB153"/>
  <c r="AB161"/>
  <c r="AB171"/>
  <c r="AB218"/>
  <c r="AB390"/>
  <c r="AB411"/>
  <c r="AB503"/>
  <c r="AB41"/>
  <c r="AB268" s="1"/>
  <c r="AB23"/>
  <c r="AB149"/>
  <c r="AB147"/>
  <c r="AB173"/>
  <c r="AB391"/>
  <c r="AB370"/>
  <c r="AB460"/>
  <c r="AB494"/>
  <c r="AB421"/>
  <c r="AB591"/>
  <c r="AB160"/>
  <c r="AB170"/>
  <c r="AB388"/>
  <c r="AB397"/>
  <c r="AB505"/>
  <c r="AB378"/>
  <c r="AB300"/>
  <c r="AB512"/>
  <c r="AB38"/>
  <c r="AB248" s="1"/>
  <c r="AB75"/>
  <c r="AB65"/>
  <c r="AB497"/>
  <c r="AB219"/>
  <c r="AB288"/>
  <c r="AB400"/>
  <c r="AB301"/>
  <c r="AB420"/>
  <c r="AB151"/>
  <c r="AB40"/>
  <c r="AB457" s="1"/>
  <c r="AB66"/>
  <c r="AB174"/>
  <c r="AB182"/>
  <c r="AB376"/>
  <c r="AB19"/>
  <c r="AB181"/>
  <c r="AB162"/>
  <c r="AB389"/>
  <c r="AB289"/>
  <c r="AB369"/>
  <c r="AB412"/>
  <c r="AB183"/>
  <c r="AB253"/>
  <c r="AB399"/>
  <c r="AB133"/>
  <c r="AB368"/>
  <c r="W666"/>
  <c r="W317"/>
  <c r="W530"/>
  <c r="W533"/>
  <c r="W318"/>
  <c r="W525"/>
  <c r="W323"/>
  <c r="W322"/>
  <c r="W531"/>
  <c r="W326"/>
  <c r="W534"/>
  <c r="W526"/>
  <c r="W320"/>
  <c r="W327"/>
  <c r="W527"/>
  <c r="W319"/>
  <c r="W528"/>
  <c r="K127" i="2"/>
  <c r="P127"/>
  <c r="S127"/>
  <c r="Z127"/>
  <c r="X15" i="1"/>
  <c r="Y221"/>
  <c r="AA306"/>
  <c r="AA238"/>
  <c r="AA102"/>
  <c r="AA635"/>
  <c r="AA396" s="1"/>
  <c r="AA402" s="1"/>
  <c r="AA423"/>
  <c r="AA48"/>
  <c r="AA443"/>
  <c r="AA631"/>
  <c r="AA364" s="1"/>
  <c r="AA372" s="1"/>
  <c r="AA489" i="2"/>
  <c r="AB489" s="1"/>
  <c r="AA378"/>
  <c r="AB378" s="1"/>
  <c r="T364"/>
  <c r="T365" s="1"/>
  <c r="T127"/>
  <c r="T479"/>
  <c r="T480" s="1"/>
  <c r="T536"/>
  <c r="T537" s="1"/>
  <c r="T136"/>
  <c r="T642"/>
  <c r="T646" s="1"/>
  <c r="T413"/>
  <c r="T417" s="1"/>
  <c r="T193"/>
  <c r="T527"/>
  <c r="T531" s="1"/>
  <c r="T585"/>
  <c r="T589" s="1"/>
  <c r="T184"/>
  <c r="T470"/>
  <c r="T474" s="1"/>
  <c r="T307"/>
  <c r="T308" s="1"/>
  <c r="T651"/>
  <c r="T652" s="1"/>
  <c r="T79"/>
  <c r="T80" s="1"/>
  <c r="T11"/>
  <c r="T241"/>
  <c r="T245" s="1"/>
  <c r="T298"/>
  <c r="T302" s="1"/>
  <c r="T70"/>
  <c r="T74" s="1"/>
  <c r="T355"/>
  <c r="T359" s="1"/>
  <c r="T594"/>
  <c r="T595" s="1"/>
  <c r="T250"/>
  <c r="T422"/>
  <c r="T423" s="1"/>
  <c r="Z652" i="1"/>
  <c r="Z593"/>
  <c r="Z576"/>
  <c r="Z255"/>
  <c r="Z462"/>
  <c r="Z482"/>
  <c r="Z637" s="1"/>
  <c r="Z474" s="1"/>
  <c r="Z484" s="1"/>
  <c r="Z254"/>
  <c r="Z103"/>
  <c r="Z463"/>
  <c r="Z135"/>
  <c r="Z585"/>
  <c r="Z67"/>
  <c r="Z64"/>
  <c r="Z271"/>
  <c r="Z76"/>
  <c r="Z257"/>
  <c r="Z256"/>
  <c r="F251" i="2"/>
  <c r="Q248"/>
  <c r="N248"/>
  <c r="W248"/>
  <c r="U248"/>
  <c r="V248"/>
  <c r="V251" s="1"/>
  <c r="L248"/>
  <c r="Y248"/>
  <c r="R248"/>
  <c r="H248"/>
  <c r="K248"/>
  <c r="P248"/>
  <c r="I248"/>
  <c r="O248"/>
  <c r="T248"/>
  <c r="Z248"/>
  <c r="S248"/>
  <c r="J248"/>
  <c r="M248"/>
  <c r="X248"/>
  <c r="G248"/>
  <c r="F194"/>
  <c r="Y191"/>
  <c r="W191"/>
  <c r="U191"/>
  <c r="V191"/>
  <c r="V194" s="1"/>
  <c r="R191"/>
  <c r="Q191"/>
  <c r="N191"/>
  <c r="L191"/>
  <c r="H191"/>
  <c r="T191"/>
  <c r="K191"/>
  <c r="M191"/>
  <c r="Z191"/>
  <c r="P191"/>
  <c r="I191"/>
  <c r="O191"/>
  <c r="S191"/>
  <c r="J191"/>
  <c r="X191"/>
  <c r="G191"/>
  <c r="G1056"/>
  <c r="G20" s="1"/>
  <c r="AA1055"/>
  <c r="AB1055" s="1"/>
  <c r="V1095"/>
  <c r="V15"/>
  <c r="R642"/>
  <c r="R646" s="1"/>
  <c r="R184"/>
  <c r="R536"/>
  <c r="R537" s="1"/>
  <c r="R79"/>
  <c r="R80" s="1"/>
  <c r="R413"/>
  <c r="R417" s="1"/>
  <c r="R651"/>
  <c r="R652" s="1"/>
  <c r="R127"/>
  <c r="R364"/>
  <c r="R365" s="1"/>
  <c r="R241"/>
  <c r="R245" s="1"/>
  <c r="R307"/>
  <c r="R308" s="1"/>
  <c r="R594"/>
  <c r="R595" s="1"/>
  <c r="R470"/>
  <c r="R474" s="1"/>
  <c r="R527"/>
  <c r="R531" s="1"/>
  <c r="R193"/>
  <c r="R479"/>
  <c r="R480" s="1"/>
  <c r="R136"/>
  <c r="R355"/>
  <c r="R359" s="1"/>
  <c r="R11"/>
  <c r="R298"/>
  <c r="R302" s="1"/>
  <c r="R250"/>
  <c r="R70"/>
  <c r="R74" s="1"/>
  <c r="R585"/>
  <c r="R589" s="1"/>
  <c r="R422"/>
  <c r="R423" s="1"/>
  <c r="Y250"/>
  <c r="Y651"/>
  <c r="Y652" s="1"/>
  <c r="Y136"/>
  <c r="Y79"/>
  <c r="Y80" s="1"/>
  <c r="Y184"/>
  <c r="Y188" s="1"/>
  <c r="Y127"/>
  <c r="Y355"/>
  <c r="Y359" s="1"/>
  <c r="Y479"/>
  <c r="Y480" s="1"/>
  <c r="Y193"/>
  <c r="Y11"/>
  <c r="Y422"/>
  <c r="Y423" s="1"/>
  <c r="Y241"/>
  <c r="Y245" s="1"/>
  <c r="Y298"/>
  <c r="Y302" s="1"/>
  <c r="Y307"/>
  <c r="Y308" s="1"/>
  <c r="Y594"/>
  <c r="Y595" s="1"/>
  <c r="Y536"/>
  <c r="Y537" s="1"/>
  <c r="Y585"/>
  <c r="Y589" s="1"/>
  <c r="Y364"/>
  <c r="Y365" s="1"/>
  <c r="Y413"/>
  <c r="Y417" s="1"/>
  <c r="Y470"/>
  <c r="Y474" s="1"/>
  <c r="Y642"/>
  <c r="Y646" s="1"/>
  <c r="Y70"/>
  <c r="Y74" s="1"/>
  <c r="Y527"/>
  <c r="Y531" s="1"/>
  <c r="Z660" i="1"/>
  <c r="Z404"/>
  <c r="Z169"/>
  <c r="Z176" s="1"/>
  <c r="G320" i="2"/>
  <c r="J320"/>
  <c r="H320"/>
  <c r="N320"/>
  <c r="M320"/>
  <c r="Q320"/>
  <c r="V320"/>
  <c r="S320"/>
  <c r="W320"/>
  <c r="Y320"/>
  <c r="I320"/>
  <c r="K320"/>
  <c r="L320"/>
  <c r="O320"/>
  <c r="P320"/>
  <c r="T320"/>
  <c r="R320"/>
  <c r="U320"/>
  <c r="X320"/>
  <c r="Z320"/>
  <c r="L140" i="1"/>
  <c r="AA436" i="2"/>
  <c r="AB436" s="1"/>
  <c r="G437"/>
  <c r="Y665" i="1"/>
  <c r="Y263"/>
  <c r="Y273" s="1"/>
  <c r="Y651"/>
  <c r="Y77"/>
  <c r="Y79" s="1"/>
  <c r="Y96" s="1"/>
  <c r="Y9"/>
  <c r="Y136"/>
  <c r="Y138" s="1"/>
  <c r="Y10"/>
  <c r="Y60"/>
  <c r="Y12"/>
  <c r="Y105"/>
  <c r="Y104"/>
  <c r="Y62"/>
  <c r="Y63"/>
  <c r="Y13"/>
  <c r="Y11"/>
  <c r="AA604" i="2"/>
  <c r="AB604" s="1"/>
  <c r="I127"/>
  <c r="V127"/>
  <c r="AA257"/>
  <c r="AB257" s="1"/>
  <c r="M127"/>
  <c r="O127"/>
  <c r="U127"/>
  <c r="X127"/>
  <c r="AA415" i="1"/>
  <c r="AA231"/>
  <c r="AA448"/>
  <c r="AA447"/>
  <c r="AA514"/>
  <c r="AA499"/>
  <c r="AA634"/>
  <c r="AA386" s="1"/>
  <c r="AA393" s="1"/>
  <c r="G379" i="2"/>
  <c r="AA379" s="1"/>
  <c r="AB379" s="1"/>
  <c r="K965" l="1"/>
  <c r="K892"/>
  <c r="H965"/>
  <c r="H892"/>
  <c r="O965"/>
  <c r="O892"/>
  <c r="I965"/>
  <c r="I892"/>
  <c r="Z965"/>
  <c r="Z892"/>
  <c r="V965"/>
  <c r="V892"/>
  <c r="M965"/>
  <c r="M892"/>
  <c r="X965"/>
  <c r="X892"/>
  <c r="S965"/>
  <c r="S892"/>
  <c r="U965"/>
  <c r="U892"/>
  <c r="O188"/>
  <c r="H188"/>
  <c r="Z136" i="1"/>
  <c r="Z9"/>
  <c r="Z60"/>
  <c r="Z105"/>
  <c r="Z10"/>
  <c r="Z651"/>
  <c r="Z13"/>
  <c r="Z77"/>
  <c r="Z79" s="1"/>
  <c r="Z96" s="1"/>
  <c r="Z12"/>
  <c r="Z11"/>
  <c r="Z104"/>
  <c r="Z63"/>
  <c r="O251" i="2"/>
  <c r="X251"/>
  <c r="AA20"/>
  <c r="AB20" s="1"/>
  <c r="G21"/>
  <c r="AA18"/>
  <c r="AB18" s="1"/>
  <c r="Z21"/>
  <c r="O703"/>
  <c r="K703"/>
  <c r="M703"/>
  <c r="I703"/>
  <c r="X703"/>
  <c r="V703"/>
  <c r="S703"/>
  <c r="Z703"/>
  <c r="H703"/>
  <c r="U703"/>
  <c r="O801"/>
  <c r="K801"/>
  <c r="H801"/>
  <c r="AA50" i="1"/>
  <c r="AB653"/>
  <c r="S260" i="2"/>
  <c r="N260"/>
  <c r="O260"/>
  <c r="P260"/>
  <c r="Y260"/>
  <c r="R260"/>
  <c r="J260"/>
  <c r="M260"/>
  <c r="G260"/>
  <c r="Q260"/>
  <c r="W260"/>
  <c r="L260"/>
  <c r="U807"/>
  <c r="V260"/>
  <c r="Z260"/>
  <c r="K260"/>
  <c r="X260"/>
  <c r="U260"/>
  <c r="T260"/>
  <c r="H260"/>
  <c r="AA203"/>
  <c r="AB203" s="1"/>
  <c r="P799"/>
  <c r="P807"/>
  <c r="M799"/>
  <c r="K802"/>
  <c r="K807"/>
  <c r="U799"/>
  <c r="I802"/>
  <c r="I807"/>
  <c r="O799"/>
  <c r="X807"/>
  <c r="O807"/>
  <c r="X802"/>
  <c r="S799"/>
  <c r="S807"/>
  <c r="I91"/>
  <c r="I251"/>
  <c r="V606"/>
  <c r="H91"/>
  <c r="F204"/>
  <c r="R606"/>
  <c r="AA90"/>
  <c r="AB90" s="1"/>
  <c r="Z251"/>
  <c r="U91"/>
  <c r="O91"/>
  <c r="L91"/>
  <c r="K91"/>
  <c r="G91"/>
  <c r="M91"/>
  <c r="Q91"/>
  <c r="Z91"/>
  <c r="X91"/>
  <c r="W91"/>
  <c r="Y91"/>
  <c r="V91"/>
  <c r="J91"/>
  <c r="T91"/>
  <c r="S91"/>
  <c r="N91"/>
  <c r="R91"/>
  <c r="U321"/>
  <c r="U322" s="1"/>
  <c r="Q321"/>
  <c r="Q322" s="1"/>
  <c r="S15"/>
  <c r="W321"/>
  <c r="W322" s="1"/>
  <c r="K663"/>
  <c r="S663"/>
  <c r="L663"/>
  <c r="T34"/>
  <c r="T610" i="1"/>
  <c r="J34" i="2"/>
  <c r="Y34"/>
  <c r="H34"/>
  <c r="R34"/>
  <c r="P34"/>
  <c r="P146"/>
  <c r="H146"/>
  <c r="M321"/>
  <c r="M322" s="1"/>
  <c r="Z194"/>
  <c r="S321"/>
  <c r="S322" s="1"/>
  <c r="V146"/>
  <c r="R146"/>
  <c r="Z146"/>
  <c r="Z221" i="1"/>
  <c r="Z663"/>
  <c r="Q146" i="2"/>
  <c r="W146"/>
  <c r="G146"/>
  <c r="X279" i="1"/>
  <c r="X308" s="1"/>
  <c r="X657" s="1"/>
  <c r="U146" i="2"/>
  <c r="T146"/>
  <c r="M146"/>
  <c r="S146"/>
  <c r="O33"/>
  <c r="M15"/>
  <c r="L146"/>
  <c r="N146"/>
  <c r="X146"/>
  <c r="I146"/>
  <c r="O146"/>
  <c r="Y146"/>
  <c r="K146"/>
  <c r="X33"/>
  <c r="H33"/>
  <c r="Z33"/>
  <c r="Z35" s="1"/>
  <c r="Z166" i="1"/>
  <c r="V33" i="2"/>
  <c r="Y33"/>
  <c r="V324" i="1"/>
  <c r="W33" i="2"/>
  <c r="V490"/>
  <c r="T490"/>
  <c r="AA547"/>
  <c r="AB547" s="1"/>
  <c r="Y241" i="1"/>
  <c r="T33" i="2"/>
  <c r="K33"/>
  <c r="S33"/>
  <c r="Q33"/>
  <c r="U33"/>
  <c r="M33"/>
  <c r="Z228" i="1"/>
  <c r="Z239"/>
  <c r="N33" i="2"/>
  <c r="R33"/>
  <c r="J33"/>
  <c r="Z234" i="1"/>
  <c r="Z226"/>
  <c r="W251" i="2"/>
  <c r="I33"/>
  <c r="P33"/>
  <c r="U331" i="1"/>
  <c r="U333" s="1"/>
  <c r="U335" s="1"/>
  <c r="U112" s="1"/>
  <c r="U116" s="1"/>
  <c r="G33" i="2"/>
  <c r="O490"/>
  <c r="K490"/>
  <c r="H490"/>
  <c r="S490"/>
  <c r="X490"/>
  <c r="W490"/>
  <c r="L490"/>
  <c r="W602" i="1"/>
  <c r="F608" i="2" s="1"/>
  <c r="J608" s="1"/>
  <c r="W598" i="1"/>
  <c r="F493" i="2" s="1"/>
  <c r="P490"/>
  <c r="M490"/>
  <c r="Z490"/>
  <c r="G143"/>
  <c r="J490"/>
  <c r="U490"/>
  <c r="R490"/>
  <c r="Y490"/>
  <c r="N490"/>
  <c r="I490"/>
  <c r="Q490"/>
  <c r="U663"/>
  <c r="P663"/>
  <c r="I663"/>
  <c r="X606"/>
  <c r="S606"/>
  <c r="H663"/>
  <c r="M663"/>
  <c r="J606"/>
  <c r="Z606"/>
  <c r="O606"/>
  <c r="Q663"/>
  <c r="G663"/>
  <c r="N606"/>
  <c r="T606"/>
  <c r="L606"/>
  <c r="U608" i="1"/>
  <c r="R663" i="2"/>
  <c r="Z663"/>
  <c r="K606"/>
  <c r="P606"/>
  <c r="G606"/>
  <c r="AA32"/>
  <c r="AB32" s="1"/>
  <c r="Y663"/>
  <c r="W663"/>
  <c r="U606"/>
  <c r="M606"/>
  <c r="I606"/>
  <c r="J663"/>
  <c r="X663"/>
  <c r="V663"/>
  <c r="H606"/>
  <c r="Y606"/>
  <c r="N663"/>
  <c r="T663"/>
  <c r="Q606"/>
  <c r="AA140"/>
  <c r="AB140" s="1"/>
  <c r="AA605"/>
  <c r="AB605" s="1"/>
  <c r="AB446" i="1"/>
  <c r="Y246"/>
  <c r="Y259" s="1"/>
  <c r="Y275" s="1"/>
  <c r="V325"/>
  <c r="V34" i="2"/>
  <c r="K34"/>
  <c r="N34"/>
  <c r="V604" i="1"/>
  <c r="F664" i="2" s="1"/>
  <c r="N664" s="1"/>
  <c r="U538" i="1"/>
  <c r="U540" s="1"/>
  <c r="S34" i="2"/>
  <c r="V109" i="1"/>
  <c r="F92" i="2" s="1"/>
  <c r="P92" s="1"/>
  <c r="G34"/>
  <c r="X15"/>
  <c r="X34"/>
  <c r="I34"/>
  <c r="M34"/>
  <c r="O34"/>
  <c r="L34"/>
  <c r="L35" s="1"/>
  <c r="Q34"/>
  <c r="F35"/>
  <c r="U34"/>
  <c r="W34"/>
  <c r="H321"/>
  <c r="T321"/>
  <c r="Y321"/>
  <c r="Y322" s="1"/>
  <c r="AA662"/>
  <c r="AB662" s="1"/>
  <c r="X321"/>
  <c r="X322" s="1"/>
  <c r="P321"/>
  <c r="K321"/>
  <c r="I321"/>
  <c r="I322" s="1"/>
  <c r="R321"/>
  <c r="R322" s="1"/>
  <c r="G321"/>
  <c r="G322" s="1"/>
  <c r="F322"/>
  <c r="J321"/>
  <c r="O321"/>
  <c r="N321"/>
  <c r="V321"/>
  <c r="V322" s="1"/>
  <c r="Z187" i="1"/>
  <c r="L321" i="2"/>
  <c r="L322" s="1"/>
  <c r="K143"/>
  <c r="Z233" i="1"/>
  <c r="Z227"/>
  <c r="Z15" i="2"/>
  <c r="Z229" i="1"/>
  <c r="Y210"/>
  <c r="Y223" s="1"/>
  <c r="Z138"/>
  <c r="Y143" i="2"/>
  <c r="Y486" i="1"/>
  <c r="Y488" s="1"/>
  <c r="Y490" s="1"/>
  <c r="Y516" s="1"/>
  <c r="AB481"/>
  <c r="O15" i="2"/>
  <c r="K251"/>
  <c r="M251"/>
  <c r="AB231" i="1"/>
  <c r="AB238"/>
  <c r="AB447"/>
  <c r="X194" i="2"/>
  <c r="S251"/>
  <c r="W600" i="1"/>
  <c r="F550" i="2" s="1"/>
  <c r="J550" s="1"/>
  <c r="W109" i="1"/>
  <c r="F93" i="2" s="1"/>
  <c r="F94" s="1"/>
  <c r="AA659" i="1"/>
  <c r="W529"/>
  <c r="W324"/>
  <c r="W606"/>
  <c r="W532"/>
  <c r="W604"/>
  <c r="F665" i="2" s="1"/>
  <c r="Z665" s="1"/>
  <c r="Z480"/>
  <c r="V130" i="1"/>
  <c r="W130"/>
  <c r="W325"/>
  <c r="AB270"/>
  <c r="AB252"/>
  <c r="AB456"/>
  <c r="K188" i="2"/>
  <c r="V321" i="1"/>
  <c r="AB266"/>
  <c r="AB444"/>
  <c r="I15" i="2"/>
  <c r="AA437"/>
  <c r="AB437" s="1"/>
  <c r="P1095"/>
  <c r="V529" i="1"/>
  <c r="V538" s="1"/>
  <c r="V540" s="1"/>
  <c r="AB584"/>
  <c r="V600"/>
  <c r="F549" i="2" s="1"/>
  <c r="S549" s="1"/>
  <c r="V602" i="1"/>
  <c r="F607" i="2" s="1"/>
  <c r="H607" s="1"/>
  <c r="V606" i="1"/>
  <c r="V598"/>
  <c r="F492" i="2" s="1"/>
  <c r="AB267" i="1"/>
  <c r="Z308" i="2"/>
  <c r="Z537"/>
  <c r="K15"/>
  <c r="M807"/>
  <c r="P188"/>
  <c r="U15"/>
  <c r="Z237" i="1"/>
  <c r="Z236"/>
  <c r="P251" i="2"/>
  <c r="AB478" i="1"/>
  <c r="AB443"/>
  <c r="P801" i="2"/>
  <c r="Z359"/>
  <c r="Z652"/>
  <c r="Z595"/>
  <c r="U251"/>
  <c r="Z74"/>
  <c r="Z230" i="1"/>
  <c r="R251" i="2"/>
  <c r="N251"/>
  <c r="AB441" i="1"/>
  <c r="AB29"/>
  <c r="H15" i="2"/>
  <c r="AA215" i="1"/>
  <c r="Z80" i="2"/>
  <c r="AB269" i="1"/>
  <c r="H251" i="2"/>
  <c r="AB592" i="1"/>
  <c r="AB249"/>
  <c r="Y107"/>
  <c r="Z322" i="2"/>
  <c r="AB251" i="1"/>
  <c r="AB265"/>
  <c r="V143" i="2"/>
  <c r="Z143"/>
  <c r="H143"/>
  <c r="X277" i="1"/>
  <c r="Z646" i="2"/>
  <c r="J143"/>
  <c r="J251"/>
  <c r="AB102" i="1"/>
  <c r="AB574"/>
  <c r="AB232"/>
  <c r="AB633"/>
  <c r="AB375" s="1"/>
  <c r="AB381" s="1"/>
  <c r="AB659" s="1"/>
  <c r="T143" i="2"/>
  <c r="U143"/>
  <c r="S143"/>
  <c r="W143"/>
  <c r="AB575" i="1"/>
  <c r="AB442"/>
  <c r="AB440"/>
  <c r="AB448"/>
  <c r="P143" i="2"/>
  <c r="R143"/>
  <c r="Z423"/>
  <c r="W194"/>
  <c r="M143"/>
  <c r="Q143"/>
  <c r="Z365"/>
  <c r="L251"/>
  <c r="N143"/>
  <c r="O143"/>
  <c r="X143"/>
  <c r="I143"/>
  <c r="Z417"/>
  <c r="Z245"/>
  <c r="Z531"/>
  <c r="Z188"/>
  <c r="Z474"/>
  <c r="Z589"/>
  <c r="Z302"/>
  <c r="Z801" s="1"/>
  <c r="AA213" i="1"/>
  <c r="AA216"/>
  <c r="AA214"/>
  <c r="AB247"/>
  <c r="AB476"/>
  <c r="AB643"/>
  <c r="Z636"/>
  <c r="Z453" s="1"/>
  <c r="Z465" s="1"/>
  <c r="Z486" s="1"/>
  <c r="Z488" s="1"/>
  <c r="AA450"/>
  <c r="AA237" s="1"/>
  <c r="T251" i="2"/>
  <c r="AB264" i="1"/>
  <c r="AB475"/>
  <c r="AB454"/>
  <c r="AB479"/>
  <c r="AB445"/>
  <c r="AB134"/>
  <c r="AB458"/>
  <c r="AA404"/>
  <c r="AA660"/>
  <c r="AA169"/>
  <c r="AA176" s="1"/>
  <c r="Z665"/>
  <c r="Z263"/>
  <c r="Z273" s="1"/>
  <c r="Y801" i="2"/>
  <c r="R1095"/>
  <c r="R15"/>
  <c r="R802"/>
  <c r="R807"/>
  <c r="R799"/>
  <c r="T542" i="1"/>
  <c r="T656"/>
  <c r="F261" i="2"/>
  <c r="T119" i="1"/>
  <c r="V785" i="2"/>
  <c r="S785"/>
  <c r="AA191"/>
  <c r="AB191" s="1"/>
  <c r="J194"/>
  <c r="O194"/>
  <c r="P194"/>
  <c r="M194"/>
  <c r="T194"/>
  <c r="Q194"/>
  <c r="T807"/>
  <c r="T802"/>
  <c r="T799"/>
  <c r="AA652" i="1"/>
  <c r="AA482"/>
  <c r="AA637" s="1"/>
  <c r="AA474" s="1"/>
  <c r="AA484" s="1"/>
  <c r="AA64"/>
  <c r="AA76"/>
  <c r="AA67"/>
  <c r="AA256"/>
  <c r="AA103"/>
  <c r="AA585"/>
  <c r="AA257"/>
  <c r="AA576"/>
  <c r="AA462"/>
  <c r="AA255"/>
  <c r="AA135"/>
  <c r="AA271"/>
  <c r="AA463"/>
  <c r="AA593"/>
  <c r="AA254"/>
  <c r="AA661"/>
  <c r="AA179"/>
  <c r="AA185" s="1"/>
  <c r="X785" i="2"/>
  <c r="H785"/>
  <c r="Q801"/>
  <c r="N801"/>
  <c r="N1095"/>
  <c r="N15"/>
  <c r="N194"/>
  <c r="I382"/>
  <c r="O382"/>
  <c r="R382"/>
  <c r="G382"/>
  <c r="K382"/>
  <c r="M382"/>
  <c r="S382"/>
  <c r="U382"/>
  <c r="W382"/>
  <c r="Z382"/>
  <c r="H382"/>
  <c r="N382"/>
  <c r="P382"/>
  <c r="Y382"/>
  <c r="J382"/>
  <c r="L382"/>
  <c r="Q382"/>
  <c r="T382"/>
  <c r="V382"/>
  <c r="X382"/>
  <c r="G440"/>
  <c r="K440"/>
  <c r="M440"/>
  <c r="Q440"/>
  <c r="S440"/>
  <c r="X440"/>
  <c r="I440"/>
  <c r="P440"/>
  <c r="V440"/>
  <c r="Y440"/>
  <c r="J440"/>
  <c r="L440"/>
  <c r="O440"/>
  <c r="R440"/>
  <c r="U440"/>
  <c r="H440"/>
  <c r="N440"/>
  <c r="T440"/>
  <c r="W440"/>
  <c r="Z440"/>
  <c r="I785"/>
  <c r="K785"/>
  <c r="N116" i="1"/>
  <c r="W1095" i="2"/>
  <c r="W15"/>
  <c r="L188"/>
  <c r="L807"/>
  <c r="L802"/>
  <c r="L799"/>
  <c r="L1095"/>
  <c r="L15"/>
  <c r="L801"/>
  <c r="J188"/>
  <c r="J802"/>
  <c r="J799"/>
  <c r="J807"/>
  <c r="J1095"/>
  <c r="J15"/>
  <c r="J801"/>
  <c r="Z667" i="1"/>
  <c r="Z535"/>
  <c r="Z577"/>
  <c r="Z536"/>
  <c r="Z594"/>
  <c r="Z596" s="1"/>
  <c r="F445" i="2" s="1"/>
  <c r="Z329" i="1"/>
  <c r="Z586"/>
  <c r="Z588" s="1"/>
  <c r="F387" i="2" s="1"/>
  <c r="Z328" i="1"/>
  <c r="Y15"/>
  <c r="AA248" i="2"/>
  <c r="AB248" s="1"/>
  <c r="AB250" i="1"/>
  <c r="AB48"/>
  <c r="AB635"/>
  <c r="AB396" s="1"/>
  <c r="AB402" s="1"/>
  <c r="AB206"/>
  <c r="AB640"/>
  <c r="AB123" s="1"/>
  <c r="AB423"/>
  <c r="AB499"/>
  <c r="AB634"/>
  <c r="AB386" s="1"/>
  <c r="AB393" s="1"/>
  <c r="Q251" i="2"/>
  <c r="AA662" i="1"/>
  <c r="AA425"/>
  <c r="AA190"/>
  <c r="AA196" s="1"/>
  <c r="AA208" s="1"/>
  <c r="Y667"/>
  <c r="Y535"/>
  <c r="Y586"/>
  <c r="Y588" s="1"/>
  <c r="F383" i="2" s="1"/>
  <c r="Y536" i="1"/>
  <c r="Y329"/>
  <c r="Y577"/>
  <c r="Y594"/>
  <c r="Y596" s="1"/>
  <c r="F441" i="2" s="1"/>
  <c r="F442" s="1"/>
  <c r="Y328" i="1"/>
  <c r="F129" i="2"/>
  <c r="AA320"/>
  <c r="AB320" s="1"/>
  <c r="U785"/>
  <c r="O785"/>
  <c r="M785"/>
  <c r="Y802"/>
  <c r="Y807"/>
  <c r="Y799"/>
  <c r="Y1095"/>
  <c r="Y15"/>
  <c r="R801"/>
  <c r="R188"/>
  <c r="T654" i="1"/>
  <c r="T112"/>
  <c r="T116" s="1"/>
  <c r="V803" i="2"/>
  <c r="V804"/>
  <c r="V831"/>
  <c r="V808"/>
  <c r="G355"/>
  <c r="G136"/>
  <c r="G298"/>
  <c r="G527"/>
  <c r="G479"/>
  <c r="G241"/>
  <c r="G127"/>
  <c r="AA127" s="1"/>
  <c r="AB127" s="1"/>
  <c r="G536"/>
  <c r="G364"/>
  <c r="G470"/>
  <c r="G79"/>
  <c r="G642"/>
  <c r="G307"/>
  <c r="G651"/>
  <c r="G594"/>
  <c r="G193"/>
  <c r="G194" s="1"/>
  <c r="G422"/>
  <c r="G184"/>
  <c r="G11"/>
  <c r="G250"/>
  <c r="G585"/>
  <c r="G70"/>
  <c r="G413"/>
  <c r="AA1056"/>
  <c r="AB1056" s="1"/>
  <c r="S194"/>
  <c r="I194"/>
  <c r="K194"/>
  <c r="H194"/>
  <c r="R194"/>
  <c r="U194"/>
  <c r="T801"/>
  <c r="T1095"/>
  <c r="T15"/>
  <c r="T188"/>
  <c r="AA658" i="1"/>
  <c r="AA383"/>
  <c r="AA146"/>
  <c r="AA155" s="1"/>
  <c r="AA166" s="1"/>
  <c r="X69"/>
  <c r="X669"/>
  <c r="X578"/>
  <c r="X580" s="1"/>
  <c r="X666"/>
  <c r="X526"/>
  <c r="X317"/>
  <c r="X320"/>
  <c r="X531"/>
  <c r="X326"/>
  <c r="X327"/>
  <c r="X319"/>
  <c r="X527"/>
  <c r="X525"/>
  <c r="X323"/>
  <c r="X533"/>
  <c r="X534"/>
  <c r="X530"/>
  <c r="X528"/>
  <c r="X322"/>
  <c r="X318"/>
  <c r="AC369"/>
  <c r="AC460"/>
  <c r="AC508"/>
  <c r="AC302"/>
  <c r="AC377"/>
  <c r="AC366"/>
  <c r="AC410"/>
  <c r="AC298"/>
  <c r="AC376"/>
  <c r="AC413"/>
  <c r="AC192"/>
  <c r="AC388"/>
  <c r="AC495"/>
  <c r="AC19"/>
  <c r="AC174"/>
  <c r="AC421"/>
  <c r="AC502"/>
  <c r="AC41"/>
  <c r="AC268" s="1"/>
  <c r="AC160"/>
  <c r="AC44"/>
  <c r="AC461" s="1"/>
  <c r="AC504"/>
  <c r="AD2"/>
  <c r="AC153"/>
  <c r="AC182"/>
  <c r="AC23"/>
  <c r="AC509"/>
  <c r="AC39"/>
  <c r="AC266" s="1"/>
  <c r="AC411"/>
  <c r="AC40"/>
  <c r="AC267" s="1"/>
  <c r="AC368"/>
  <c r="AC204"/>
  <c r="AC42"/>
  <c r="AC162"/>
  <c r="AC511"/>
  <c r="AC494"/>
  <c r="AC506"/>
  <c r="AC510"/>
  <c r="AC170"/>
  <c r="AC294"/>
  <c r="AC147"/>
  <c r="AC496"/>
  <c r="AC151"/>
  <c r="AC419"/>
  <c r="AC379"/>
  <c r="AC287"/>
  <c r="AC300"/>
  <c r="AC191"/>
  <c r="AC45"/>
  <c r="AC251" s="1"/>
  <c r="AC152"/>
  <c r="AC194"/>
  <c r="AC512"/>
  <c r="AC642"/>
  <c r="AC505"/>
  <c r="AC507"/>
  <c r="AC400"/>
  <c r="AC390"/>
  <c r="AC391"/>
  <c r="AC370"/>
  <c r="AC583"/>
  <c r="AC27"/>
  <c r="AC133"/>
  <c r="AC173"/>
  <c r="AC398"/>
  <c r="AC148"/>
  <c r="AC115"/>
  <c r="AC159"/>
  <c r="AC217"/>
  <c r="AC641"/>
  <c r="AC43"/>
  <c r="AC481" s="1"/>
  <c r="AC150"/>
  <c r="AC409"/>
  <c r="AC149"/>
  <c r="AC33"/>
  <c r="AC35" s="1"/>
  <c r="AC180"/>
  <c r="AC303"/>
  <c r="AC389"/>
  <c r="AC38"/>
  <c r="AC265" s="1"/>
  <c r="AC75"/>
  <c r="AC218"/>
  <c r="AC503"/>
  <c r="AC193"/>
  <c r="AC172"/>
  <c r="AC387"/>
  <c r="AC412"/>
  <c r="AC378"/>
  <c r="AC297"/>
  <c r="AC286"/>
  <c r="AC161"/>
  <c r="AC253"/>
  <c r="AC101"/>
  <c r="AC203"/>
  <c r="AC171"/>
  <c r="AC365"/>
  <c r="AC397"/>
  <c r="AC183"/>
  <c r="AC201"/>
  <c r="AC181"/>
  <c r="AC304"/>
  <c r="AC431"/>
  <c r="AC295"/>
  <c r="AC418"/>
  <c r="AC288"/>
  <c r="AC399"/>
  <c r="AC296"/>
  <c r="AC46"/>
  <c r="AC66"/>
  <c r="AC493"/>
  <c r="AC420"/>
  <c r="AC432"/>
  <c r="AC299"/>
  <c r="AC497"/>
  <c r="AC285"/>
  <c r="AC591"/>
  <c r="AC202"/>
  <c r="AC219"/>
  <c r="AC74"/>
  <c r="AC367"/>
  <c r="AC65"/>
  <c r="AC289"/>
  <c r="AC301"/>
  <c r="W657"/>
  <c r="W120"/>
  <c r="Q15" i="2"/>
  <c r="Q1095"/>
  <c r="Q802"/>
  <c r="Q799"/>
  <c r="Q807"/>
  <c r="Q188"/>
  <c r="N802"/>
  <c r="N807"/>
  <c r="N799"/>
  <c r="N188"/>
  <c r="I491"/>
  <c r="P491"/>
  <c r="R491"/>
  <c r="T491"/>
  <c r="W491"/>
  <c r="Y491"/>
  <c r="G491"/>
  <c r="M491"/>
  <c r="O491"/>
  <c r="L491"/>
  <c r="S491"/>
  <c r="V491"/>
  <c r="X491"/>
  <c r="Z491"/>
  <c r="Q491"/>
  <c r="H491"/>
  <c r="U491"/>
  <c r="K491"/>
  <c r="N491"/>
  <c r="J491"/>
  <c r="Z785"/>
  <c r="P831"/>
  <c r="P808"/>
  <c r="P803"/>
  <c r="P804"/>
  <c r="W801"/>
  <c r="W799"/>
  <c r="W802"/>
  <c r="W807"/>
  <c r="L194"/>
  <c r="Y194"/>
  <c r="Y251"/>
  <c r="AB291" i="1"/>
  <c r="AB415"/>
  <c r="AB455"/>
  <c r="AB631"/>
  <c r="AB364" s="1"/>
  <c r="AB372" s="1"/>
  <c r="AB306"/>
  <c r="AB514"/>
  <c r="Z427"/>
  <c r="AA548" i="2"/>
  <c r="AB548" s="1"/>
  <c r="P965" l="1"/>
  <c r="P892"/>
  <c r="T965"/>
  <c r="T892"/>
  <c r="R965"/>
  <c r="R892"/>
  <c r="J965"/>
  <c r="J892"/>
  <c r="N965"/>
  <c r="N892"/>
  <c r="W965"/>
  <c r="W892"/>
  <c r="Y965"/>
  <c r="Y892"/>
  <c r="L965"/>
  <c r="L892"/>
  <c r="Q965"/>
  <c r="Q892"/>
  <c r="I204"/>
  <c r="P322"/>
  <c r="J322"/>
  <c r="T322"/>
  <c r="K322"/>
  <c r="N322"/>
  <c r="O322"/>
  <c r="H322"/>
  <c r="Z15" i="1"/>
  <c r="Z69" s="1"/>
  <c r="Z107"/>
  <c r="AA21" i="2"/>
  <c r="AB21" s="1"/>
  <c r="Z808"/>
  <c r="I803"/>
  <c r="S804"/>
  <c r="O808"/>
  <c r="M803"/>
  <c r="H808"/>
  <c r="U804"/>
  <c r="N703"/>
  <c r="Y703"/>
  <c r="W703"/>
  <c r="J703"/>
  <c r="L703"/>
  <c r="P703"/>
  <c r="Q703"/>
  <c r="T703"/>
  <c r="R703"/>
  <c r="AB572" i="1"/>
  <c r="AB50"/>
  <c r="AB13" s="1"/>
  <c r="AC653"/>
  <c r="T204" i="2"/>
  <c r="AA260"/>
  <c r="AB260" s="1"/>
  <c r="H831"/>
  <c r="M831"/>
  <c r="O831"/>
  <c r="I831"/>
  <c r="M804"/>
  <c r="H804"/>
  <c r="M808"/>
  <c r="H803"/>
  <c r="S204"/>
  <c r="O803"/>
  <c r="V204"/>
  <c r="H204"/>
  <c r="O804"/>
  <c r="O204"/>
  <c r="U831"/>
  <c r="U803"/>
  <c r="U808"/>
  <c r="X803"/>
  <c r="X804"/>
  <c r="K803"/>
  <c r="P204"/>
  <c r="K804"/>
  <c r="L204"/>
  <c r="Y204"/>
  <c r="I808"/>
  <c r="S803"/>
  <c r="K204"/>
  <c r="M204"/>
  <c r="Z804"/>
  <c r="I804"/>
  <c r="S808"/>
  <c r="G204"/>
  <c r="J204"/>
  <c r="X204"/>
  <c r="Z204"/>
  <c r="Z831"/>
  <c r="K831"/>
  <c r="R204"/>
  <c r="U204"/>
  <c r="X831"/>
  <c r="X808"/>
  <c r="S831"/>
  <c r="W204"/>
  <c r="N204"/>
  <c r="Z803"/>
  <c r="Q204"/>
  <c r="O35"/>
  <c r="W92"/>
  <c r="H35"/>
  <c r="N92"/>
  <c r="G92"/>
  <c r="Z92"/>
  <c r="X120" i="1"/>
  <c r="Y35" i="2"/>
  <c r="V35"/>
  <c r="AA91"/>
  <c r="AB91" s="1"/>
  <c r="Y92"/>
  <c r="U92"/>
  <c r="T92"/>
  <c r="M92"/>
  <c r="O92"/>
  <c r="R92"/>
  <c r="Q92"/>
  <c r="L92"/>
  <c r="P35"/>
  <c r="T35"/>
  <c r="R35"/>
  <c r="X35"/>
  <c r="U35"/>
  <c r="Y277" i="1"/>
  <c r="AA146" i="2"/>
  <c r="AB146" s="1"/>
  <c r="S608"/>
  <c r="Q550"/>
  <c r="Z93"/>
  <c r="F205"/>
  <c r="I205" s="1"/>
  <c r="J92"/>
  <c r="V92"/>
  <c r="I92"/>
  <c r="P93"/>
  <c r="P94" s="1"/>
  <c r="T607"/>
  <c r="K92"/>
  <c r="I93"/>
  <c r="S92"/>
  <c r="X92"/>
  <c r="S93"/>
  <c r="Z210" i="1"/>
  <c r="Z223" s="1"/>
  <c r="I35" i="2"/>
  <c r="U654" i="1"/>
  <c r="N35" i="2"/>
  <c r="V93"/>
  <c r="M607"/>
  <c r="U93"/>
  <c r="U610" i="1"/>
  <c r="K665" i="2"/>
  <c r="W35"/>
  <c r="G35"/>
  <c r="AC479" i="1"/>
  <c r="I664" i="2"/>
  <c r="L664"/>
  <c r="Y664"/>
  <c r="P664"/>
  <c r="K664"/>
  <c r="R608"/>
  <c r="AA33"/>
  <c r="AB33" s="1"/>
  <c r="X607"/>
  <c r="O607"/>
  <c r="P607"/>
  <c r="Y607"/>
  <c r="K607"/>
  <c r="U607"/>
  <c r="V607"/>
  <c r="I607"/>
  <c r="R607"/>
  <c r="J35"/>
  <c r="AC575" i="1"/>
  <c r="Q607" i="2"/>
  <c r="G607"/>
  <c r="L607"/>
  <c r="N607"/>
  <c r="W607"/>
  <c r="J607"/>
  <c r="J609" s="1"/>
  <c r="S35"/>
  <c r="P205"/>
  <c r="Z607"/>
  <c r="S607"/>
  <c r="G550"/>
  <c r="Q35"/>
  <c r="F666"/>
  <c r="M35"/>
  <c r="S664"/>
  <c r="W664"/>
  <c r="AA490"/>
  <c r="AB490" s="1"/>
  <c r="M608"/>
  <c r="Y608"/>
  <c r="T608"/>
  <c r="G608"/>
  <c r="L608"/>
  <c r="F609"/>
  <c r="V608"/>
  <c r="U608"/>
  <c r="I608"/>
  <c r="N608"/>
  <c r="V331" i="1"/>
  <c r="V333" s="1"/>
  <c r="V335" s="1"/>
  <c r="V654" s="1"/>
  <c r="AA606" i="2"/>
  <c r="AB606" s="1"/>
  <c r="AA663"/>
  <c r="AB663" s="1"/>
  <c r="H608"/>
  <c r="H609" s="1"/>
  <c r="O608"/>
  <c r="W608"/>
  <c r="Q608"/>
  <c r="P608"/>
  <c r="Z608"/>
  <c r="K608"/>
  <c r="X608"/>
  <c r="H549"/>
  <c r="Q549"/>
  <c r="P549"/>
  <c r="I549"/>
  <c r="AA34"/>
  <c r="AB34" s="1"/>
  <c r="Y93"/>
  <c r="J93"/>
  <c r="O93"/>
  <c r="X93"/>
  <c r="M93"/>
  <c r="K35"/>
  <c r="G93"/>
  <c r="N93"/>
  <c r="L93"/>
  <c r="T93"/>
  <c r="W93"/>
  <c r="R93"/>
  <c r="H93"/>
  <c r="K93"/>
  <c r="Q93"/>
  <c r="AB571" i="1"/>
  <c r="O665" i="2"/>
  <c r="H92"/>
  <c r="J664"/>
  <c r="T664"/>
  <c r="L665"/>
  <c r="F262"/>
  <c r="U656" i="1"/>
  <c r="U542"/>
  <c r="U119"/>
  <c r="U122" s="1"/>
  <c r="U140" s="1"/>
  <c r="F148" i="2" s="1"/>
  <c r="G665"/>
  <c r="O664"/>
  <c r="G664"/>
  <c r="V665"/>
  <c r="M664"/>
  <c r="U664"/>
  <c r="J665"/>
  <c r="X664"/>
  <c r="V664"/>
  <c r="H664"/>
  <c r="Q664"/>
  <c r="T665"/>
  <c r="R664"/>
  <c r="Z664"/>
  <c r="Z666" s="1"/>
  <c r="H665"/>
  <c r="P665"/>
  <c r="AA321"/>
  <c r="AB321" s="1"/>
  <c r="R550"/>
  <c r="W550"/>
  <c r="L550"/>
  <c r="W549"/>
  <c r="M549"/>
  <c r="N550"/>
  <c r="I550"/>
  <c r="L549"/>
  <c r="U549"/>
  <c r="K550"/>
  <c r="S550"/>
  <c r="S551" s="1"/>
  <c r="Y549"/>
  <c r="X549"/>
  <c r="W608" i="1"/>
  <c r="Y550" i="2"/>
  <c r="Z550"/>
  <c r="T549"/>
  <c r="G549"/>
  <c r="F551"/>
  <c r="R549"/>
  <c r="Z549"/>
  <c r="N549"/>
  <c r="AC440" i="1"/>
  <c r="U550" i="2"/>
  <c r="M550"/>
  <c r="V550"/>
  <c r="W538" i="1"/>
  <c r="W540" s="1"/>
  <c r="W656" s="1"/>
  <c r="V608"/>
  <c r="O549" i="2"/>
  <c r="V549"/>
  <c r="J549"/>
  <c r="J551" s="1"/>
  <c r="H550"/>
  <c r="P550"/>
  <c r="X550"/>
  <c r="K549"/>
  <c r="O550"/>
  <c r="T550"/>
  <c r="W331" i="1"/>
  <c r="W333" s="1"/>
  <c r="W335" s="1"/>
  <c r="R665" i="2"/>
  <c r="Q665"/>
  <c r="AB573" i="1"/>
  <c r="AC477"/>
  <c r="I665" i="2"/>
  <c r="W665"/>
  <c r="AB668" i="1"/>
  <c r="S665" i="2"/>
  <c r="M665"/>
  <c r="N665"/>
  <c r="N666" s="1"/>
  <c r="X665"/>
  <c r="U665"/>
  <c r="Y665"/>
  <c r="AC231" i="1"/>
  <c r="AC480"/>
  <c r="AC443"/>
  <c r="V542"/>
  <c r="V656"/>
  <c r="V119"/>
  <c r="V122" s="1"/>
  <c r="F263" i="2"/>
  <c r="L263" s="1"/>
  <c r="AC441" i="1"/>
  <c r="AC447"/>
  <c r="AC444"/>
  <c r="K808" i="2"/>
  <c r="P785"/>
  <c r="AC448" i="1"/>
  <c r="AC574"/>
  <c r="Z669"/>
  <c r="AC445"/>
  <c r="Z241"/>
  <c r="Z578"/>
  <c r="Z580" s="1"/>
  <c r="F330" i="2" s="1"/>
  <c r="AA239" i="1"/>
  <c r="AC455"/>
  <c r="AC459"/>
  <c r="AC475"/>
  <c r="AC248"/>
  <c r="AB158"/>
  <c r="AB164" s="1"/>
  <c r="AC250"/>
  <c r="AC249"/>
  <c r="AA143" i="2"/>
  <c r="AB143" s="1"/>
  <c r="AB450" i="1"/>
  <c r="AB237" s="1"/>
  <c r="AC247"/>
  <c r="AC269"/>
  <c r="AA234"/>
  <c r="AA228"/>
  <c r="AA235"/>
  <c r="AA663"/>
  <c r="Z246"/>
  <c r="Z259" s="1"/>
  <c r="Z275" s="1"/>
  <c r="AA226"/>
  <c r="Z664"/>
  <c r="AA230"/>
  <c r="AC458"/>
  <c r="AC264"/>
  <c r="AC478"/>
  <c r="AA427"/>
  <c r="AA233"/>
  <c r="AA229"/>
  <c r="AA227"/>
  <c r="AA236"/>
  <c r="Z807" i="2"/>
  <c r="Z799"/>
  <c r="Z802"/>
  <c r="AB213" i="1"/>
  <c r="AB430"/>
  <c r="AB434" s="1"/>
  <c r="AB215"/>
  <c r="AB216"/>
  <c r="AB214"/>
  <c r="AA221"/>
  <c r="AC457"/>
  <c r="AC456"/>
  <c r="AC291"/>
  <c r="AC499"/>
  <c r="AC423"/>
  <c r="AC631"/>
  <c r="AC364" s="1"/>
  <c r="AC372" s="1"/>
  <c r="AC146" s="1"/>
  <c r="AC155" s="1"/>
  <c r="AC634"/>
  <c r="AC386" s="1"/>
  <c r="AC393" s="1"/>
  <c r="AC169" s="1"/>
  <c r="AC176" s="1"/>
  <c r="AC415"/>
  <c r="AC190" s="1"/>
  <c r="AC196" s="1"/>
  <c r="F325" i="2"/>
  <c r="G27" i="14"/>
  <c r="AA194" i="2"/>
  <c r="AB194" s="1"/>
  <c r="I445"/>
  <c r="V445"/>
  <c r="W445"/>
  <c r="Y445"/>
  <c r="L445"/>
  <c r="Z445"/>
  <c r="X445"/>
  <c r="S445"/>
  <c r="R445"/>
  <c r="J445"/>
  <c r="Q445"/>
  <c r="P445"/>
  <c r="T445"/>
  <c r="M445"/>
  <c r="K445"/>
  <c r="U445"/>
  <c r="O445"/>
  <c r="G445"/>
  <c r="H445"/>
  <c r="N445"/>
  <c r="AB658" i="1"/>
  <c r="AB383"/>
  <c r="AB146"/>
  <c r="AB155" s="1"/>
  <c r="I387" i="2"/>
  <c r="V387"/>
  <c r="X387"/>
  <c r="Z387"/>
  <c r="L387"/>
  <c r="W387"/>
  <c r="Y387"/>
  <c r="T387"/>
  <c r="M387"/>
  <c r="K387"/>
  <c r="Q387"/>
  <c r="O387"/>
  <c r="S387"/>
  <c r="U387"/>
  <c r="R387"/>
  <c r="J387"/>
  <c r="P387"/>
  <c r="G387"/>
  <c r="H387"/>
  <c r="N387"/>
  <c r="AB662" i="1"/>
  <c r="AB425"/>
  <c r="AB190"/>
  <c r="AB196" s="1"/>
  <c r="AB208" s="1"/>
  <c r="H492" i="2"/>
  <c r="N492"/>
  <c r="T492"/>
  <c r="X492"/>
  <c r="I492"/>
  <c r="L492"/>
  <c r="O492"/>
  <c r="R492"/>
  <c r="U492"/>
  <c r="Y492"/>
  <c r="G492"/>
  <c r="K492"/>
  <c r="P492"/>
  <c r="W492"/>
  <c r="Z492"/>
  <c r="J492"/>
  <c r="M492"/>
  <c r="Q492"/>
  <c r="S492"/>
  <c r="V492"/>
  <c r="F494"/>
  <c r="R493"/>
  <c r="S493"/>
  <c r="Q493"/>
  <c r="K493"/>
  <c r="W493"/>
  <c r="M493"/>
  <c r="J493"/>
  <c r="V493"/>
  <c r="I493"/>
  <c r="T493"/>
  <c r="L493"/>
  <c r="Z493"/>
  <c r="Y493"/>
  <c r="P493"/>
  <c r="X493"/>
  <c r="O493"/>
  <c r="G493"/>
  <c r="N493"/>
  <c r="H493"/>
  <c r="U493"/>
  <c r="Q785"/>
  <c r="X95" i="1"/>
  <c r="X98" s="1"/>
  <c r="X655"/>
  <c r="X81"/>
  <c r="X113"/>
  <c r="X128"/>
  <c r="X125"/>
  <c r="F38" i="2"/>
  <c r="X114" i="1"/>
  <c r="X126"/>
  <c r="X127"/>
  <c r="T785" i="2"/>
  <c r="AA413"/>
  <c r="AB413" s="1"/>
  <c r="G417"/>
  <c r="AA585"/>
  <c r="AB585" s="1"/>
  <c r="G589"/>
  <c r="AA11"/>
  <c r="AB11" s="1"/>
  <c r="G1095"/>
  <c r="G892" s="1"/>
  <c r="G15"/>
  <c r="AA422"/>
  <c r="AB422" s="1"/>
  <c r="G423"/>
  <c r="AA423" s="1"/>
  <c r="AB423" s="1"/>
  <c r="AA594"/>
  <c r="AB594" s="1"/>
  <c r="G595"/>
  <c r="AA595" s="1"/>
  <c r="AB595" s="1"/>
  <c r="AA307"/>
  <c r="AB307" s="1"/>
  <c r="G308"/>
  <c r="G80"/>
  <c r="AA80" s="1"/>
  <c r="AB80" s="1"/>
  <c r="AA79"/>
  <c r="AB79" s="1"/>
  <c r="AA364"/>
  <c r="AB364" s="1"/>
  <c r="G365"/>
  <c r="E13" i="14"/>
  <c r="AA479" i="2"/>
  <c r="AB479" s="1"/>
  <c r="G480"/>
  <c r="AA480" s="1"/>
  <c r="AB480" s="1"/>
  <c r="AA298"/>
  <c r="AB298" s="1"/>
  <c r="G302"/>
  <c r="Y785"/>
  <c r="AB404" i="1"/>
  <c r="AB660"/>
  <c r="AB169"/>
  <c r="AB176" s="1"/>
  <c r="AB661"/>
  <c r="AB179"/>
  <c r="AB185" s="1"/>
  <c r="Y69"/>
  <c r="Y669"/>
  <c r="Y578"/>
  <c r="Y580" s="1"/>
  <c r="Z81"/>
  <c r="Z655"/>
  <c r="Z95"/>
  <c r="Z98" s="1"/>
  <c r="Z113"/>
  <c r="F43" i="2"/>
  <c r="Z126" i="1"/>
  <c r="Z128"/>
  <c r="Z127"/>
  <c r="Z125"/>
  <c r="Z114"/>
  <c r="J785" i="2"/>
  <c r="L803"/>
  <c r="L808"/>
  <c r="L804"/>
  <c r="L831"/>
  <c r="W803"/>
  <c r="W831"/>
  <c r="W804"/>
  <c r="W808"/>
  <c r="AA440"/>
  <c r="AB440" s="1"/>
  <c r="AA382"/>
  <c r="AB382" s="1"/>
  <c r="N808"/>
  <c r="N804"/>
  <c r="N831"/>
  <c r="N803"/>
  <c r="T122" i="1"/>
  <c r="T140" s="1"/>
  <c r="F147" i="2" s="1"/>
  <c r="R785"/>
  <c r="AA491"/>
  <c r="AB491" s="1"/>
  <c r="AC206" i="1"/>
  <c r="AC635"/>
  <c r="AC396" s="1"/>
  <c r="AC402" s="1"/>
  <c r="AC643"/>
  <c r="AC454"/>
  <c r="AC232"/>
  <c r="AC238"/>
  <c r="AC592"/>
  <c r="AC252"/>
  <c r="AC446"/>
  <c r="AC306"/>
  <c r="AC640"/>
  <c r="AC123" s="1"/>
  <c r="AC514"/>
  <c r="AC29"/>
  <c r="AC633"/>
  <c r="AC375" s="1"/>
  <c r="AC381" s="1"/>
  <c r="AA636"/>
  <c r="AA453" s="1"/>
  <c r="AA465" s="1"/>
  <c r="AA486" s="1"/>
  <c r="AA488" s="1"/>
  <c r="AA187"/>
  <c r="AA210" s="1"/>
  <c r="Q803" i="2"/>
  <c r="Q808"/>
  <c r="Q804"/>
  <c r="Q831"/>
  <c r="AD217" i="1"/>
  <c r="AD253"/>
  <c r="AD296"/>
  <c r="AD642"/>
  <c r="AD419"/>
  <c r="AD421"/>
  <c r="AD303"/>
  <c r="AD180"/>
  <c r="AD194"/>
  <c r="AD285"/>
  <c r="AE2"/>
  <c r="AD505"/>
  <c r="AD412"/>
  <c r="AD287"/>
  <c r="AD171"/>
  <c r="AD203"/>
  <c r="AD170"/>
  <c r="AD365"/>
  <c r="AD387"/>
  <c r="AD389"/>
  <c r="AD504"/>
  <c r="AD160"/>
  <c r="AD101"/>
  <c r="AD204"/>
  <c r="AD44"/>
  <c r="AD461" s="1"/>
  <c r="AD133"/>
  <c r="AD45"/>
  <c r="AD251" s="1"/>
  <c r="AD150"/>
  <c r="AD183"/>
  <c r="AD510"/>
  <c r="AD147"/>
  <c r="AD115"/>
  <c r="AD75"/>
  <c r="AD153"/>
  <c r="AD286"/>
  <c r="AD288"/>
  <c r="AD496"/>
  <c r="AD65"/>
  <c r="AD42"/>
  <c r="AD159"/>
  <c r="AD41"/>
  <c r="AD268" s="1"/>
  <c r="AD411"/>
  <c r="AD298"/>
  <c r="AD300"/>
  <c r="AD191"/>
  <c r="AD378"/>
  <c r="AD302"/>
  <c r="AD304"/>
  <c r="AD297"/>
  <c r="AD388"/>
  <c r="AD201"/>
  <c r="AD182"/>
  <c r="AD494"/>
  <c r="AD377"/>
  <c r="AD295"/>
  <c r="AD409"/>
  <c r="AD289"/>
  <c r="AD507"/>
  <c r="AD506"/>
  <c r="AD591"/>
  <c r="AD511"/>
  <c r="AD148"/>
  <c r="AD152"/>
  <c r="AD162"/>
  <c r="AD398"/>
  <c r="AD202"/>
  <c r="AD493"/>
  <c r="AD503"/>
  <c r="AD508"/>
  <c r="AD192"/>
  <c r="AD173"/>
  <c r="AD376"/>
  <c r="AD66"/>
  <c r="AD509"/>
  <c r="AD413"/>
  <c r="AD38"/>
  <c r="AD248" s="1"/>
  <c r="AD502"/>
  <c r="AD149"/>
  <c r="AD39"/>
  <c r="AD477" s="1"/>
  <c r="AD74"/>
  <c r="AD151"/>
  <c r="AD420"/>
  <c r="AD432"/>
  <c r="AD366"/>
  <c r="AD431"/>
  <c r="AD294"/>
  <c r="AD369"/>
  <c r="AD397"/>
  <c r="AD193"/>
  <c r="AD399"/>
  <c r="AD410"/>
  <c r="AD368"/>
  <c r="AD370"/>
  <c r="AD641"/>
  <c r="AD174"/>
  <c r="AD172"/>
  <c r="AD391"/>
  <c r="AD379"/>
  <c r="AD418"/>
  <c r="AD460"/>
  <c r="AD27"/>
  <c r="AD40"/>
  <c r="AD267" s="1"/>
  <c r="AD512"/>
  <c r="AD19"/>
  <c r="AD46"/>
  <c r="AD367"/>
  <c r="AD161"/>
  <c r="AD583"/>
  <c r="AD33"/>
  <c r="AD43"/>
  <c r="AD481" s="1"/>
  <c r="AD301"/>
  <c r="AD181"/>
  <c r="AD23"/>
  <c r="AD495"/>
  <c r="AD400"/>
  <c r="AD218"/>
  <c r="AD497"/>
  <c r="AD219"/>
  <c r="AD390"/>
  <c r="AD299"/>
  <c r="T803" i="2"/>
  <c r="T808"/>
  <c r="T831"/>
  <c r="T804"/>
  <c r="G74"/>
  <c r="AA70"/>
  <c r="AB70" s="1"/>
  <c r="G251"/>
  <c r="AA251" s="1"/>
  <c r="AB251" s="1"/>
  <c r="AA250"/>
  <c r="AB250" s="1"/>
  <c r="AA184"/>
  <c r="AB184" s="1"/>
  <c r="E27" i="14"/>
  <c r="G188" i="2"/>
  <c r="AA193"/>
  <c r="AB193" s="1"/>
  <c r="AA651"/>
  <c r="AB651" s="1"/>
  <c r="G652"/>
  <c r="AA652" s="1"/>
  <c r="AB652" s="1"/>
  <c r="G646"/>
  <c r="AA642"/>
  <c r="AB642" s="1"/>
  <c r="AA470"/>
  <c r="AB470" s="1"/>
  <c r="G474"/>
  <c r="AA536"/>
  <c r="AB536" s="1"/>
  <c r="G537"/>
  <c r="AA537" s="1"/>
  <c r="AB537" s="1"/>
  <c r="AA241"/>
  <c r="AB241" s="1"/>
  <c r="G245"/>
  <c r="AA527"/>
  <c r="AB527" s="1"/>
  <c r="G531"/>
  <c r="AA136"/>
  <c r="AB136" s="1"/>
  <c r="AA355"/>
  <c r="AB355" s="1"/>
  <c r="G359"/>
  <c r="Y804"/>
  <c r="Y803"/>
  <c r="Y808"/>
  <c r="Y831"/>
  <c r="H129"/>
  <c r="G129"/>
  <c r="M129"/>
  <c r="Q129"/>
  <c r="T129"/>
  <c r="W129"/>
  <c r="W131" s="1"/>
  <c r="Z129"/>
  <c r="Z131" s="1"/>
  <c r="X129"/>
  <c r="X131" s="1"/>
  <c r="I129"/>
  <c r="L129"/>
  <c r="N129"/>
  <c r="R129"/>
  <c r="S129"/>
  <c r="U129"/>
  <c r="Y129"/>
  <c r="Y131" s="1"/>
  <c r="V129"/>
  <c r="V131" s="1"/>
  <c r="K129"/>
  <c r="O129"/>
  <c r="O131" s="1"/>
  <c r="J129"/>
  <c r="P129"/>
  <c r="F131"/>
  <c r="Y666" i="1"/>
  <c r="Y318"/>
  <c r="Y528"/>
  <c r="Y525"/>
  <c r="Y326"/>
  <c r="Y533"/>
  <c r="Y320"/>
  <c r="Y322"/>
  <c r="Y530"/>
  <c r="Y526"/>
  <c r="Y534"/>
  <c r="Y327"/>
  <c r="Y527"/>
  <c r="Y319"/>
  <c r="Y317"/>
  <c r="Y323"/>
  <c r="Y531"/>
  <c r="O441" i="2"/>
  <c r="O442" s="1"/>
  <c r="Z441"/>
  <c r="Z442" s="1"/>
  <c r="Q441"/>
  <c r="Q442" s="1"/>
  <c r="V441"/>
  <c r="V442" s="1"/>
  <c r="M441"/>
  <c r="M442" s="1"/>
  <c r="X441"/>
  <c r="X442" s="1"/>
  <c r="N441"/>
  <c r="N442" s="1"/>
  <c r="W441"/>
  <c r="W442" s="1"/>
  <c r="G441"/>
  <c r="T441"/>
  <c r="T442" s="1"/>
  <c r="L441"/>
  <c r="L442" s="1"/>
  <c r="S441"/>
  <c r="S442" s="1"/>
  <c r="Y441"/>
  <c r="Y442" s="1"/>
  <c r="P441"/>
  <c r="P442" s="1"/>
  <c r="J441"/>
  <c r="J442" s="1"/>
  <c r="R441"/>
  <c r="R442" s="1"/>
  <c r="I441"/>
  <c r="I442" s="1"/>
  <c r="H441"/>
  <c r="H442" s="1"/>
  <c r="K441"/>
  <c r="K442" s="1"/>
  <c r="U441"/>
  <c r="U442" s="1"/>
  <c r="N383"/>
  <c r="O383"/>
  <c r="S383"/>
  <c r="S384" s="1"/>
  <c r="Y383"/>
  <c r="Y384" s="1"/>
  <c r="J383"/>
  <c r="P383"/>
  <c r="Q383"/>
  <c r="X383"/>
  <c r="X384" s="1"/>
  <c r="G383"/>
  <c r="R383"/>
  <c r="R384" s="1"/>
  <c r="V383"/>
  <c r="V384" s="1"/>
  <c r="W383"/>
  <c r="W384" s="1"/>
  <c r="M383"/>
  <c r="L383"/>
  <c r="L384" s="1"/>
  <c r="T383"/>
  <c r="Z383"/>
  <c r="Z384" s="1"/>
  <c r="I383"/>
  <c r="I384" s="1"/>
  <c r="H383"/>
  <c r="K383"/>
  <c r="U383"/>
  <c r="AA651" i="1"/>
  <c r="AA12"/>
  <c r="AA13"/>
  <c r="AA104"/>
  <c r="AA10"/>
  <c r="AA63"/>
  <c r="AA60"/>
  <c r="AA62"/>
  <c r="AA136"/>
  <c r="AA138" s="1"/>
  <c r="AA105"/>
  <c r="AA77"/>
  <c r="AA79" s="1"/>
  <c r="AA96" s="1"/>
  <c r="AA11"/>
  <c r="AA9"/>
  <c r="AB652"/>
  <c r="AB482"/>
  <c r="AB637" s="1"/>
  <c r="AB474" s="1"/>
  <c r="AB484" s="1"/>
  <c r="AB257"/>
  <c r="AB76"/>
  <c r="AB271"/>
  <c r="AB576"/>
  <c r="AB64"/>
  <c r="AB585"/>
  <c r="AB103"/>
  <c r="AB256"/>
  <c r="AB463"/>
  <c r="AB254"/>
  <c r="AB593"/>
  <c r="AB462"/>
  <c r="AB67"/>
  <c r="AB135"/>
  <c r="AB255"/>
  <c r="J804" i="2"/>
  <c r="J808"/>
  <c r="J803"/>
  <c r="J831"/>
  <c r="L785"/>
  <c r="W785"/>
  <c r="N140" i="1"/>
  <c r="N785" i="2"/>
  <c r="AA665" i="1"/>
  <c r="AA263"/>
  <c r="AA273" s="1"/>
  <c r="H261" i="2"/>
  <c r="L261"/>
  <c r="V261"/>
  <c r="S261"/>
  <c r="X261"/>
  <c r="G261"/>
  <c r="J261"/>
  <c r="O261"/>
  <c r="R261"/>
  <c r="W261"/>
  <c r="I261"/>
  <c r="N261"/>
  <c r="Q261"/>
  <c r="U261"/>
  <c r="Z261"/>
  <c r="K261"/>
  <c r="M261"/>
  <c r="P261"/>
  <c r="T261"/>
  <c r="Y261"/>
  <c r="R808"/>
  <c r="R831"/>
  <c r="R804"/>
  <c r="R803"/>
  <c r="AC48" i="1"/>
  <c r="AC584"/>
  <c r="AC442"/>
  <c r="AC134"/>
  <c r="AC476"/>
  <c r="AC102"/>
  <c r="AC270"/>
  <c r="Y279"/>
  <c r="F384" i="2"/>
  <c r="Z490" i="1"/>
  <c r="L666" i="2" l="1"/>
  <c r="AA892"/>
  <c r="AB892" s="1"/>
  <c r="G965"/>
  <c r="AA322"/>
  <c r="AB322" s="1"/>
  <c r="N384"/>
  <c r="T384"/>
  <c r="K384"/>
  <c r="O384"/>
  <c r="P384"/>
  <c r="AD35" i="1"/>
  <c r="G703" i="2"/>
  <c r="D42" i="14" s="1"/>
  <c r="E42" s="1"/>
  <c r="K42" s="1"/>
  <c r="L42" s="1"/>
  <c r="AC50" i="1"/>
  <c r="AD653"/>
  <c r="W94" i="2"/>
  <c r="AA204"/>
  <c r="AB204" s="1"/>
  <c r="G94"/>
  <c r="N551"/>
  <c r="Z94"/>
  <c r="Q94"/>
  <c r="N94"/>
  <c r="Y94"/>
  <c r="U94"/>
  <c r="M94"/>
  <c r="X94"/>
  <c r="O94"/>
  <c r="R94"/>
  <c r="T94"/>
  <c r="L94"/>
  <c r="U609"/>
  <c r="N609"/>
  <c r="I666"/>
  <c r="Q551"/>
  <c r="O609"/>
  <c r="S609"/>
  <c r="H205"/>
  <c r="Q205"/>
  <c r="R205"/>
  <c r="S205"/>
  <c r="Y205"/>
  <c r="U205"/>
  <c r="S94"/>
  <c r="V94"/>
  <c r="O205"/>
  <c r="Y666"/>
  <c r="W666"/>
  <c r="O666"/>
  <c r="J94"/>
  <c r="I94"/>
  <c r="T205"/>
  <c r="Z205"/>
  <c r="K205"/>
  <c r="M205"/>
  <c r="J205"/>
  <c r="N205"/>
  <c r="W205"/>
  <c r="G205"/>
  <c r="L205"/>
  <c r="T609"/>
  <c r="V205"/>
  <c r="X205"/>
  <c r="M609"/>
  <c r="X609"/>
  <c r="X666"/>
  <c r="V610" i="1"/>
  <c r="P551" i="2"/>
  <c r="W609"/>
  <c r="Z609"/>
  <c r="G609"/>
  <c r="R609"/>
  <c r="H94"/>
  <c r="F206"/>
  <c r="G206" s="1"/>
  <c r="AA92"/>
  <c r="AB92" s="1"/>
  <c r="V609"/>
  <c r="Q666"/>
  <c r="L609"/>
  <c r="AA35"/>
  <c r="AB35" s="1"/>
  <c r="K666"/>
  <c r="Q609"/>
  <c r="K609"/>
  <c r="P666"/>
  <c r="AA607"/>
  <c r="AB607" s="1"/>
  <c r="H551"/>
  <c r="S666"/>
  <c r="T551"/>
  <c r="Z551"/>
  <c r="P609"/>
  <c r="Y609"/>
  <c r="G551"/>
  <c r="I609"/>
  <c r="AB239" i="1"/>
  <c r="J666" i="2"/>
  <c r="M551"/>
  <c r="AA608"/>
  <c r="AB608" s="1"/>
  <c r="AA93"/>
  <c r="AB93" s="1"/>
  <c r="X551"/>
  <c r="K94"/>
  <c r="O494"/>
  <c r="F264"/>
  <c r="N264" s="1"/>
  <c r="R551"/>
  <c r="W551"/>
  <c r="I551"/>
  <c r="R494"/>
  <c r="K551"/>
  <c r="P148"/>
  <c r="R148"/>
  <c r="J148"/>
  <c r="T148"/>
  <c r="W148"/>
  <c r="Y148"/>
  <c r="H148"/>
  <c r="Q148"/>
  <c r="M148"/>
  <c r="U148"/>
  <c r="N148"/>
  <c r="X148"/>
  <c r="G148"/>
  <c r="Z148"/>
  <c r="I148"/>
  <c r="S148"/>
  <c r="L148"/>
  <c r="O148"/>
  <c r="K148"/>
  <c r="V148"/>
  <c r="M666"/>
  <c r="V666"/>
  <c r="U551"/>
  <c r="L551"/>
  <c r="H666"/>
  <c r="AA664"/>
  <c r="AB664" s="1"/>
  <c r="T666"/>
  <c r="U666"/>
  <c r="W119" i="1"/>
  <c r="W122" s="1"/>
  <c r="L262" i="2"/>
  <c r="H262"/>
  <c r="G262"/>
  <c r="M262"/>
  <c r="K262"/>
  <c r="V262"/>
  <c r="W262"/>
  <c r="O262"/>
  <c r="T262"/>
  <c r="U262"/>
  <c r="J262"/>
  <c r="P262"/>
  <c r="R262"/>
  <c r="N262"/>
  <c r="S262"/>
  <c r="Y262"/>
  <c r="X262"/>
  <c r="Z262"/>
  <c r="I262"/>
  <c r="Q262"/>
  <c r="K494"/>
  <c r="W542" i="1"/>
  <c r="R666" i="2"/>
  <c r="U263"/>
  <c r="J263"/>
  <c r="V551"/>
  <c r="AA550"/>
  <c r="AB550" s="1"/>
  <c r="V112" i="1"/>
  <c r="V116" s="1"/>
  <c r="V140" s="1"/>
  <c r="F149" i="2" s="1"/>
  <c r="Q149" s="1"/>
  <c r="G666"/>
  <c r="Y551"/>
  <c r="S263"/>
  <c r="AB77" i="1"/>
  <c r="AB79" s="1"/>
  <c r="AB96" s="1"/>
  <c r="AA665" i="2"/>
  <c r="AB665" s="1"/>
  <c r="O551"/>
  <c r="AA549"/>
  <c r="AB549" s="1"/>
  <c r="I263"/>
  <c r="F207"/>
  <c r="K263"/>
  <c r="Z494"/>
  <c r="W610" i="1"/>
  <c r="G263" i="2"/>
  <c r="AB104" i="1"/>
  <c r="AB105"/>
  <c r="AB9"/>
  <c r="AD456"/>
  <c r="M263" i="2"/>
  <c r="V263"/>
  <c r="AB62" i="1"/>
  <c r="AB136"/>
  <c r="AB138" s="1"/>
  <c r="H263" i="2"/>
  <c r="R263"/>
  <c r="AB63" i="1"/>
  <c r="AB12"/>
  <c r="Y263" i="2"/>
  <c r="T263"/>
  <c r="AB10" i="1"/>
  <c r="AB651"/>
  <c r="W263" i="2"/>
  <c r="Q263"/>
  <c r="AB11" i="1"/>
  <c r="Z263" i="2"/>
  <c r="P263"/>
  <c r="O263"/>
  <c r="AB60" i="1"/>
  <c r="AB577" s="1"/>
  <c r="AC404"/>
  <c r="X263" i="2"/>
  <c r="N263"/>
  <c r="AB229" i="1"/>
  <c r="AB230"/>
  <c r="U494" i="2"/>
  <c r="AB236" i="1"/>
  <c r="AB235"/>
  <c r="AB234"/>
  <c r="AB226"/>
  <c r="AA490"/>
  <c r="AA516" s="1"/>
  <c r="AB227"/>
  <c r="AB663"/>
  <c r="AB233"/>
  <c r="AB228"/>
  <c r="J494" i="2"/>
  <c r="M494"/>
  <c r="P494"/>
  <c r="H494"/>
  <c r="AD458" i="1"/>
  <c r="AD480"/>
  <c r="AD475"/>
  <c r="AD643"/>
  <c r="AD214" s="1"/>
  <c r="AB166"/>
  <c r="AD266"/>
  <c r="AC660"/>
  <c r="T494" i="2"/>
  <c r="AD264" i="1"/>
  <c r="AD479"/>
  <c r="I494" i="2"/>
  <c r="AC658" i="1"/>
  <c r="X494" i="2"/>
  <c r="AA223" i="1"/>
  <c r="AD584"/>
  <c r="AD443"/>
  <c r="AC208"/>
  <c r="AD232"/>
  <c r="AD442"/>
  <c r="AC662"/>
  <c r="AD592"/>
  <c r="AD440"/>
  <c r="AC425"/>
  <c r="AD447"/>
  <c r="AD102"/>
  <c r="AD575"/>
  <c r="L494" i="2"/>
  <c r="Q494"/>
  <c r="Y494"/>
  <c r="N494"/>
  <c r="AA241" i="1"/>
  <c r="AD444"/>
  <c r="AD250"/>
  <c r="AD478"/>
  <c r="Z277"/>
  <c r="Z279"/>
  <c r="Z308" s="1"/>
  <c r="AD454"/>
  <c r="AD445"/>
  <c r="AD448"/>
  <c r="AD231"/>
  <c r="AD265"/>
  <c r="AD269"/>
  <c r="V494" i="2"/>
  <c r="AD455" i="1"/>
  <c r="W494" i="2"/>
  <c r="AD457" i="1"/>
  <c r="AD247"/>
  <c r="AD134"/>
  <c r="AC450"/>
  <c r="AC663" s="1"/>
  <c r="AD574"/>
  <c r="AD476"/>
  <c r="AD238"/>
  <c r="AB221"/>
  <c r="AB636"/>
  <c r="AB453" s="1"/>
  <c r="AB465" s="1"/>
  <c r="AB246" s="1"/>
  <c r="AB259" s="1"/>
  <c r="AD252"/>
  <c r="AA107"/>
  <c r="Z130"/>
  <c r="Z516"/>
  <c r="Y308"/>
  <c r="AB665"/>
  <c r="AB263"/>
  <c r="AB273" s="1"/>
  <c r="AA667"/>
  <c r="AA535"/>
  <c r="AA329"/>
  <c r="AA577"/>
  <c r="AA594"/>
  <c r="AA596" s="1"/>
  <c r="F448" i="2" s="1"/>
  <c r="AA328" i="1"/>
  <c r="AA586"/>
  <c r="AA588" s="1"/>
  <c r="F391" i="2" s="1"/>
  <c r="AA536" i="1"/>
  <c r="AA383" i="2"/>
  <c r="AB383" s="1"/>
  <c r="Y1084"/>
  <c r="Y1088"/>
  <c r="Y1089" s="1"/>
  <c r="W1088"/>
  <c r="W1089" s="1"/>
  <c r="V1084"/>
  <c r="W1084"/>
  <c r="V1088"/>
  <c r="V1089" s="1"/>
  <c r="X1084"/>
  <c r="X1088"/>
  <c r="X1089" s="1"/>
  <c r="Z1088"/>
  <c r="Z1089" s="1"/>
  <c r="Z1084"/>
  <c r="O1084"/>
  <c r="O1088"/>
  <c r="O1089" s="1"/>
  <c r="P131"/>
  <c r="P1088" s="1"/>
  <c r="P1089" s="1"/>
  <c r="U131"/>
  <c r="U1084" s="1"/>
  <c r="R131"/>
  <c r="R1088" s="1"/>
  <c r="R1089" s="1"/>
  <c r="L131"/>
  <c r="Q131"/>
  <c r="AA129"/>
  <c r="AB129" s="1"/>
  <c r="AA359"/>
  <c r="AB359" s="1"/>
  <c r="AA531"/>
  <c r="AB531" s="1"/>
  <c r="AA245"/>
  <c r="AB245" s="1"/>
  <c r="AA474"/>
  <c r="AB474" s="1"/>
  <c r="AA664" i="1"/>
  <c r="AA246"/>
  <c r="AA259" s="1"/>
  <c r="AA275" s="1"/>
  <c r="AC668"/>
  <c r="AC571"/>
  <c r="AC573"/>
  <c r="AC572"/>
  <c r="Y655"/>
  <c r="Y95"/>
  <c r="Y98" s="1"/>
  <c r="Y81"/>
  <c r="Y114"/>
  <c r="Y125"/>
  <c r="Y126"/>
  <c r="F39" i="2"/>
  <c r="F40" s="1"/>
  <c r="Y128" i="1"/>
  <c r="Y127"/>
  <c r="Y113"/>
  <c r="G802" i="2"/>
  <c r="AA802" s="1"/>
  <c r="AB802" s="1"/>
  <c r="G807"/>
  <c r="AA807" s="1"/>
  <c r="AB807" s="1"/>
  <c r="G799"/>
  <c r="G29" i="14"/>
  <c r="AA365" i="2"/>
  <c r="AB365" s="1"/>
  <c r="G28" i="14"/>
  <c r="AA308" i="2"/>
  <c r="AB308" s="1"/>
  <c r="AA15"/>
  <c r="AB15" s="1"/>
  <c r="G831"/>
  <c r="G808"/>
  <c r="AA808" s="1"/>
  <c r="AB808" s="1"/>
  <c r="G803"/>
  <c r="AA803" s="1"/>
  <c r="AB803" s="1"/>
  <c r="G804"/>
  <c r="AA804" s="1"/>
  <c r="AB804" s="1"/>
  <c r="J38"/>
  <c r="S38"/>
  <c r="Y38"/>
  <c r="N38"/>
  <c r="X38"/>
  <c r="L38"/>
  <c r="V38"/>
  <c r="H38"/>
  <c r="Q38"/>
  <c r="W38"/>
  <c r="G38"/>
  <c r="M38"/>
  <c r="U38"/>
  <c r="K38"/>
  <c r="T38"/>
  <c r="I38"/>
  <c r="P38"/>
  <c r="Z38"/>
  <c r="O38"/>
  <c r="R38"/>
  <c r="X109" i="1"/>
  <c r="F97" i="2" s="1"/>
  <c r="X324" i="1"/>
  <c r="X321"/>
  <c r="X529"/>
  <c r="X325"/>
  <c r="X600"/>
  <c r="F554" i="2" s="1"/>
  <c r="X602" i="1"/>
  <c r="F612" i="2" s="1"/>
  <c r="X604" i="1"/>
  <c r="F669" i="2" s="1"/>
  <c r="X532" i="1"/>
  <c r="X606"/>
  <c r="X598"/>
  <c r="W654"/>
  <c r="W112"/>
  <c r="W116" s="1"/>
  <c r="AA15"/>
  <c r="AA441" i="2"/>
  <c r="AB441" s="1"/>
  <c r="AD459" i="1"/>
  <c r="AD29"/>
  <c r="AD423"/>
  <c r="AD635"/>
  <c r="AD396" s="1"/>
  <c r="AD402" s="1"/>
  <c r="AD640"/>
  <c r="AD123" s="1"/>
  <c r="AD514"/>
  <c r="AD499"/>
  <c r="AD270"/>
  <c r="AD446"/>
  <c r="AD415"/>
  <c r="AD634"/>
  <c r="AD386" s="1"/>
  <c r="AD393" s="1"/>
  <c r="AD291"/>
  <c r="G384" i="2"/>
  <c r="M384"/>
  <c r="G131"/>
  <c r="G1084" s="1"/>
  <c r="S494"/>
  <c r="AA387"/>
  <c r="AB387" s="1"/>
  <c r="AB427" i="1"/>
  <c r="AA445" i="2"/>
  <c r="AB445" s="1"/>
  <c r="J147"/>
  <c r="P147"/>
  <c r="R147"/>
  <c r="T147"/>
  <c r="Z147"/>
  <c r="I147"/>
  <c r="N147"/>
  <c r="Q147"/>
  <c r="S147"/>
  <c r="Y147"/>
  <c r="H147"/>
  <c r="L147"/>
  <c r="O147"/>
  <c r="V147"/>
  <c r="X147"/>
  <c r="G147"/>
  <c r="K147"/>
  <c r="M147"/>
  <c r="U147"/>
  <c r="W147"/>
  <c r="AC652" i="1"/>
  <c r="AC482"/>
  <c r="AC637" s="1"/>
  <c r="AC474" s="1"/>
  <c r="AC484" s="1"/>
  <c r="AC254"/>
  <c r="AC255"/>
  <c r="AC135"/>
  <c r="AC576"/>
  <c r="AC64"/>
  <c r="AC257"/>
  <c r="AC585"/>
  <c r="AC463"/>
  <c r="AC593"/>
  <c r="AC256"/>
  <c r="AC462"/>
  <c r="AC67"/>
  <c r="AC76"/>
  <c r="AC103"/>
  <c r="AC271"/>
  <c r="AA261" i="2"/>
  <c r="AB261" s="1"/>
  <c r="F134"/>
  <c r="U384"/>
  <c r="J131"/>
  <c r="J1088" s="1"/>
  <c r="J1089" s="1"/>
  <c r="K131"/>
  <c r="K1084" s="1"/>
  <c r="S131"/>
  <c r="S1084" s="1"/>
  <c r="N131"/>
  <c r="N1088" s="1"/>
  <c r="N1089" s="1"/>
  <c r="I131"/>
  <c r="I1084" s="1"/>
  <c r="T131"/>
  <c r="T1084" s="1"/>
  <c r="M131"/>
  <c r="M1088" s="1"/>
  <c r="M1089" s="1"/>
  <c r="H131"/>
  <c r="H1084" s="1"/>
  <c r="AA646"/>
  <c r="AB646" s="1"/>
  <c r="AA188"/>
  <c r="AB188" s="1"/>
  <c r="AA74"/>
  <c r="AB74" s="1"/>
  <c r="AE368" i="1"/>
  <c r="AF368" s="1"/>
  <c r="AG368" s="1"/>
  <c r="AE288"/>
  <c r="AF288" s="1"/>
  <c r="AG288" s="1"/>
  <c r="AE418"/>
  <c r="AE387"/>
  <c r="AE253"/>
  <c r="AF253" s="1"/>
  <c r="AG253" s="1"/>
  <c r="AE162"/>
  <c r="AF162" s="1"/>
  <c r="AG162" s="1"/>
  <c r="AE409"/>
  <c r="AE289"/>
  <c r="AF289" s="1"/>
  <c r="AG289" s="1"/>
  <c r="AE219"/>
  <c r="AF219" s="1"/>
  <c r="AG219" s="1"/>
  <c r="AE287"/>
  <c r="AF287" s="1"/>
  <c r="AG287" s="1"/>
  <c r="AE591"/>
  <c r="AE420"/>
  <c r="AF420" s="1"/>
  <c r="AG420" s="1"/>
  <c r="AE503"/>
  <c r="AF503" s="1"/>
  <c r="AG503" s="1"/>
  <c r="AE45"/>
  <c r="AF45" s="1"/>
  <c r="AG45" s="1"/>
  <c r="AE512"/>
  <c r="AF512" s="1"/>
  <c r="AG512" s="1"/>
  <c r="AE505"/>
  <c r="AF505" s="1"/>
  <c r="AG505" s="1"/>
  <c r="AF2"/>
  <c r="AG2" s="1"/>
  <c r="AE66"/>
  <c r="AF66" s="1"/>
  <c r="AG66" s="1"/>
  <c r="AE42"/>
  <c r="AF42" s="1"/>
  <c r="AG42" s="1"/>
  <c r="AE295"/>
  <c r="AF295" s="1"/>
  <c r="AG295" s="1"/>
  <c r="AE511"/>
  <c r="AF511" s="1"/>
  <c r="AG511" s="1"/>
  <c r="AE376"/>
  <c r="AE74"/>
  <c r="AE497"/>
  <c r="AF497" s="1"/>
  <c r="AG497" s="1"/>
  <c r="AE507"/>
  <c r="AF507" s="1"/>
  <c r="AG507" s="1"/>
  <c r="AE495"/>
  <c r="AF495" s="1"/>
  <c r="AG495" s="1"/>
  <c r="AE133"/>
  <c r="AE286"/>
  <c r="AF286" s="1"/>
  <c r="AG286" s="1"/>
  <c r="AE460"/>
  <c r="AF460" s="1"/>
  <c r="AG460" s="1"/>
  <c r="AE147"/>
  <c r="AF147" s="1"/>
  <c r="AG147" s="1"/>
  <c r="AE171"/>
  <c r="AF171" s="1"/>
  <c r="AG171" s="1"/>
  <c r="AE148"/>
  <c r="AF148" s="1"/>
  <c r="AG148" s="1"/>
  <c r="AE39"/>
  <c r="AE477" s="1"/>
  <c r="AF477" s="1"/>
  <c r="AG477" s="1"/>
  <c r="AE38"/>
  <c r="AE247" s="1"/>
  <c r="AE367"/>
  <c r="AF367" s="1"/>
  <c r="AG367" s="1"/>
  <c r="AE159"/>
  <c r="AF159" s="1"/>
  <c r="AG159" s="1"/>
  <c r="AE504"/>
  <c r="AF504" s="1"/>
  <c r="AG504" s="1"/>
  <c r="AE298"/>
  <c r="AF298" s="1"/>
  <c r="AG298" s="1"/>
  <c r="AE44"/>
  <c r="AF44" s="1"/>
  <c r="AG44" s="1"/>
  <c r="AE149"/>
  <c r="AF149" s="1"/>
  <c r="AG149" s="1"/>
  <c r="AE413"/>
  <c r="AF413" s="1"/>
  <c r="AG413" s="1"/>
  <c r="AE583"/>
  <c r="AE419"/>
  <c r="AF419" s="1"/>
  <c r="AG419" s="1"/>
  <c r="AE301"/>
  <c r="AF301" s="1"/>
  <c r="AG301" s="1"/>
  <c r="AE398"/>
  <c r="AF398" s="1"/>
  <c r="AG398" s="1"/>
  <c r="AE151"/>
  <c r="AF151" s="1"/>
  <c r="AG151" s="1"/>
  <c r="AE494"/>
  <c r="AF494" s="1"/>
  <c r="AG494" s="1"/>
  <c r="AE388"/>
  <c r="AF388" s="1"/>
  <c r="AG388" s="1"/>
  <c r="AE217"/>
  <c r="AF217" s="1"/>
  <c r="AG217" s="1"/>
  <c r="AE173"/>
  <c r="AF173" s="1"/>
  <c r="AG173" s="1"/>
  <c r="AE296"/>
  <c r="AF296" s="1"/>
  <c r="AG296" s="1"/>
  <c r="AE397"/>
  <c r="AE193"/>
  <c r="AF193" s="1"/>
  <c r="AG193" s="1"/>
  <c r="AE431"/>
  <c r="AF431" s="1"/>
  <c r="AG431" s="1"/>
  <c r="AE506"/>
  <c r="AF506" s="1"/>
  <c r="AG506" s="1"/>
  <c r="AE377"/>
  <c r="AF377" s="1"/>
  <c r="AG377" s="1"/>
  <c r="AE365"/>
  <c r="AE299"/>
  <c r="AF299" s="1"/>
  <c r="AG299" s="1"/>
  <c r="AE285"/>
  <c r="AE496"/>
  <c r="AF496" s="1"/>
  <c r="AG496" s="1"/>
  <c r="AE161"/>
  <c r="AF161" s="1"/>
  <c r="AG161" s="1"/>
  <c r="AE304"/>
  <c r="AF304" s="1"/>
  <c r="AG304" s="1"/>
  <c r="AE41"/>
  <c r="AF41" s="1"/>
  <c r="AG41" s="1"/>
  <c r="AE410"/>
  <c r="AF410" s="1"/>
  <c r="AG410" s="1"/>
  <c r="AE432"/>
  <c r="AF432" s="1"/>
  <c r="AG432" s="1"/>
  <c r="AE493"/>
  <c r="AE191"/>
  <c r="AF191" s="1"/>
  <c r="AG191" s="1"/>
  <c r="AE411"/>
  <c r="AF411" s="1"/>
  <c r="AG411" s="1"/>
  <c r="AE390"/>
  <c r="AF390" s="1"/>
  <c r="AG390" s="1"/>
  <c r="AE101"/>
  <c r="AE65"/>
  <c r="AF65" s="1"/>
  <c r="AG65" s="1"/>
  <c r="AE40"/>
  <c r="AF40" s="1"/>
  <c r="AG40" s="1"/>
  <c r="AE192"/>
  <c r="AF192" s="1"/>
  <c r="AG192" s="1"/>
  <c r="AE160"/>
  <c r="AF160" s="1"/>
  <c r="AG160" s="1"/>
  <c r="AE202"/>
  <c r="AF202" s="1"/>
  <c r="AG202" s="1"/>
  <c r="AE294"/>
  <c r="AE170"/>
  <c r="AF170" s="1"/>
  <c r="AG170" s="1"/>
  <c r="AE19"/>
  <c r="AE115"/>
  <c r="AF115" s="1"/>
  <c r="AG115" s="1"/>
  <c r="AE183"/>
  <c r="AF183" s="1"/>
  <c r="AG183" s="1"/>
  <c r="AE369"/>
  <c r="AF369" s="1"/>
  <c r="AG369" s="1"/>
  <c r="AE642"/>
  <c r="AF642" s="1"/>
  <c r="AG642" s="1"/>
  <c r="AE204"/>
  <c r="AF204" s="1"/>
  <c r="AG204" s="1"/>
  <c r="AE23"/>
  <c r="AF23" s="1"/>
  <c r="AG23" s="1"/>
  <c r="AE180"/>
  <c r="AF180" s="1"/>
  <c r="AG180" s="1"/>
  <c r="AE182"/>
  <c r="AF182" s="1"/>
  <c r="AG182" s="1"/>
  <c r="AE174"/>
  <c r="AF174" s="1"/>
  <c r="AG174" s="1"/>
  <c r="AE303"/>
  <c r="AF303" s="1"/>
  <c r="AG303" s="1"/>
  <c r="AE370"/>
  <c r="AF370" s="1"/>
  <c r="AG370" s="1"/>
  <c r="AE43"/>
  <c r="AF43" s="1"/>
  <c r="AG43" s="1"/>
  <c r="AE421"/>
  <c r="AF421" s="1"/>
  <c r="AG421" s="1"/>
  <c r="AE218"/>
  <c r="AF218" s="1"/>
  <c r="AG218" s="1"/>
  <c r="AE181"/>
  <c r="AF181" s="1"/>
  <c r="AG181" s="1"/>
  <c r="AE152"/>
  <c r="AF152" s="1"/>
  <c r="AG152" s="1"/>
  <c r="AE510"/>
  <c r="AF510" s="1"/>
  <c r="AG510" s="1"/>
  <c r="AE75"/>
  <c r="AF75" s="1"/>
  <c r="AG75" s="1"/>
  <c r="AE391"/>
  <c r="AF391" s="1"/>
  <c r="AG391" s="1"/>
  <c r="AE172"/>
  <c r="AF172" s="1"/>
  <c r="AG172" s="1"/>
  <c r="AE509"/>
  <c r="AF509" s="1"/>
  <c r="AG509" s="1"/>
  <c r="AE33"/>
  <c r="AE35" s="1"/>
  <c r="AE378"/>
  <c r="AF378" s="1"/>
  <c r="AG378" s="1"/>
  <c r="AE302"/>
  <c r="AF302" s="1"/>
  <c r="AG302" s="1"/>
  <c r="AE502"/>
  <c r="AE27"/>
  <c r="AF27" s="1"/>
  <c r="AG27" s="1"/>
  <c r="AE641"/>
  <c r="AE412"/>
  <c r="AF412" s="1"/>
  <c r="AG412" s="1"/>
  <c r="AE366"/>
  <c r="AF366" s="1"/>
  <c r="AG366" s="1"/>
  <c r="AE153"/>
  <c r="AF153" s="1"/>
  <c r="AG153" s="1"/>
  <c r="AE46"/>
  <c r="AF46" s="1"/>
  <c r="AG46" s="1"/>
  <c r="AE400"/>
  <c r="AF400" s="1"/>
  <c r="AG400" s="1"/>
  <c r="AE150"/>
  <c r="AF150" s="1"/>
  <c r="AG150" s="1"/>
  <c r="AE203"/>
  <c r="AF203" s="1"/>
  <c r="AG203" s="1"/>
  <c r="AE194"/>
  <c r="AF194" s="1"/>
  <c r="AG194" s="1"/>
  <c r="AE300"/>
  <c r="AF300" s="1"/>
  <c r="AG300" s="1"/>
  <c r="AE379"/>
  <c r="AF379" s="1"/>
  <c r="AG379" s="1"/>
  <c r="AE297"/>
  <c r="AF297" s="1"/>
  <c r="AG297" s="1"/>
  <c r="AE389"/>
  <c r="AF389" s="1"/>
  <c r="AG389" s="1"/>
  <c r="AE201"/>
  <c r="AE508"/>
  <c r="AF508" s="1"/>
  <c r="AG508" s="1"/>
  <c r="AE399"/>
  <c r="AF399" s="1"/>
  <c r="AG399" s="1"/>
  <c r="F326" i="2"/>
  <c r="F327" s="1"/>
  <c r="AC659" i="1"/>
  <c r="AC158"/>
  <c r="AC164" s="1"/>
  <c r="AC166" s="1"/>
  <c r="AC213"/>
  <c r="AC215"/>
  <c r="AC214"/>
  <c r="AC430"/>
  <c r="AC434" s="1"/>
  <c r="AC216"/>
  <c r="AC661"/>
  <c r="AC179"/>
  <c r="AC185" s="1"/>
  <c r="AC187" s="1"/>
  <c r="I43" i="2"/>
  <c r="V43"/>
  <c r="X43"/>
  <c r="Z43"/>
  <c r="L43"/>
  <c r="W43"/>
  <c r="Y43"/>
  <c r="T43"/>
  <c r="M43"/>
  <c r="U43"/>
  <c r="R43"/>
  <c r="J43"/>
  <c r="S43"/>
  <c r="K43"/>
  <c r="Q43"/>
  <c r="P43"/>
  <c r="O43"/>
  <c r="H43"/>
  <c r="G43"/>
  <c r="N43"/>
  <c r="Z109" i="1"/>
  <c r="F102" i="2" s="1"/>
  <c r="Z321" i="1"/>
  <c r="Z532"/>
  <c r="Z604"/>
  <c r="F674" i="2" s="1"/>
  <c r="Z325" i="1"/>
  <c r="Z529"/>
  <c r="Z606"/>
  <c r="Z324"/>
  <c r="Z600"/>
  <c r="F559" i="2" s="1"/>
  <c r="Z598" i="1"/>
  <c r="Z602"/>
  <c r="F617" i="2" s="1"/>
  <c r="E28" i="14"/>
  <c r="AA302" i="2"/>
  <c r="AB302" s="1"/>
  <c r="G801"/>
  <c r="AA1095"/>
  <c r="AB1095" s="1"/>
  <c r="G785"/>
  <c r="AA785" s="1"/>
  <c r="AB785" s="1"/>
  <c r="AA589"/>
  <c r="AB589" s="1"/>
  <c r="E29" i="14"/>
  <c r="AA417" i="2"/>
  <c r="AB417" s="1"/>
  <c r="G494"/>
  <c r="AA493"/>
  <c r="AB493" s="1"/>
  <c r="I330"/>
  <c r="V330"/>
  <c r="W330"/>
  <c r="Y330"/>
  <c r="L330"/>
  <c r="Z330"/>
  <c r="X330"/>
  <c r="S330"/>
  <c r="K330"/>
  <c r="R330"/>
  <c r="P330"/>
  <c r="O330"/>
  <c r="T330"/>
  <c r="M330"/>
  <c r="U330"/>
  <c r="J330"/>
  <c r="Q330"/>
  <c r="H330"/>
  <c r="G330"/>
  <c r="N330"/>
  <c r="H325"/>
  <c r="O325"/>
  <c r="V325"/>
  <c r="I325"/>
  <c r="R325"/>
  <c r="J325"/>
  <c r="Q325"/>
  <c r="X325"/>
  <c r="K325"/>
  <c r="U325"/>
  <c r="L325"/>
  <c r="S325"/>
  <c r="Y325"/>
  <c r="M325"/>
  <c r="W325"/>
  <c r="N325"/>
  <c r="T325"/>
  <c r="G325"/>
  <c r="P325"/>
  <c r="Z325"/>
  <c r="AD306" i="1"/>
  <c r="AD48"/>
  <c r="AD633"/>
  <c r="AD375" s="1"/>
  <c r="AD381" s="1"/>
  <c r="AD441"/>
  <c r="AD206"/>
  <c r="AD249"/>
  <c r="AD631"/>
  <c r="AD364" s="1"/>
  <c r="AD372" s="1"/>
  <c r="H384" i="2"/>
  <c r="J384"/>
  <c r="Q384"/>
  <c r="G442"/>
  <c r="AA442" s="1"/>
  <c r="AB442" s="1"/>
  <c r="AB187" i="1"/>
  <c r="X130"/>
  <c r="AC383"/>
  <c r="AA492" i="2"/>
  <c r="AB492" s="1"/>
  <c r="D36" i="14" l="1"/>
  <c r="E36" s="1"/>
  <c r="K36" s="1"/>
  <c r="L36" s="1"/>
  <c r="AA965" i="2"/>
  <c r="AB965" s="1"/>
  <c r="AA703"/>
  <c r="AB703" s="1"/>
  <c r="AD50" i="1"/>
  <c r="AE238"/>
  <c r="AF35"/>
  <c r="AG35" s="1"/>
  <c r="S206" i="2"/>
  <c r="H264"/>
  <c r="H265" s="1"/>
  <c r="Z264"/>
  <c r="Z265" s="1"/>
  <c r="S264"/>
  <c r="S265" s="1"/>
  <c r="M206"/>
  <c r="N206"/>
  <c r="H149"/>
  <c r="J149"/>
  <c r="N149"/>
  <c r="Y149"/>
  <c r="K149"/>
  <c r="Z149"/>
  <c r="G149"/>
  <c r="X149"/>
  <c r="V149"/>
  <c r="AA205"/>
  <c r="AB205" s="1"/>
  <c r="J264"/>
  <c r="J265" s="1"/>
  <c r="U206"/>
  <c r="L206"/>
  <c r="K206"/>
  <c r="J206"/>
  <c r="O206"/>
  <c r="H206"/>
  <c r="I206"/>
  <c r="X206"/>
  <c r="R206"/>
  <c r="W206"/>
  <c r="Z206"/>
  <c r="Q206"/>
  <c r="Y206"/>
  <c r="V206"/>
  <c r="F208"/>
  <c r="T206"/>
  <c r="P206"/>
  <c r="AA94"/>
  <c r="AB94" s="1"/>
  <c r="AB328" i="1"/>
  <c r="AB329"/>
  <c r="I264" i="2"/>
  <c r="I265" s="1"/>
  <c r="V264"/>
  <c r="V265" s="1"/>
  <c r="G264"/>
  <c r="G265" s="1"/>
  <c r="Y264"/>
  <c r="Y265" s="1"/>
  <c r="AA609"/>
  <c r="AB609" s="1"/>
  <c r="Q264"/>
  <c r="Q265" s="1"/>
  <c r="W264"/>
  <c r="W265" s="1"/>
  <c r="R264"/>
  <c r="R265" s="1"/>
  <c r="K264"/>
  <c r="K265" s="1"/>
  <c r="X264"/>
  <c r="X265" s="1"/>
  <c r="P264"/>
  <c r="P265" s="1"/>
  <c r="T264"/>
  <c r="T265" s="1"/>
  <c r="AB594" i="1"/>
  <c r="AB596" s="1"/>
  <c r="F451" i="2" s="1"/>
  <c r="G451" s="1"/>
  <c r="U264"/>
  <c r="U265" s="1"/>
  <c r="O264"/>
  <c r="O265" s="1"/>
  <c r="M264"/>
  <c r="M265" s="1"/>
  <c r="AB586" i="1"/>
  <c r="AB588" s="1"/>
  <c r="F394" i="2" s="1"/>
  <c r="P394" s="1"/>
  <c r="AB535" i="1"/>
  <c r="F265" i="2"/>
  <c r="L264"/>
  <c r="L265" s="1"/>
  <c r="AB667" i="1"/>
  <c r="AA148" i="2"/>
  <c r="AB148" s="1"/>
  <c r="AB536" i="1"/>
  <c r="AC229"/>
  <c r="AA551" i="2"/>
  <c r="AB551" s="1"/>
  <c r="AA666"/>
  <c r="AB666" s="1"/>
  <c r="Q207"/>
  <c r="M149"/>
  <c r="O149"/>
  <c r="AB107" i="1"/>
  <c r="H207" i="2"/>
  <c r="R149"/>
  <c r="W149"/>
  <c r="I149"/>
  <c r="AA262"/>
  <c r="AB262" s="1"/>
  <c r="AE478" i="1"/>
  <c r="AF478" s="1"/>
  <c r="AG478" s="1"/>
  <c r="T207" i="2"/>
  <c r="S149"/>
  <c r="T149"/>
  <c r="L207"/>
  <c r="P149"/>
  <c r="U149"/>
  <c r="I207"/>
  <c r="L149"/>
  <c r="AE251" i="1"/>
  <c r="AF251" s="1"/>
  <c r="AG251" s="1"/>
  <c r="U207" i="2"/>
  <c r="V207"/>
  <c r="W207"/>
  <c r="AB210" i="1"/>
  <c r="AB223" s="1"/>
  <c r="AB15"/>
  <c r="AB69" s="1"/>
  <c r="Z207" i="2"/>
  <c r="J207"/>
  <c r="R207"/>
  <c r="AC227" i="1"/>
  <c r="P207" i="2"/>
  <c r="X207"/>
  <c r="M207"/>
  <c r="N207"/>
  <c r="S207"/>
  <c r="K207"/>
  <c r="O207"/>
  <c r="AD215" i="1"/>
  <c r="AE266"/>
  <c r="AF266" s="1"/>
  <c r="AG266" s="1"/>
  <c r="Y207" i="2"/>
  <c r="G207"/>
  <c r="G208" s="1"/>
  <c r="AE461" i="1"/>
  <c r="AF461" s="1"/>
  <c r="AG461" s="1"/>
  <c r="AB241"/>
  <c r="AA263" i="2"/>
  <c r="AB263" s="1"/>
  <c r="AE457" i="1"/>
  <c r="AF457" s="1"/>
  <c r="AG457" s="1"/>
  <c r="AE250"/>
  <c r="AF250" s="1"/>
  <c r="AG250" s="1"/>
  <c r="AC233"/>
  <c r="AE268"/>
  <c r="AF268" s="1"/>
  <c r="AG268" s="1"/>
  <c r="N265" i="2"/>
  <c r="AE269" i="1"/>
  <c r="AF269" s="1"/>
  <c r="AG269" s="1"/>
  <c r="AE456"/>
  <c r="AF456" s="1"/>
  <c r="AG456" s="1"/>
  <c r="AE480"/>
  <c r="AF480" s="1"/>
  <c r="AG480" s="1"/>
  <c r="AE249"/>
  <c r="AF249" s="1"/>
  <c r="AG249" s="1"/>
  <c r="AD213"/>
  <c r="AD216"/>
  <c r="AC226"/>
  <c r="AC427"/>
  <c r="AF238"/>
  <c r="AG238" s="1"/>
  <c r="AC234"/>
  <c r="AD430"/>
  <c r="AD434" s="1"/>
  <c r="AA277"/>
  <c r="AC237"/>
  <c r="AF247"/>
  <c r="AG247" s="1"/>
  <c r="AA279"/>
  <c r="AA308" s="1"/>
  <c r="AE458"/>
  <c r="AF458" s="1"/>
  <c r="AG458" s="1"/>
  <c r="AE267"/>
  <c r="AF267" s="1"/>
  <c r="AG267" s="1"/>
  <c r="AC239"/>
  <c r="AE481"/>
  <c r="AF481" s="1"/>
  <c r="AG481" s="1"/>
  <c r="AC230"/>
  <c r="AC236"/>
  <c r="AC228"/>
  <c r="AC235"/>
  <c r="AE574"/>
  <c r="AF574" s="1"/>
  <c r="AG574" s="1"/>
  <c r="AA494" i="2"/>
  <c r="AB494" s="1"/>
  <c r="AE455" i="1"/>
  <c r="AF455" s="1"/>
  <c r="AG455" s="1"/>
  <c r="AE476"/>
  <c r="AF476" s="1"/>
  <c r="AG476" s="1"/>
  <c r="AE232"/>
  <c r="AF232" s="1"/>
  <c r="AG232" s="1"/>
  <c r="AE446"/>
  <c r="AF446" s="1"/>
  <c r="AG446" s="1"/>
  <c r="AE265"/>
  <c r="AF265" s="1"/>
  <c r="AG265" s="1"/>
  <c r="AE102"/>
  <c r="AF102" s="1"/>
  <c r="AG102" s="1"/>
  <c r="AE448"/>
  <c r="AF448" s="1"/>
  <c r="AG448" s="1"/>
  <c r="AE264"/>
  <c r="AD450"/>
  <c r="AD226" s="1"/>
  <c r="AE252"/>
  <c r="AF252" s="1"/>
  <c r="AG252" s="1"/>
  <c r="AE441"/>
  <c r="AF441" s="1"/>
  <c r="AG441" s="1"/>
  <c r="AE584"/>
  <c r="AF584" s="1"/>
  <c r="AG584" s="1"/>
  <c r="AE248"/>
  <c r="AF248" s="1"/>
  <c r="AG248" s="1"/>
  <c r="AE459"/>
  <c r="AF459" s="1"/>
  <c r="AG459" s="1"/>
  <c r="AE575"/>
  <c r="AF575" s="1"/>
  <c r="AG575" s="1"/>
  <c r="AE479"/>
  <c r="AF479" s="1"/>
  <c r="AG479" s="1"/>
  <c r="AE454"/>
  <c r="AF454" s="1"/>
  <c r="AG454" s="1"/>
  <c r="AE475"/>
  <c r="AF475" s="1"/>
  <c r="AG475" s="1"/>
  <c r="AB664"/>
  <c r="AE270"/>
  <c r="AF270" s="1"/>
  <c r="AG270" s="1"/>
  <c r="AE440"/>
  <c r="AF440" s="1"/>
  <c r="AG440" s="1"/>
  <c r="W1091" i="2"/>
  <c r="AC636" i="1"/>
  <c r="AC453" s="1"/>
  <c r="AC465" s="1"/>
  <c r="AC246" s="1"/>
  <c r="AC259" s="1"/>
  <c r="X538"/>
  <c r="X540" s="1"/>
  <c r="X656" s="1"/>
  <c r="AB486"/>
  <c r="AB488" s="1"/>
  <c r="AB490" s="1"/>
  <c r="AA384" i="2"/>
  <c r="AB384" s="1"/>
  <c r="AA330"/>
  <c r="AB330" s="1"/>
  <c r="O1091"/>
  <c r="Y1091"/>
  <c r="V1091"/>
  <c r="V699" s="1"/>
  <c r="AC665" i="1"/>
  <c r="AC263"/>
  <c r="AC273" s="1"/>
  <c r="AD383"/>
  <c r="AD658"/>
  <c r="AD146"/>
  <c r="AD155" s="1"/>
  <c r="AD659"/>
  <c r="AD158"/>
  <c r="AD164" s="1"/>
  <c r="F502" i="2"/>
  <c r="Z608" i="1"/>
  <c r="I674" i="2"/>
  <c r="V674"/>
  <c r="Z674"/>
  <c r="X674"/>
  <c r="L674"/>
  <c r="Y674"/>
  <c r="W674"/>
  <c r="M674"/>
  <c r="K674"/>
  <c r="U674"/>
  <c r="Q674"/>
  <c r="T674"/>
  <c r="S674"/>
  <c r="R674"/>
  <c r="J674"/>
  <c r="P674"/>
  <c r="O674"/>
  <c r="G674"/>
  <c r="H674"/>
  <c r="N674"/>
  <c r="L102"/>
  <c r="W102"/>
  <c r="Y102"/>
  <c r="I102"/>
  <c r="V102"/>
  <c r="X102"/>
  <c r="Z102"/>
  <c r="S102"/>
  <c r="M102"/>
  <c r="J102"/>
  <c r="Q102"/>
  <c r="P102"/>
  <c r="O102"/>
  <c r="T102"/>
  <c r="K102"/>
  <c r="U102"/>
  <c r="R102"/>
  <c r="H102"/>
  <c r="G102"/>
  <c r="N102"/>
  <c r="L326"/>
  <c r="X326"/>
  <c r="X327" s="1"/>
  <c r="G326"/>
  <c r="G327" s="1"/>
  <c r="Q326"/>
  <c r="Q327" s="1"/>
  <c r="P326"/>
  <c r="W326"/>
  <c r="W327" s="1"/>
  <c r="J326"/>
  <c r="O326"/>
  <c r="S326"/>
  <c r="S327" s="1"/>
  <c r="Z326"/>
  <c r="Z327" s="1"/>
  <c r="N326"/>
  <c r="V326"/>
  <c r="V327" s="1"/>
  <c r="T326"/>
  <c r="Y326"/>
  <c r="Y327" s="1"/>
  <c r="M326"/>
  <c r="M327" s="1"/>
  <c r="R326"/>
  <c r="R327" s="1"/>
  <c r="I326"/>
  <c r="I327" s="1"/>
  <c r="H326"/>
  <c r="K326"/>
  <c r="U326"/>
  <c r="AE206" i="1"/>
  <c r="AF206" s="1"/>
  <c r="AG206" s="1"/>
  <c r="AF201"/>
  <c r="AG201" s="1"/>
  <c r="AE643"/>
  <c r="AF641"/>
  <c r="AG641" s="1"/>
  <c r="AE514"/>
  <c r="AF514" s="1"/>
  <c r="AG514" s="1"/>
  <c r="AF502"/>
  <c r="AG502" s="1"/>
  <c r="AE29"/>
  <c r="AF19"/>
  <c r="AG19" s="1"/>
  <c r="AE291"/>
  <c r="AF291" s="1"/>
  <c r="AG291" s="1"/>
  <c r="AF285"/>
  <c r="AG285" s="1"/>
  <c r="AE631"/>
  <c r="AF365"/>
  <c r="AG365" s="1"/>
  <c r="AE640"/>
  <c r="AF39"/>
  <c r="AG39" s="1"/>
  <c r="AF133"/>
  <c r="AG133" s="1"/>
  <c r="AF74"/>
  <c r="AG74" s="1"/>
  <c r="AF591"/>
  <c r="AG591" s="1"/>
  <c r="AE415"/>
  <c r="AF409"/>
  <c r="AG409" s="1"/>
  <c r="AE423"/>
  <c r="AF423" s="1"/>
  <c r="AG423" s="1"/>
  <c r="AF418"/>
  <c r="AG418" s="1"/>
  <c r="F137" i="2"/>
  <c r="R134"/>
  <c r="Q134"/>
  <c r="N134"/>
  <c r="V134"/>
  <c r="V137" s="1"/>
  <c r="L134"/>
  <c r="Y134"/>
  <c r="Y137" s="1"/>
  <c r="W134"/>
  <c r="W137" s="1"/>
  <c r="U134"/>
  <c r="P134"/>
  <c r="O134"/>
  <c r="O137" s="1"/>
  <c r="H134"/>
  <c r="T134"/>
  <c r="Z134"/>
  <c r="Z137" s="1"/>
  <c r="K134"/>
  <c r="I134"/>
  <c r="S134"/>
  <c r="J134"/>
  <c r="M134"/>
  <c r="X134"/>
  <c r="X137" s="1"/>
  <c r="G134"/>
  <c r="AA666" i="1"/>
  <c r="AA327"/>
  <c r="AA530"/>
  <c r="AA527"/>
  <c r="AA526"/>
  <c r="AA533"/>
  <c r="AA318"/>
  <c r="AA319"/>
  <c r="AA322"/>
  <c r="AA531"/>
  <c r="AA534"/>
  <c r="AA320"/>
  <c r="AA317"/>
  <c r="AA323"/>
  <c r="AA525"/>
  <c r="AA528"/>
  <c r="AA326"/>
  <c r="AD660"/>
  <c r="AD404"/>
  <c r="AD169"/>
  <c r="AD176" s="1"/>
  <c r="AD662"/>
  <c r="AD425"/>
  <c r="AD190"/>
  <c r="AD196" s="1"/>
  <c r="AD208" s="1"/>
  <c r="AD661"/>
  <c r="AD179"/>
  <c r="AD185" s="1"/>
  <c r="AD668"/>
  <c r="AD573"/>
  <c r="AD571"/>
  <c r="AD572"/>
  <c r="AA669"/>
  <c r="AA69"/>
  <c r="AA578"/>
  <c r="AA580" s="1"/>
  <c r="W140"/>
  <c r="F497" i="2"/>
  <c r="X608" i="1"/>
  <c r="L612" i="2"/>
  <c r="V612"/>
  <c r="G612"/>
  <c r="O612"/>
  <c r="W612"/>
  <c r="N612"/>
  <c r="R612"/>
  <c r="I612"/>
  <c r="S612"/>
  <c r="X612"/>
  <c r="H612"/>
  <c r="P612"/>
  <c r="Z612"/>
  <c r="K612"/>
  <c r="U612"/>
  <c r="J612"/>
  <c r="T612"/>
  <c r="Y612"/>
  <c r="M612"/>
  <c r="Q612"/>
  <c r="D33" i="14"/>
  <c r="G33" s="1"/>
  <c r="AA799" i="2"/>
  <c r="AB799" s="1"/>
  <c r="Y109" i="1"/>
  <c r="F98" i="2" s="1"/>
  <c r="F99" s="1"/>
  <c r="Y600" i="1"/>
  <c r="F555" i="2" s="1"/>
  <c r="F556" s="1"/>
  <c r="Y321" i="1"/>
  <c r="Y529"/>
  <c r="Y604"/>
  <c r="F670" i="2" s="1"/>
  <c r="F671" s="1"/>
  <c r="Y598" i="1"/>
  <c r="Y532"/>
  <c r="Y606"/>
  <c r="Y602"/>
  <c r="F613" i="2" s="1"/>
  <c r="Y324" i="1"/>
  <c r="Y325"/>
  <c r="AC651"/>
  <c r="AC77"/>
  <c r="AC79" s="1"/>
  <c r="AC96" s="1"/>
  <c r="AC10"/>
  <c r="AC11"/>
  <c r="AC136"/>
  <c r="AC138" s="1"/>
  <c r="AC60"/>
  <c r="AC105"/>
  <c r="AC104"/>
  <c r="AC63"/>
  <c r="AC12"/>
  <c r="AC62"/>
  <c r="AC13"/>
  <c r="AC9"/>
  <c r="W391" i="2"/>
  <c r="V391"/>
  <c r="Z391"/>
  <c r="X391"/>
  <c r="I391"/>
  <c r="Y391"/>
  <c r="M391"/>
  <c r="L391"/>
  <c r="S391"/>
  <c r="H391"/>
  <c r="Q391"/>
  <c r="K391"/>
  <c r="U391"/>
  <c r="J391"/>
  <c r="P391"/>
  <c r="O391"/>
  <c r="T391"/>
  <c r="R391"/>
  <c r="G391"/>
  <c r="N391"/>
  <c r="M448"/>
  <c r="W448"/>
  <c r="L448"/>
  <c r="X448"/>
  <c r="I448"/>
  <c r="Z448"/>
  <c r="V448"/>
  <c r="Y448"/>
  <c r="S448"/>
  <c r="P448"/>
  <c r="O448"/>
  <c r="T448"/>
  <c r="J448"/>
  <c r="H448"/>
  <c r="Q448"/>
  <c r="K448"/>
  <c r="U448"/>
  <c r="R448"/>
  <c r="N448"/>
  <c r="G448"/>
  <c r="Y657" i="1"/>
  <c r="Y120"/>
  <c r="AA43" i="2"/>
  <c r="AB43" s="1"/>
  <c r="AC210" i="1"/>
  <c r="AE231"/>
  <c r="AF231" s="1"/>
  <c r="AG231" s="1"/>
  <c r="AE134"/>
  <c r="AF134" s="1"/>
  <c r="AG134" s="1"/>
  <c r="AE592"/>
  <c r="AF592" s="1"/>
  <c r="AG592" s="1"/>
  <c r="AE445"/>
  <c r="AF445" s="1"/>
  <c r="AG445" s="1"/>
  <c r="AE447"/>
  <c r="AF447" s="1"/>
  <c r="AG447" s="1"/>
  <c r="X331"/>
  <c r="X333" s="1"/>
  <c r="P1084" i="2"/>
  <c r="P1091" s="1"/>
  <c r="M1084"/>
  <c r="M1091" s="1"/>
  <c r="U1088"/>
  <c r="U1089" s="1"/>
  <c r="U1091" s="1"/>
  <c r="Z1091"/>
  <c r="S1088"/>
  <c r="S1089" s="1"/>
  <c r="S1091" s="1"/>
  <c r="X1091"/>
  <c r="Q1084"/>
  <c r="N1084"/>
  <c r="N1091" s="1"/>
  <c r="AD652" i="1"/>
  <c r="AD256"/>
  <c r="AD64"/>
  <c r="AD257"/>
  <c r="AD255"/>
  <c r="AD463"/>
  <c r="AD482"/>
  <c r="AD637" s="1"/>
  <c r="AD474" s="1"/>
  <c r="AD484" s="1"/>
  <c r="AD271"/>
  <c r="AD76"/>
  <c r="AD135"/>
  <c r="AD67"/>
  <c r="AD254"/>
  <c r="AD576"/>
  <c r="AD593"/>
  <c r="AD585"/>
  <c r="AD103"/>
  <c r="AD462"/>
  <c r="AA325" i="2"/>
  <c r="AB325" s="1"/>
  <c r="H28" i="14"/>
  <c r="D31"/>
  <c r="AA801" i="2"/>
  <c r="AB801" s="1"/>
  <c r="L617"/>
  <c r="W617"/>
  <c r="X617"/>
  <c r="I617"/>
  <c r="V617"/>
  <c r="Y617"/>
  <c r="Z617"/>
  <c r="T617"/>
  <c r="S617"/>
  <c r="U617"/>
  <c r="J617"/>
  <c r="P617"/>
  <c r="O617"/>
  <c r="M617"/>
  <c r="K617"/>
  <c r="R617"/>
  <c r="Q617"/>
  <c r="H617"/>
  <c r="G617"/>
  <c r="N617"/>
  <c r="I559"/>
  <c r="V559"/>
  <c r="Y559"/>
  <c r="Z559"/>
  <c r="L559"/>
  <c r="X559"/>
  <c r="W559"/>
  <c r="T559"/>
  <c r="S559"/>
  <c r="K559"/>
  <c r="U559"/>
  <c r="R559"/>
  <c r="Q559"/>
  <c r="P559"/>
  <c r="M559"/>
  <c r="J559"/>
  <c r="O559"/>
  <c r="H559"/>
  <c r="G559"/>
  <c r="N559"/>
  <c r="AE653" i="1"/>
  <c r="AF653" s="1"/>
  <c r="AG653" s="1"/>
  <c r="AF33"/>
  <c r="AG33" s="1"/>
  <c r="AE306"/>
  <c r="AF306" s="1"/>
  <c r="AG306" s="1"/>
  <c r="AF294"/>
  <c r="AG294" s="1"/>
  <c r="AF101"/>
  <c r="AG101" s="1"/>
  <c r="AE499"/>
  <c r="AF499" s="1"/>
  <c r="AG499" s="1"/>
  <c r="AF493"/>
  <c r="AG493" s="1"/>
  <c r="AE635"/>
  <c r="AF397"/>
  <c r="AG397" s="1"/>
  <c r="AF583"/>
  <c r="AG583" s="1"/>
  <c r="AE48"/>
  <c r="AF38"/>
  <c r="AG38" s="1"/>
  <c r="AE633"/>
  <c r="AF376"/>
  <c r="AG376" s="1"/>
  <c r="AE634"/>
  <c r="AF387"/>
  <c r="AG387" s="1"/>
  <c r="Z657"/>
  <c r="Z120"/>
  <c r="AA147" i="2"/>
  <c r="AB147" s="1"/>
  <c r="AA131"/>
  <c r="AB131" s="1"/>
  <c r="J669"/>
  <c r="R669"/>
  <c r="K669"/>
  <c r="Q669"/>
  <c r="X669"/>
  <c r="L669"/>
  <c r="T669"/>
  <c r="I669"/>
  <c r="P669"/>
  <c r="Z669"/>
  <c r="H669"/>
  <c r="N669"/>
  <c r="W669"/>
  <c r="O669"/>
  <c r="S669"/>
  <c r="G669"/>
  <c r="U669"/>
  <c r="Y669"/>
  <c r="M669"/>
  <c r="V669"/>
  <c r="L554"/>
  <c r="T554"/>
  <c r="J554"/>
  <c r="S554"/>
  <c r="Y554"/>
  <c r="K554"/>
  <c r="U554"/>
  <c r="G554"/>
  <c r="P554"/>
  <c r="Z554"/>
  <c r="H554"/>
  <c r="R554"/>
  <c r="W554"/>
  <c r="M554"/>
  <c r="V554"/>
  <c r="I554"/>
  <c r="O554"/>
  <c r="X554"/>
  <c r="N554"/>
  <c r="Q554"/>
  <c r="N97"/>
  <c r="V97"/>
  <c r="I97"/>
  <c r="S97"/>
  <c r="Z97"/>
  <c r="J97"/>
  <c r="T97"/>
  <c r="W97"/>
  <c r="O97"/>
  <c r="X97"/>
  <c r="H97"/>
  <c r="Q97"/>
  <c r="Y97"/>
  <c r="L97"/>
  <c r="P97"/>
  <c r="G97"/>
  <c r="M97"/>
  <c r="R97"/>
  <c r="K97"/>
  <c r="U97"/>
  <c r="AA38"/>
  <c r="AB38" s="1"/>
  <c r="AA831"/>
  <c r="AB831" s="1"/>
  <c r="O39"/>
  <c r="O40" s="1"/>
  <c r="Q39"/>
  <c r="Q40" s="1"/>
  <c r="V39"/>
  <c r="V40" s="1"/>
  <c r="G39"/>
  <c r="M39"/>
  <c r="M40" s="1"/>
  <c r="T39"/>
  <c r="T40" s="1"/>
  <c r="X39"/>
  <c r="X40" s="1"/>
  <c r="Z39"/>
  <c r="Z40" s="1"/>
  <c r="N39"/>
  <c r="N40" s="1"/>
  <c r="P39"/>
  <c r="P40" s="1"/>
  <c r="S39"/>
  <c r="S40" s="1"/>
  <c r="J39"/>
  <c r="J40" s="1"/>
  <c r="L39"/>
  <c r="L40" s="1"/>
  <c r="R39"/>
  <c r="R40" s="1"/>
  <c r="W39"/>
  <c r="W40" s="1"/>
  <c r="Y39"/>
  <c r="Y40" s="1"/>
  <c r="I39"/>
  <c r="I40" s="1"/>
  <c r="H39"/>
  <c r="H40" s="1"/>
  <c r="K39"/>
  <c r="K40" s="1"/>
  <c r="U39"/>
  <c r="U40" s="1"/>
  <c r="Z666" i="1"/>
  <c r="Z527"/>
  <c r="Z533"/>
  <c r="Z327"/>
  <c r="Z525"/>
  <c r="Z318"/>
  <c r="Z323"/>
  <c r="Z317"/>
  <c r="Z531"/>
  <c r="Z528"/>
  <c r="Z326"/>
  <c r="Z534"/>
  <c r="Z319"/>
  <c r="Z530"/>
  <c r="Z322"/>
  <c r="Z320"/>
  <c r="Z526"/>
  <c r="AC221"/>
  <c r="AE442"/>
  <c r="AF442" s="1"/>
  <c r="AG442" s="1"/>
  <c r="AE443"/>
  <c r="AF443" s="1"/>
  <c r="AG443" s="1"/>
  <c r="AE444"/>
  <c r="AF444" s="1"/>
  <c r="AG444" s="1"/>
  <c r="Y130"/>
  <c r="I1088" i="2"/>
  <c r="I1089" s="1"/>
  <c r="I1091" s="1"/>
  <c r="K1088"/>
  <c r="K1089" s="1"/>
  <c r="K1091" s="1"/>
  <c r="H1088"/>
  <c r="H1089" s="1"/>
  <c r="H1091" s="1"/>
  <c r="J1084"/>
  <c r="J1091" s="1"/>
  <c r="L1088"/>
  <c r="L1089" s="1"/>
  <c r="G1088"/>
  <c r="L1084"/>
  <c r="T1088"/>
  <c r="T1089" s="1"/>
  <c r="T1091" s="1"/>
  <c r="Q1088"/>
  <c r="Q1089" s="1"/>
  <c r="R1084"/>
  <c r="R1091" s="1"/>
  <c r="AB275" i="1"/>
  <c r="K33" i="14" l="1"/>
  <c r="L33" s="1"/>
  <c r="E31"/>
  <c r="K31" s="1"/>
  <c r="L31" s="1"/>
  <c r="T327" i="2"/>
  <c r="K327"/>
  <c r="P327"/>
  <c r="H327"/>
  <c r="AE50" i="1"/>
  <c r="S208" i="2"/>
  <c r="K208"/>
  <c r="N208"/>
  <c r="O394"/>
  <c r="I394"/>
  <c r="M208"/>
  <c r="J208"/>
  <c r="Q208"/>
  <c r="V208"/>
  <c r="Z208"/>
  <c r="L208"/>
  <c r="W208"/>
  <c r="R208"/>
  <c r="P208"/>
  <c r="U208"/>
  <c r="V394"/>
  <c r="G394"/>
  <c r="O208"/>
  <c r="X394"/>
  <c r="U394"/>
  <c r="K394"/>
  <c r="H394"/>
  <c r="Y394"/>
  <c r="M394"/>
  <c r="Z394"/>
  <c r="J394"/>
  <c r="S394"/>
  <c r="W394"/>
  <c r="Q394"/>
  <c r="T394"/>
  <c r="N394"/>
  <c r="R394"/>
  <c r="L394"/>
  <c r="Y208"/>
  <c r="H208"/>
  <c r="AA206"/>
  <c r="AB206" s="1"/>
  <c r="I208"/>
  <c r="T208"/>
  <c r="X208"/>
  <c r="AB277" i="1"/>
  <c r="AD233"/>
  <c r="AD663"/>
  <c r="Q451" i="2"/>
  <c r="AA264"/>
  <c r="AB264" s="1"/>
  <c r="P451"/>
  <c r="V451"/>
  <c r="T451"/>
  <c r="M451"/>
  <c r="S451"/>
  <c r="N451"/>
  <c r="Z451"/>
  <c r="J451"/>
  <c r="O451"/>
  <c r="L451"/>
  <c r="W451"/>
  <c r="H451"/>
  <c r="K451"/>
  <c r="U451"/>
  <c r="X451"/>
  <c r="I451"/>
  <c r="R451"/>
  <c r="Y451"/>
  <c r="AD221" i="1"/>
  <c r="AA149" i="2"/>
  <c r="AB149" s="1"/>
  <c r="Y699"/>
  <c r="AA207"/>
  <c r="AB207" s="1"/>
  <c r="AB578" i="1"/>
  <c r="AB580" s="1"/>
  <c r="F336" i="2" s="1"/>
  <c r="AB669" i="1"/>
  <c r="O699" i="2"/>
  <c r="AC664" i="1"/>
  <c r="AC241"/>
  <c r="AD230"/>
  <c r="AD236"/>
  <c r="AD237"/>
  <c r="AD227"/>
  <c r="AD235"/>
  <c r="AD228"/>
  <c r="F268" i="2"/>
  <c r="G268" s="1"/>
  <c r="AD229" i="1"/>
  <c r="X119"/>
  <c r="X122" s="1"/>
  <c r="AD239"/>
  <c r="X542"/>
  <c r="AD234"/>
  <c r="W699" i="2"/>
  <c r="AA448"/>
  <c r="AB448" s="1"/>
  <c r="AC15" i="1"/>
  <c r="AC669" s="1"/>
  <c r="AC107"/>
  <c r="Y538"/>
  <c r="Y540" s="1"/>
  <c r="Y656" s="1"/>
  <c r="AA102" i="2"/>
  <c r="AB102" s="1"/>
  <c r="AC486" i="1"/>
  <c r="AC488" s="1"/>
  <c r="AC490" s="1"/>
  <c r="AC516" s="1"/>
  <c r="T699" i="2"/>
  <c r="S699"/>
  <c r="H699"/>
  <c r="K699"/>
  <c r="R699"/>
  <c r="G1089"/>
  <c r="G1091" s="1"/>
  <c r="AA1088"/>
  <c r="AB1088" s="1"/>
  <c r="U699"/>
  <c r="I699"/>
  <c r="F333"/>
  <c r="J699"/>
  <c r="AA265"/>
  <c r="AB265" s="1"/>
  <c r="AA97"/>
  <c r="AB97" s="1"/>
  <c r="AA554"/>
  <c r="AB554" s="1"/>
  <c r="AA669"/>
  <c r="AB669" s="1"/>
  <c r="AF634" i="1"/>
  <c r="AG634" s="1"/>
  <c r="AE386"/>
  <c r="AF633"/>
  <c r="AG633" s="1"/>
  <c r="AE375"/>
  <c r="AE652"/>
  <c r="AF652" s="1"/>
  <c r="AG652" s="1"/>
  <c r="AF48"/>
  <c r="AG48" s="1"/>
  <c r="AE76"/>
  <c r="AE576"/>
  <c r="AF576" s="1"/>
  <c r="AG576" s="1"/>
  <c r="AE585"/>
  <c r="AE255"/>
  <c r="AF255" s="1"/>
  <c r="AG255" s="1"/>
  <c r="AE593"/>
  <c r="AF593" s="1"/>
  <c r="AG593" s="1"/>
  <c r="AE64"/>
  <c r="AF64" s="1"/>
  <c r="AG64" s="1"/>
  <c r="AE254"/>
  <c r="AF254" s="1"/>
  <c r="AG254" s="1"/>
  <c r="AE463"/>
  <c r="AF463" s="1"/>
  <c r="AG463" s="1"/>
  <c r="AE103"/>
  <c r="AE135"/>
  <c r="AF135" s="1"/>
  <c r="AG135" s="1"/>
  <c r="AE462"/>
  <c r="AE256"/>
  <c r="AF256" s="1"/>
  <c r="AG256" s="1"/>
  <c r="AE482"/>
  <c r="AE271"/>
  <c r="AF271" s="1"/>
  <c r="AG271" s="1"/>
  <c r="AE67"/>
  <c r="AF67" s="1"/>
  <c r="AG67" s="1"/>
  <c r="AE257"/>
  <c r="AF257" s="1"/>
  <c r="AG257" s="1"/>
  <c r="AF635"/>
  <c r="AG635" s="1"/>
  <c r="AE396"/>
  <c r="AA657"/>
  <c r="AA120"/>
  <c r="AD665"/>
  <c r="AD263"/>
  <c r="AD273" s="1"/>
  <c r="AB516"/>
  <c r="P699" i="2"/>
  <c r="X610" i="1"/>
  <c r="X335"/>
  <c r="F211" i="2"/>
  <c r="AA391"/>
  <c r="AB391" s="1"/>
  <c r="AC667" i="1"/>
  <c r="AC329"/>
  <c r="AC594"/>
  <c r="AC596" s="1"/>
  <c r="F454" i="2" s="1"/>
  <c r="AC577" i="1"/>
  <c r="AC586"/>
  <c r="AC588" s="1"/>
  <c r="F397" i="2" s="1"/>
  <c r="AC328" i="1"/>
  <c r="AC536"/>
  <c r="AC535"/>
  <c r="N613" i="2"/>
  <c r="N614" s="1"/>
  <c r="Q613"/>
  <c r="Q614" s="1"/>
  <c r="R613"/>
  <c r="R614" s="1"/>
  <c r="Z613"/>
  <c r="Z614" s="1"/>
  <c r="G613"/>
  <c r="G614" s="1"/>
  <c r="O613"/>
  <c r="O614" s="1"/>
  <c r="P613"/>
  <c r="P614" s="1"/>
  <c r="X613"/>
  <c r="X614" s="1"/>
  <c r="M613"/>
  <c r="M614" s="1"/>
  <c r="V613"/>
  <c r="V614" s="1"/>
  <c r="W613"/>
  <c r="W614" s="1"/>
  <c r="J613"/>
  <c r="J614" s="1"/>
  <c r="L613"/>
  <c r="L614" s="1"/>
  <c r="T613"/>
  <c r="T614" s="1"/>
  <c r="S613"/>
  <c r="S614" s="1"/>
  <c r="Y613"/>
  <c r="Y614" s="1"/>
  <c r="I613"/>
  <c r="I614" s="1"/>
  <c r="H613"/>
  <c r="H614" s="1"/>
  <c r="K613"/>
  <c r="K614" s="1"/>
  <c r="U613"/>
  <c r="U614" s="1"/>
  <c r="N670"/>
  <c r="N671" s="1"/>
  <c r="T670"/>
  <c r="T671" s="1"/>
  <c r="V670"/>
  <c r="V671" s="1"/>
  <c r="Z670"/>
  <c r="Z671" s="1"/>
  <c r="G670"/>
  <c r="O670"/>
  <c r="O671" s="1"/>
  <c r="Q670"/>
  <c r="Q671" s="1"/>
  <c r="W670"/>
  <c r="W671" s="1"/>
  <c r="L670"/>
  <c r="L671" s="1"/>
  <c r="P670"/>
  <c r="P671" s="1"/>
  <c r="S670"/>
  <c r="S671" s="1"/>
  <c r="Y670"/>
  <c r="Y671" s="1"/>
  <c r="J670"/>
  <c r="J671" s="1"/>
  <c r="M670"/>
  <c r="M671" s="1"/>
  <c r="R670"/>
  <c r="R671" s="1"/>
  <c r="X670"/>
  <c r="X671" s="1"/>
  <c r="I670"/>
  <c r="I671" s="1"/>
  <c r="H670"/>
  <c r="H671" s="1"/>
  <c r="K670"/>
  <c r="K671" s="1"/>
  <c r="U670"/>
  <c r="U671" s="1"/>
  <c r="L497"/>
  <c r="V497"/>
  <c r="G497"/>
  <c r="O497"/>
  <c r="X497"/>
  <c r="M497"/>
  <c r="S497"/>
  <c r="H497"/>
  <c r="R497"/>
  <c r="Z497"/>
  <c r="I497"/>
  <c r="Q497"/>
  <c r="Y497"/>
  <c r="K497"/>
  <c r="U497"/>
  <c r="J497"/>
  <c r="T497"/>
  <c r="W497"/>
  <c r="N497"/>
  <c r="P497"/>
  <c r="F150"/>
  <c r="AA655" i="1"/>
  <c r="AA95"/>
  <c r="AA98" s="1"/>
  <c r="AA81"/>
  <c r="AA83" s="1"/>
  <c r="F46" i="2"/>
  <c r="AA114" i="1"/>
  <c r="AA125"/>
  <c r="AA113"/>
  <c r="AA127"/>
  <c r="AA126"/>
  <c r="AA128"/>
  <c r="AD651"/>
  <c r="AD9"/>
  <c r="AD77"/>
  <c r="AD79" s="1"/>
  <c r="AD96" s="1"/>
  <c r="AD62"/>
  <c r="AD104"/>
  <c r="AD105"/>
  <c r="AD13"/>
  <c r="AD10"/>
  <c r="AD11"/>
  <c r="AD63"/>
  <c r="AD60"/>
  <c r="AD136"/>
  <c r="AD138" s="1"/>
  <c r="AD12"/>
  <c r="G137" i="2"/>
  <c r="AA134"/>
  <c r="AB134" s="1"/>
  <c r="M137"/>
  <c r="S137"/>
  <c r="K137"/>
  <c r="T137"/>
  <c r="U137"/>
  <c r="Q137"/>
  <c r="U327"/>
  <c r="AB279" i="1"/>
  <c r="L1091" i="2"/>
  <c r="Z538" i="1"/>
  <c r="Z540" s="1"/>
  <c r="AA559" i="2"/>
  <c r="AB559" s="1"/>
  <c r="AA617"/>
  <c r="AB617" s="1"/>
  <c r="AD636" i="1"/>
  <c r="AD453" s="1"/>
  <c r="AD465" s="1"/>
  <c r="AD486" s="1"/>
  <c r="AD488" s="1"/>
  <c r="Q1091" i="2"/>
  <c r="AC223" i="1"/>
  <c r="Y331"/>
  <c r="Y333" s="1"/>
  <c r="F614" i="2"/>
  <c r="AD187" i="1"/>
  <c r="AA674" i="2"/>
  <c r="AB674" s="1"/>
  <c r="AB81" i="1"/>
  <c r="AB95"/>
  <c r="AB98" s="1"/>
  <c r="AB655"/>
  <c r="AB125"/>
  <c r="F49" i="2"/>
  <c r="AB114" i="1"/>
  <c r="AB128"/>
  <c r="AB127"/>
  <c r="AB113"/>
  <c r="AB126"/>
  <c r="N699" i="2"/>
  <c r="X699"/>
  <c r="Z699"/>
  <c r="M699"/>
  <c r="F498"/>
  <c r="Y608" i="1"/>
  <c r="M555" i="2"/>
  <c r="M556" s="1"/>
  <c r="P555"/>
  <c r="P556" s="1"/>
  <c r="S555"/>
  <c r="S556" s="1"/>
  <c r="Z555"/>
  <c r="Z556" s="1"/>
  <c r="L555"/>
  <c r="L556" s="1"/>
  <c r="Q555"/>
  <c r="Q556" s="1"/>
  <c r="V555"/>
  <c r="V556" s="1"/>
  <c r="Y555"/>
  <c r="Y556" s="1"/>
  <c r="J555"/>
  <c r="J556" s="1"/>
  <c r="N555"/>
  <c r="N556" s="1"/>
  <c r="R555"/>
  <c r="R556" s="1"/>
  <c r="X555"/>
  <c r="X556" s="1"/>
  <c r="G555"/>
  <c r="O555"/>
  <c r="O556" s="1"/>
  <c r="T555"/>
  <c r="T556" s="1"/>
  <c r="W555"/>
  <c r="W556" s="1"/>
  <c r="I555"/>
  <c r="I556" s="1"/>
  <c r="H555"/>
  <c r="H556" s="1"/>
  <c r="U555"/>
  <c r="U556" s="1"/>
  <c r="K555"/>
  <c r="K556" s="1"/>
  <c r="M98"/>
  <c r="M99" s="1"/>
  <c r="P98"/>
  <c r="P99" s="1"/>
  <c r="V98"/>
  <c r="V99" s="1"/>
  <c r="Z98"/>
  <c r="Z99" s="1"/>
  <c r="G98"/>
  <c r="O98"/>
  <c r="O99" s="1"/>
  <c r="S98"/>
  <c r="S99" s="1"/>
  <c r="W98"/>
  <c r="W99" s="1"/>
  <c r="N98"/>
  <c r="N99" s="1"/>
  <c r="T98"/>
  <c r="T99" s="1"/>
  <c r="R98"/>
  <c r="R99" s="1"/>
  <c r="Y98"/>
  <c r="Y99" s="1"/>
  <c r="J98"/>
  <c r="J99" s="1"/>
  <c r="L98"/>
  <c r="L99" s="1"/>
  <c r="Q98"/>
  <c r="Q99" s="1"/>
  <c r="X98"/>
  <c r="X99" s="1"/>
  <c r="I98"/>
  <c r="I99" s="1"/>
  <c r="H98"/>
  <c r="H99" s="1"/>
  <c r="K98"/>
  <c r="K99" s="1"/>
  <c r="U98"/>
  <c r="U99" s="1"/>
  <c r="AA612"/>
  <c r="AB612" s="1"/>
  <c r="J137"/>
  <c r="I137"/>
  <c r="H137"/>
  <c r="P137"/>
  <c r="L137"/>
  <c r="N137"/>
  <c r="R137"/>
  <c r="AE425" i="1"/>
  <c r="AF425" s="1"/>
  <c r="AG425" s="1"/>
  <c r="AE662"/>
  <c r="AF662" s="1"/>
  <c r="AG662" s="1"/>
  <c r="AF415"/>
  <c r="AG415" s="1"/>
  <c r="AE190"/>
  <c r="AF640"/>
  <c r="AG640" s="1"/>
  <c r="AE123"/>
  <c r="AF123" s="1"/>
  <c r="AG123" s="1"/>
  <c r="AF631"/>
  <c r="AG631" s="1"/>
  <c r="AE364"/>
  <c r="AE668"/>
  <c r="AF668" s="1"/>
  <c r="AG668" s="1"/>
  <c r="AF29"/>
  <c r="AG29" s="1"/>
  <c r="AE571"/>
  <c r="AE573"/>
  <c r="AF573" s="1"/>
  <c r="AG573" s="1"/>
  <c r="AE572"/>
  <c r="AF572" s="1"/>
  <c r="AG572" s="1"/>
  <c r="AF643"/>
  <c r="AG643" s="1"/>
  <c r="AE214"/>
  <c r="AF214" s="1"/>
  <c r="AG214" s="1"/>
  <c r="AE216"/>
  <c r="AF216" s="1"/>
  <c r="AG216" s="1"/>
  <c r="AE215"/>
  <c r="AF215" s="1"/>
  <c r="AG215" s="1"/>
  <c r="AE430"/>
  <c r="AE213"/>
  <c r="N327" i="2"/>
  <c r="AA326"/>
  <c r="AB326" s="1"/>
  <c r="I502"/>
  <c r="V502"/>
  <c r="Y502"/>
  <c r="Z502"/>
  <c r="L502"/>
  <c r="W502"/>
  <c r="X502"/>
  <c r="T502"/>
  <c r="K502"/>
  <c r="R502"/>
  <c r="J502"/>
  <c r="S502"/>
  <c r="M502"/>
  <c r="U502"/>
  <c r="Q502"/>
  <c r="P502"/>
  <c r="O502"/>
  <c r="H502"/>
  <c r="G502"/>
  <c r="N502"/>
  <c r="Z331" i="1"/>
  <c r="Z333" s="1"/>
  <c r="AA39" i="2"/>
  <c r="AB39" s="1"/>
  <c r="G40"/>
  <c r="AE450" i="1"/>
  <c r="O327" i="2"/>
  <c r="J327"/>
  <c r="L327"/>
  <c r="AD166" i="1"/>
  <c r="AD427"/>
  <c r="AA1084" i="2"/>
  <c r="AB1084" s="1"/>
  <c r="AC275" i="1"/>
  <c r="AA208" i="2" l="1"/>
  <c r="AB208" s="1"/>
  <c r="AA394"/>
  <c r="AB394" s="1"/>
  <c r="AC277" i="1"/>
  <c r="F269" i="2"/>
  <c r="W269" s="1"/>
  <c r="AA451"/>
  <c r="AB451" s="1"/>
  <c r="U268"/>
  <c r="AC69" i="1"/>
  <c r="AC128" s="1"/>
  <c r="AC578"/>
  <c r="AC580" s="1"/>
  <c r="X268" i="2"/>
  <c r="S268"/>
  <c r="N268"/>
  <c r="L268"/>
  <c r="W268"/>
  <c r="V268"/>
  <c r="O268"/>
  <c r="P268"/>
  <c r="Y119" i="1"/>
  <c r="Y122" s="1"/>
  <c r="M268" i="2"/>
  <c r="H268"/>
  <c r="I268"/>
  <c r="Y542" i="1"/>
  <c r="Y268" i="2"/>
  <c r="Z268"/>
  <c r="Q268"/>
  <c r="R268"/>
  <c r="T268"/>
  <c r="K268"/>
  <c r="J268"/>
  <c r="AD241" i="1"/>
  <c r="AD107"/>
  <c r="AD490"/>
  <c r="AD516" s="1"/>
  <c r="AD210"/>
  <c r="AD223" s="1"/>
  <c r="AE663"/>
  <c r="AF663" s="1"/>
  <c r="AG663" s="1"/>
  <c r="AF450"/>
  <c r="AG450" s="1"/>
  <c r="AE228"/>
  <c r="AF228" s="1"/>
  <c r="AG228" s="1"/>
  <c r="AE230"/>
  <c r="AF230" s="1"/>
  <c r="AG230" s="1"/>
  <c r="AE226"/>
  <c r="AE229"/>
  <c r="AF229" s="1"/>
  <c r="AG229" s="1"/>
  <c r="AE239"/>
  <c r="AF239" s="1"/>
  <c r="AG239" s="1"/>
  <c r="AE235"/>
  <c r="AF235" s="1"/>
  <c r="AG235" s="1"/>
  <c r="AE227"/>
  <c r="AF227" s="1"/>
  <c r="AG227" s="1"/>
  <c r="AE234"/>
  <c r="AF234" s="1"/>
  <c r="AG234" s="1"/>
  <c r="AE236"/>
  <c r="AF236" s="1"/>
  <c r="AG236" s="1"/>
  <c r="AE237"/>
  <c r="AF237" s="1"/>
  <c r="AG237" s="1"/>
  <c r="AE233"/>
  <c r="AF233" s="1"/>
  <c r="AG233" s="1"/>
  <c r="Z610"/>
  <c r="Z335"/>
  <c r="F216" i="2"/>
  <c r="AC666" i="1"/>
  <c r="AC528"/>
  <c r="AC318"/>
  <c r="AC534"/>
  <c r="AC326"/>
  <c r="AC527"/>
  <c r="AC322"/>
  <c r="AC319"/>
  <c r="AC525"/>
  <c r="AC327"/>
  <c r="AC323"/>
  <c r="AC530"/>
  <c r="AC531"/>
  <c r="AC526"/>
  <c r="AC317"/>
  <c r="AC320"/>
  <c r="AC533"/>
  <c r="AE434"/>
  <c r="AF434" s="1"/>
  <c r="AG434" s="1"/>
  <c r="AF430"/>
  <c r="AG430" s="1"/>
  <c r="J498" i="2"/>
  <c r="N498"/>
  <c r="T498"/>
  <c r="Y498"/>
  <c r="Y499" s="1"/>
  <c r="G498"/>
  <c r="G499" s="1"/>
  <c r="O498"/>
  <c r="V498"/>
  <c r="V499" s="1"/>
  <c r="X498"/>
  <c r="X499" s="1"/>
  <c r="L498"/>
  <c r="L499" s="1"/>
  <c r="P498"/>
  <c r="R498"/>
  <c r="R499" s="1"/>
  <c r="W498"/>
  <c r="W499" s="1"/>
  <c r="M498"/>
  <c r="M499" s="1"/>
  <c r="Q498"/>
  <c r="Q499" s="1"/>
  <c r="S498"/>
  <c r="S499" s="1"/>
  <c r="Z498"/>
  <c r="Z499" s="1"/>
  <c r="I498"/>
  <c r="H498"/>
  <c r="K498"/>
  <c r="U498"/>
  <c r="J49"/>
  <c r="H49"/>
  <c r="K49"/>
  <c r="N49"/>
  <c r="L49"/>
  <c r="Q49"/>
  <c r="U49"/>
  <c r="S49"/>
  <c r="W49"/>
  <c r="Y49"/>
  <c r="G49"/>
  <c r="I49"/>
  <c r="M49"/>
  <c r="O49"/>
  <c r="P49"/>
  <c r="R49"/>
  <c r="V49"/>
  <c r="T49"/>
  <c r="X49"/>
  <c r="Z49"/>
  <c r="Q699"/>
  <c r="AB308" i="1"/>
  <c r="AD667"/>
  <c r="AD328"/>
  <c r="AD329"/>
  <c r="AD577"/>
  <c r="AD594"/>
  <c r="AD596" s="1"/>
  <c r="F457" i="2" s="1"/>
  <c r="AD586" i="1"/>
  <c r="AD588" s="1"/>
  <c r="F400" i="2" s="1"/>
  <c r="AD535" i="1"/>
  <c r="AD536"/>
  <c r="K150" i="2"/>
  <c r="N150"/>
  <c r="S150"/>
  <c r="Q150"/>
  <c r="X150"/>
  <c r="X151" s="1"/>
  <c r="L150"/>
  <c r="R150"/>
  <c r="T150"/>
  <c r="Y150"/>
  <c r="Y151" s="1"/>
  <c r="J150"/>
  <c r="I150"/>
  <c r="O150"/>
  <c r="V150"/>
  <c r="V151" s="1"/>
  <c r="Z150"/>
  <c r="Z151" s="1"/>
  <c r="G150"/>
  <c r="M150"/>
  <c r="P150"/>
  <c r="W150"/>
  <c r="W151" s="1"/>
  <c r="H150"/>
  <c r="U150"/>
  <c r="F151"/>
  <c r="H29" i="14"/>
  <c r="AA497" i="2"/>
  <c r="AB497" s="1"/>
  <c r="J211"/>
  <c r="S211"/>
  <c r="Z211"/>
  <c r="M211"/>
  <c r="T211"/>
  <c r="H211"/>
  <c r="P211"/>
  <c r="Y211"/>
  <c r="K211"/>
  <c r="U211"/>
  <c r="N211"/>
  <c r="V211"/>
  <c r="I211"/>
  <c r="Q211"/>
  <c r="W211"/>
  <c r="L211"/>
  <c r="R211"/>
  <c r="G211"/>
  <c r="O211"/>
  <c r="X211"/>
  <c r="AB666" i="1"/>
  <c r="AB527"/>
  <c r="AB322"/>
  <c r="AB530"/>
  <c r="AB533"/>
  <c r="AB318"/>
  <c r="AB528"/>
  <c r="AB327"/>
  <c r="AB320"/>
  <c r="AB317"/>
  <c r="AB326"/>
  <c r="AB525"/>
  <c r="AB319"/>
  <c r="AB534"/>
  <c r="AB526"/>
  <c r="AB531"/>
  <c r="AB323"/>
  <c r="AE402"/>
  <c r="AF396"/>
  <c r="AG396" s="1"/>
  <c r="AE381"/>
  <c r="AF375"/>
  <c r="AG375" s="1"/>
  <c r="AE393"/>
  <c r="AF386"/>
  <c r="AG386" s="1"/>
  <c r="L333" i="2"/>
  <c r="V333"/>
  <c r="X333"/>
  <c r="Z333"/>
  <c r="I333"/>
  <c r="M333"/>
  <c r="W333"/>
  <c r="Y333"/>
  <c r="P333"/>
  <c r="O333"/>
  <c r="K333"/>
  <c r="U333"/>
  <c r="T333"/>
  <c r="S333"/>
  <c r="H333"/>
  <c r="Q333"/>
  <c r="J333"/>
  <c r="R333"/>
  <c r="G333"/>
  <c r="N333"/>
  <c r="I336"/>
  <c r="K336"/>
  <c r="L336"/>
  <c r="N336"/>
  <c r="S336"/>
  <c r="U336"/>
  <c r="P336"/>
  <c r="R336"/>
  <c r="Y336"/>
  <c r="X336"/>
  <c r="G336"/>
  <c r="J336"/>
  <c r="H336"/>
  <c r="M336"/>
  <c r="O336"/>
  <c r="T336"/>
  <c r="V336"/>
  <c r="Q336"/>
  <c r="W336"/>
  <c r="Z336"/>
  <c r="AA502"/>
  <c r="AB502" s="1"/>
  <c r="AA98"/>
  <c r="AB98" s="1"/>
  <c r="AA555"/>
  <c r="AB555" s="1"/>
  <c r="AA40"/>
  <c r="AB40" s="1"/>
  <c r="AE221" i="1"/>
  <c r="AF221" s="1"/>
  <c r="AG221" s="1"/>
  <c r="AF213"/>
  <c r="AG213" s="1"/>
  <c r="AF571"/>
  <c r="AG571" s="1"/>
  <c r="AE651"/>
  <c r="AF651" s="1"/>
  <c r="AG651" s="1"/>
  <c r="AF50"/>
  <c r="AG50" s="1"/>
  <c r="AE77"/>
  <c r="AF77" s="1"/>
  <c r="AG77" s="1"/>
  <c r="AE13"/>
  <c r="AF13" s="1"/>
  <c r="AG13" s="1"/>
  <c r="AE12"/>
  <c r="AF12" s="1"/>
  <c r="AG12" s="1"/>
  <c r="AE9"/>
  <c r="AE11"/>
  <c r="AF11" s="1"/>
  <c r="AG11" s="1"/>
  <c r="AE10"/>
  <c r="AF10" s="1"/>
  <c r="AG10" s="1"/>
  <c r="AE136"/>
  <c r="AE62"/>
  <c r="AF62" s="1"/>
  <c r="AG62" s="1"/>
  <c r="AE105"/>
  <c r="AF105" s="1"/>
  <c r="AG105" s="1"/>
  <c r="AE104"/>
  <c r="AF104" s="1"/>
  <c r="AG104" s="1"/>
  <c r="AE63"/>
  <c r="AF63" s="1"/>
  <c r="AG63" s="1"/>
  <c r="AE60"/>
  <c r="AE372"/>
  <c r="AF364"/>
  <c r="AG364" s="1"/>
  <c r="AE196"/>
  <c r="AF190"/>
  <c r="AG190" s="1"/>
  <c r="AB109"/>
  <c r="F108" i="2" s="1"/>
  <c r="AB324" i="1"/>
  <c r="AB598"/>
  <c r="AB325"/>
  <c r="AB604"/>
  <c r="F680" i="2" s="1"/>
  <c r="AB529" i="1"/>
  <c r="AB606"/>
  <c r="AB532"/>
  <c r="AB600"/>
  <c r="F565" i="2" s="1"/>
  <c r="AB602" i="1"/>
  <c r="F623" i="2" s="1"/>
  <c r="AB321" i="1"/>
  <c r="AA614" i="2"/>
  <c r="AB614" s="1"/>
  <c r="Y610" i="1"/>
  <c r="Y335"/>
  <c r="F212" i="2"/>
  <c r="AD664" i="1"/>
  <c r="AD246"/>
  <c r="AD259" s="1"/>
  <c r="AD275" s="1"/>
  <c r="Z542"/>
  <c r="Z656"/>
  <c r="F273" i="2"/>
  <c r="Z119" i="1"/>
  <c r="Z122" s="1"/>
  <c r="L699" i="2"/>
  <c r="G13" i="14"/>
  <c r="AA137" i="2"/>
  <c r="AB137" s="1"/>
  <c r="M46"/>
  <c r="V46"/>
  <c r="Z46"/>
  <c r="Y46"/>
  <c r="I46"/>
  <c r="L46"/>
  <c r="X46"/>
  <c r="W46"/>
  <c r="H46"/>
  <c r="Q46"/>
  <c r="S46"/>
  <c r="P46"/>
  <c r="O46"/>
  <c r="K46"/>
  <c r="U46"/>
  <c r="T46"/>
  <c r="J46"/>
  <c r="G46"/>
  <c r="N46"/>
  <c r="R46"/>
  <c r="AA109" i="1"/>
  <c r="F105" i="2" s="1"/>
  <c r="AA532" i="1"/>
  <c r="AA529"/>
  <c r="AA321"/>
  <c r="AA598"/>
  <c r="AA606"/>
  <c r="AA324"/>
  <c r="AA602"/>
  <c r="F620" i="2" s="1"/>
  <c r="AA604" i="1"/>
  <c r="F677" i="2" s="1"/>
  <c r="AA600" i="1"/>
  <c r="F562" i="2" s="1"/>
  <c r="AA325" i="1"/>
  <c r="I397" i="2"/>
  <c r="M397"/>
  <c r="R397"/>
  <c r="V397"/>
  <c r="S397"/>
  <c r="Y397"/>
  <c r="Z397"/>
  <c r="G397"/>
  <c r="L397"/>
  <c r="O397"/>
  <c r="T397"/>
  <c r="P397"/>
  <c r="X397"/>
  <c r="W397"/>
  <c r="Q397"/>
  <c r="U397"/>
  <c r="K397"/>
  <c r="H397"/>
  <c r="N397"/>
  <c r="J397"/>
  <c r="I454"/>
  <c r="M454"/>
  <c r="L454"/>
  <c r="P454"/>
  <c r="V454"/>
  <c r="S454"/>
  <c r="Z454"/>
  <c r="Y454"/>
  <c r="G454"/>
  <c r="O454"/>
  <c r="T454"/>
  <c r="R454"/>
  <c r="X454"/>
  <c r="W454"/>
  <c r="Q454"/>
  <c r="H454"/>
  <c r="U454"/>
  <c r="K454"/>
  <c r="N454"/>
  <c r="J454"/>
  <c r="X654" i="1"/>
  <c r="X112"/>
  <c r="X116" s="1"/>
  <c r="X140" s="1"/>
  <c r="F154" i="2" s="1"/>
  <c r="AF482" i="1"/>
  <c r="AG482" s="1"/>
  <c r="AE637"/>
  <c r="AF462"/>
  <c r="AG462" s="1"/>
  <c r="AE636"/>
  <c r="AF103"/>
  <c r="AG103" s="1"/>
  <c r="AF585"/>
  <c r="AG585" s="1"/>
  <c r="AF76"/>
  <c r="AG76" s="1"/>
  <c r="G699" i="2"/>
  <c r="D43" i="14" s="1"/>
  <c r="AA1091" i="2"/>
  <c r="AB1091" s="1"/>
  <c r="AB130" i="1"/>
  <c r="AC279"/>
  <c r="AD15"/>
  <c r="AA130"/>
  <c r="F499" i="2"/>
  <c r="AA670"/>
  <c r="AB670" s="1"/>
  <c r="AA613"/>
  <c r="AB613" s="1"/>
  <c r="AA327"/>
  <c r="AB327" s="1"/>
  <c r="G671"/>
  <c r="G556"/>
  <c r="G99"/>
  <c r="F43" i="14" l="1"/>
  <c r="O499" i="2"/>
  <c r="J499"/>
  <c r="O151"/>
  <c r="K499"/>
  <c r="T499"/>
  <c r="H499"/>
  <c r="P499"/>
  <c r="S269"/>
  <c r="S270" s="1"/>
  <c r="K269"/>
  <c r="K270" s="1"/>
  <c r="R269"/>
  <c r="R270" s="1"/>
  <c r="O269"/>
  <c r="O270" s="1"/>
  <c r="H269"/>
  <c r="H270" s="1"/>
  <c r="X269"/>
  <c r="X270" s="1"/>
  <c r="T269"/>
  <c r="T270" s="1"/>
  <c r="P269"/>
  <c r="P270" s="1"/>
  <c r="F270"/>
  <c r="M269"/>
  <c r="M270" s="1"/>
  <c r="I269"/>
  <c r="I270" s="1"/>
  <c r="G269"/>
  <c r="G270" s="1"/>
  <c r="J269"/>
  <c r="J270" s="1"/>
  <c r="Y269"/>
  <c r="Y270" s="1"/>
  <c r="L269"/>
  <c r="L270" s="1"/>
  <c r="Q269"/>
  <c r="Q270" s="1"/>
  <c r="N269"/>
  <c r="N270" s="1"/>
  <c r="Z269"/>
  <c r="Z270" s="1"/>
  <c r="U269"/>
  <c r="U270" s="1"/>
  <c r="V269"/>
  <c r="V270" s="1"/>
  <c r="AC127" i="1"/>
  <c r="AC126"/>
  <c r="AC114"/>
  <c r="AC113"/>
  <c r="AC81"/>
  <c r="AC125"/>
  <c r="AC95"/>
  <c r="AC98" s="1"/>
  <c r="AC532" s="1"/>
  <c r="F52" i="2"/>
  <c r="AC655" i="1"/>
  <c r="AE79"/>
  <c r="AE96" s="1"/>
  <c r="AF96" s="1"/>
  <c r="AG96" s="1"/>
  <c r="W270" i="2"/>
  <c r="AD277" i="1"/>
  <c r="AA268" i="2"/>
  <c r="AB268" s="1"/>
  <c r="N499"/>
  <c r="AE107" i="1"/>
  <c r="AF107" s="1"/>
  <c r="AG107" s="1"/>
  <c r="AA331"/>
  <c r="AA333" s="1"/>
  <c r="AA335" s="1"/>
  <c r="AD69"/>
  <c r="AD669"/>
  <c r="AD578"/>
  <c r="AD580" s="1"/>
  <c r="AC308"/>
  <c r="H154" i="2"/>
  <c r="O154"/>
  <c r="X154"/>
  <c r="L154"/>
  <c r="S154"/>
  <c r="I154"/>
  <c r="P154"/>
  <c r="W154"/>
  <c r="N154"/>
  <c r="V154"/>
  <c r="K154"/>
  <c r="R154"/>
  <c r="G154"/>
  <c r="T154"/>
  <c r="Y154"/>
  <c r="M154"/>
  <c r="U154"/>
  <c r="J154"/>
  <c r="Q154"/>
  <c r="Z154"/>
  <c r="AA397"/>
  <c r="AB397" s="1"/>
  <c r="W677"/>
  <c r="L677"/>
  <c r="Y677"/>
  <c r="M677"/>
  <c r="X677"/>
  <c r="I677"/>
  <c r="V677"/>
  <c r="Z677"/>
  <c r="P677"/>
  <c r="O677"/>
  <c r="H677"/>
  <c r="U677"/>
  <c r="T677"/>
  <c r="J677"/>
  <c r="S677"/>
  <c r="Q677"/>
  <c r="K677"/>
  <c r="R677"/>
  <c r="G677"/>
  <c r="N677"/>
  <c r="F505"/>
  <c r="AA608" i="1"/>
  <c r="M212" i="2"/>
  <c r="M213" s="1"/>
  <c r="O212"/>
  <c r="L212"/>
  <c r="L213" s="1"/>
  <c r="Q212"/>
  <c r="Q213" s="1"/>
  <c r="S212"/>
  <c r="S213" s="1"/>
  <c r="W212"/>
  <c r="W213" s="1"/>
  <c r="V212"/>
  <c r="V213" s="1"/>
  <c r="Z212"/>
  <c r="Z213" s="1"/>
  <c r="J212"/>
  <c r="N212"/>
  <c r="G212"/>
  <c r="G213" s="1"/>
  <c r="P212"/>
  <c r="R212"/>
  <c r="R213" s="1"/>
  <c r="T212"/>
  <c r="Y212"/>
  <c r="Y213" s="1"/>
  <c r="X212"/>
  <c r="X213" s="1"/>
  <c r="I212"/>
  <c r="I213" s="1"/>
  <c r="H212"/>
  <c r="K212"/>
  <c r="U212"/>
  <c r="J623"/>
  <c r="I623"/>
  <c r="L623"/>
  <c r="O623"/>
  <c r="S623"/>
  <c r="U623"/>
  <c r="Q623"/>
  <c r="V623"/>
  <c r="X623"/>
  <c r="Z623"/>
  <c r="H623"/>
  <c r="G623"/>
  <c r="K623"/>
  <c r="N623"/>
  <c r="M623"/>
  <c r="T623"/>
  <c r="P623"/>
  <c r="R623"/>
  <c r="W623"/>
  <c r="Y623"/>
  <c r="AE667" i="1"/>
  <c r="AF667" s="1"/>
  <c r="AG667" s="1"/>
  <c r="AF60"/>
  <c r="AG60" s="1"/>
  <c r="AE536"/>
  <c r="AF536" s="1"/>
  <c r="AG536" s="1"/>
  <c r="AE577"/>
  <c r="AE329"/>
  <c r="AE328"/>
  <c r="AF328" s="1"/>
  <c r="AG328" s="1"/>
  <c r="AE586"/>
  <c r="AE594"/>
  <c r="AE535"/>
  <c r="AF535" s="1"/>
  <c r="AG535" s="1"/>
  <c r="AE15"/>
  <c r="AF9"/>
  <c r="AG9" s="1"/>
  <c r="F339" i="2"/>
  <c r="AA333"/>
  <c r="AB333" s="1"/>
  <c r="I28" i="14"/>
  <c r="K28" s="1"/>
  <c r="AE660" i="1"/>
  <c r="AF660" s="1"/>
  <c r="AG660" s="1"/>
  <c r="AE404"/>
  <c r="AF404" s="1"/>
  <c r="AG404" s="1"/>
  <c r="AF393"/>
  <c r="AG393" s="1"/>
  <c r="AE169"/>
  <c r="AE659"/>
  <c r="AF659" s="1"/>
  <c r="AG659" s="1"/>
  <c r="AF381"/>
  <c r="AG381" s="1"/>
  <c r="AE158"/>
  <c r="AE661"/>
  <c r="AF661" s="1"/>
  <c r="AG661" s="1"/>
  <c r="AF402"/>
  <c r="AG402" s="1"/>
  <c r="AE179"/>
  <c r="AA211" i="2"/>
  <c r="AB211" s="1"/>
  <c r="H27" i="14"/>
  <c r="U151" i="2"/>
  <c r="M151"/>
  <c r="J151"/>
  <c r="T151"/>
  <c r="L151"/>
  <c r="Q151"/>
  <c r="N151"/>
  <c r="G400"/>
  <c r="L400"/>
  <c r="Y400"/>
  <c r="W400"/>
  <c r="P400"/>
  <c r="R400"/>
  <c r="V400"/>
  <c r="I400"/>
  <c r="O400"/>
  <c r="S400"/>
  <c r="M400"/>
  <c r="Z400"/>
  <c r="T400"/>
  <c r="X400"/>
  <c r="Q400"/>
  <c r="U400"/>
  <c r="K400"/>
  <c r="H400"/>
  <c r="N400"/>
  <c r="J400"/>
  <c r="U499"/>
  <c r="Z654" i="1"/>
  <c r="Z112"/>
  <c r="Z116" s="1"/>
  <c r="Z140" s="1"/>
  <c r="F159" i="2" s="1"/>
  <c r="AE241" i="1"/>
  <c r="AF241" s="1"/>
  <c r="AG241" s="1"/>
  <c r="AF226"/>
  <c r="AG226" s="1"/>
  <c r="AA538"/>
  <c r="AA540" s="1"/>
  <c r="AB538"/>
  <c r="AB540" s="1"/>
  <c r="AB331"/>
  <c r="AB333" s="1"/>
  <c r="F213" i="2"/>
  <c r="AA556"/>
  <c r="AB556" s="1"/>
  <c r="AA699"/>
  <c r="AB699" s="1"/>
  <c r="AF636" i="1"/>
  <c r="AG636" s="1"/>
  <c r="AE453"/>
  <c r="AF637"/>
  <c r="AG637" s="1"/>
  <c r="AE474"/>
  <c r="AA454" i="2"/>
  <c r="AB454" s="1"/>
  <c r="I562"/>
  <c r="X562"/>
  <c r="L562"/>
  <c r="V562"/>
  <c r="Z562"/>
  <c r="M562"/>
  <c r="Y562"/>
  <c r="W562"/>
  <c r="O562"/>
  <c r="H562"/>
  <c r="K562"/>
  <c r="U562"/>
  <c r="T562"/>
  <c r="S562"/>
  <c r="P562"/>
  <c r="Q562"/>
  <c r="J562"/>
  <c r="R562"/>
  <c r="G562"/>
  <c r="N562"/>
  <c r="Y620"/>
  <c r="M620"/>
  <c r="V620"/>
  <c r="Z620"/>
  <c r="W620"/>
  <c r="I620"/>
  <c r="L620"/>
  <c r="X620"/>
  <c r="S620"/>
  <c r="Q620"/>
  <c r="J620"/>
  <c r="P620"/>
  <c r="O620"/>
  <c r="H620"/>
  <c r="K620"/>
  <c r="U620"/>
  <c r="T620"/>
  <c r="G620"/>
  <c r="N620"/>
  <c r="R620"/>
  <c r="M105"/>
  <c r="W105"/>
  <c r="L105"/>
  <c r="X105"/>
  <c r="I105"/>
  <c r="Y105"/>
  <c r="V105"/>
  <c r="Z105"/>
  <c r="S105"/>
  <c r="P105"/>
  <c r="Q105"/>
  <c r="K105"/>
  <c r="U105"/>
  <c r="J105"/>
  <c r="O105"/>
  <c r="H105"/>
  <c r="T105"/>
  <c r="G105"/>
  <c r="N105"/>
  <c r="R105"/>
  <c r="L273"/>
  <c r="W273"/>
  <c r="Z273"/>
  <c r="I273"/>
  <c r="V273"/>
  <c r="X273"/>
  <c r="Y273"/>
  <c r="T273"/>
  <c r="S273"/>
  <c r="M273"/>
  <c r="K273"/>
  <c r="U273"/>
  <c r="O273"/>
  <c r="R273"/>
  <c r="J273"/>
  <c r="Q273"/>
  <c r="P273"/>
  <c r="H273"/>
  <c r="G273"/>
  <c r="N273"/>
  <c r="Y654" i="1"/>
  <c r="Y112"/>
  <c r="Y116" s="1"/>
  <c r="Y140" s="1"/>
  <c r="F155" i="2" s="1"/>
  <c r="I565"/>
  <c r="G565"/>
  <c r="J565"/>
  <c r="M565"/>
  <c r="N565"/>
  <c r="V565"/>
  <c r="Q565"/>
  <c r="S565"/>
  <c r="W565"/>
  <c r="Z565"/>
  <c r="K565"/>
  <c r="H565"/>
  <c r="L565"/>
  <c r="O565"/>
  <c r="T565"/>
  <c r="P565"/>
  <c r="R565"/>
  <c r="U565"/>
  <c r="Y565"/>
  <c r="X565"/>
  <c r="J680"/>
  <c r="H680"/>
  <c r="L680"/>
  <c r="O680"/>
  <c r="P680"/>
  <c r="Q680"/>
  <c r="T680"/>
  <c r="X680"/>
  <c r="V680"/>
  <c r="Y680"/>
  <c r="G680"/>
  <c r="K680"/>
  <c r="I680"/>
  <c r="M680"/>
  <c r="N680"/>
  <c r="R680"/>
  <c r="S680"/>
  <c r="U680"/>
  <c r="Z680"/>
  <c r="W680"/>
  <c r="F508"/>
  <c r="AB608" i="1"/>
  <c r="G108" i="2"/>
  <c r="I108"/>
  <c r="K108"/>
  <c r="M108"/>
  <c r="O108"/>
  <c r="Q108"/>
  <c r="U108"/>
  <c r="S108"/>
  <c r="W108"/>
  <c r="X108"/>
  <c r="H108"/>
  <c r="J108"/>
  <c r="L108"/>
  <c r="N108"/>
  <c r="P108"/>
  <c r="R108"/>
  <c r="V108"/>
  <c r="T108"/>
  <c r="Z108"/>
  <c r="Y108"/>
  <c r="AE208" i="1"/>
  <c r="AF208" s="1"/>
  <c r="AG208" s="1"/>
  <c r="AF196"/>
  <c r="AG196" s="1"/>
  <c r="AE658"/>
  <c r="AF658" s="1"/>
  <c r="AG658" s="1"/>
  <c r="AE383"/>
  <c r="AF372"/>
  <c r="AG372" s="1"/>
  <c r="AE146"/>
  <c r="AF136"/>
  <c r="AG136" s="1"/>
  <c r="AE138"/>
  <c r="AF138" s="1"/>
  <c r="AG138" s="1"/>
  <c r="H151" i="2"/>
  <c r="P151"/>
  <c r="AA150"/>
  <c r="AB150" s="1"/>
  <c r="G151"/>
  <c r="I151"/>
  <c r="R151"/>
  <c r="S151"/>
  <c r="K151"/>
  <c r="V457"/>
  <c r="L457"/>
  <c r="M457"/>
  <c r="T457"/>
  <c r="W457"/>
  <c r="S457"/>
  <c r="I457"/>
  <c r="O457"/>
  <c r="R457"/>
  <c r="Y457"/>
  <c r="G457"/>
  <c r="P457"/>
  <c r="X457"/>
  <c r="Z457"/>
  <c r="Q457"/>
  <c r="U457"/>
  <c r="K457"/>
  <c r="H457"/>
  <c r="N457"/>
  <c r="J457"/>
  <c r="AB657" i="1"/>
  <c r="AB120"/>
  <c r="I499" i="2"/>
  <c r="AA498"/>
  <c r="AB498" s="1"/>
  <c r="L216"/>
  <c r="W216"/>
  <c r="Z216"/>
  <c r="I216"/>
  <c r="V216"/>
  <c r="X216"/>
  <c r="Y216"/>
  <c r="R216"/>
  <c r="Q216"/>
  <c r="P216"/>
  <c r="O216"/>
  <c r="T216"/>
  <c r="S216"/>
  <c r="M216"/>
  <c r="K216"/>
  <c r="U216"/>
  <c r="J216"/>
  <c r="H216"/>
  <c r="G216"/>
  <c r="N216"/>
  <c r="AD666" i="1"/>
  <c r="AD528"/>
  <c r="AD318"/>
  <c r="AD525"/>
  <c r="AD322"/>
  <c r="AD319"/>
  <c r="AD317"/>
  <c r="AD326"/>
  <c r="AD320"/>
  <c r="AD327"/>
  <c r="AD534"/>
  <c r="AD526"/>
  <c r="AD531"/>
  <c r="AD530"/>
  <c r="AD533"/>
  <c r="AD527"/>
  <c r="AD323"/>
  <c r="AA46" i="2"/>
  <c r="AB46" s="1"/>
  <c r="AD279" i="1"/>
  <c r="AA336" i="2"/>
  <c r="AB336" s="1"/>
  <c r="AA671"/>
  <c r="AB671" s="1"/>
  <c r="AA49"/>
  <c r="AB49" s="1"/>
  <c r="AA99"/>
  <c r="AB99" s="1"/>
  <c r="K43" i="14" l="1"/>
  <c r="L43" s="1"/>
  <c r="P213" i="2"/>
  <c r="T213"/>
  <c r="H213"/>
  <c r="N213"/>
  <c r="O213"/>
  <c r="K213"/>
  <c r="J213"/>
  <c r="L52"/>
  <c r="AA269"/>
  <c r="AB269" s="1"/>
  <c r="AC130" i="1"/>
  <c r="AF79"/>
  <c r="AG79" s="1"/>
  <c r="AC598"/>
  <c r="F511" i="2" s="1"/>
  <c r="Z511" s="1"/>
  <c r="AC324" i="1"/>
  <c r="S52" i="2"/>
  <c r="Q52"/>
  <c r="K52"/>
  <c r="AC325" i="1"/>
  <c r="Y52" i="2"/>
  <c r="I52"/>
  <c r="G52"/>
  <c r="W52"/>
  <c r="AC604" i="1"/>
  <c r="F683" i="2" s="1"/>
  <c r="T683" s="1"/>
  <c r="AC109" i="1"/>
  <c r="F111" i="2" s="1"/>
  <c r="Y111" s="1"/>
  <c r="U52"/>
  <c r="Z52"/>
  <c r="X52"/>
  <c r="T52"/>
  <c r="AC602" i="1"/>
  <c r="F626" i="2" s="1"/>
  <c r="G626" s="1"/>
  <c r="J52"/>
  <c r="V52"/>
  <c r="P52"/>
  <c r="AC529" i="1"/>
  <c r="AC538" s="1"/>
  <c r="AC540" s="1"/>
  <c r="AC542" s="1"/>
  <c r="AC606"/>
  <c r="AC321"/>
  <c r="N52" i="2"/>
  <c r="R52"/>
  <c r="M52"/>
  <c r="AC600" i="1"/>
  <c r="F568" i="2" s="1"/>
  <c r="O568" s="1"/>
  <c r="H52"/>
  <c r="O52"/>
  <c r="F219"/>
  <c r="M219" s="1"/>
  <c r="AA610" i="1"/>
  <c r="AA216" i="2"/>
  <c r="AB216" s="1"/>
  <c r="AA273"/>
  <c r="AB273" s="1"/>
  <c r="AD308" i="1"/>
  <c r="AA151" i="2"/>
  <c r="AB151" s="1"/>
  <c r="AE155" i="1"/>
  <c r="AF146"/>
  <c r="AE427"/>
  <c r="AF427" s="1"/>
  <c r="AG427" s="1"/>
  <c r="AF383"/>
  <c r="AG383" s="1"/>
  <c r="J155" i="2"/>
  <c r="O155"/>
  <c r="M155"/>
  <c r="M156" s="1"/>
  <c r="R155"/>
  <c r="R156" s="1"/>
  <c r="P155"/>
  <c r="S155"/>
  <c r="S156" s="1"/>
  <c r="V155"/>
  <c r="V156" s="1"/>
  <c r="X155"/>
  <c r="X156" s="1"/>
  <c r="G155"/>
  <c r="G156" s="1"/>
  <c r="L155"/>
  <c r="L156" s="1"/>
  <c r="N155"/>
  <c r="T155"/>
  <c r="Q155"/>
  <c r="Q156" s="1"/>
  <c r="Z155"/>
  <c r="Z156" s="1"/>
  <c r="W155"/>
  <c r="W156" s="1"/>
  <c r="Y155"/>
  <c r="Y156" s="1"/>
  <c r="I155"/>
  <c r="H155"/>
  <c r="K155"/>
  <c r="U155"/>
  <c r="U156" s="1"/>
  <c r="AA654" i="1"/>
  <c r="AA112"/>
  <c r="AA116" s="1"/>
  <c r="AA337"/>
  <c r="AA620" i="2"/>
  <c r="AB620" s="1"/>
  <c r="AB656" i="1"/>
  <c r="AB542"/>
  <c r="AB119"/>
  <c r="AB122" s="1"/>
  <c r="F279" i="2"/>
  <c r="I159"/>
  <c r="V159"/>
  <c r="Z159"/>
  <c r="Y159"/>
  <c r="L159"/>
  <c r="W159"/>
  <c r="X159"/>
  <c r="M159"/>
  <c r="U159"/>
  <c r="J159"/>
  <c r="T159"/>
  <c r="S159"/>
  <c r="K159"/>
  <c r="R159"/>
  <c r="Q159"/>
  <c r="P159"/>
  <c r="O159"/>
  <c r="H159"/>
  <c r="G159"/>
  <c r="N159"/>
  <c r="AE164" i="1"/>
  <c r="AF164" s="1"/>
  <c r="AG164" s="1"/>
  <c r="AF158"/>
  <c r="AG158" s="1"/>
  <c r="G339" i="2"/>
  <c r="L339"/>
  <c r="P339"/>
  <c r="R339"/>
  <c r="T339"/>
  <c r="Y339"/>
  <c r="W339"/>
  <c r="I339"/>
  <c r="M339"/>
  <c r="O339"/>
  <c r="V339"/>
  <c r="S339"/>
  <c r="X339"/>
  <c r="Z339"/>
  <c r="Q339"/>
  <c r="U339"/>
  <c r="K339"/>
  <c r="H339"/>
  <c r="N339"/>
  <c r="J339"/>
  <c r="AF586" i="1"/>
  <c r="AG586" s="1"/>
  <c r="AE588"/>
  <c r="U213" i="2"/>
  <c r="AD95" i="1"/>
  <c r="AD98" s="1"/>
  <c r="AD655"/>
  <c r="AD81"/>
  <c r="F55" i="2"/>
  <c r="AD127" i="1"/>
  <c r="AD113"/>
  <c r="AD125"/>
  <c r="AD128"/>
  <c r="AD114"/>
  <c r="AD126"/>
  <c r="AA457" i="2"/>
  <c r="AB457" s="1"/>
  <c r="AA565"/>
  <c r="AB565" s="1"/>
  <c r="AA562"/>
  <c r="AB562" s="1"/>
  <c r="AA499"/>
  <c r="AB499" s="1"/>
  <c r="AA623"/>
  <c r="AB623" s="1"/>
  <c r="AA677"/>
  <c r="AB677" s="1"/>
  <c r="F156"/>
  <c r="I508"/>
  <c r="G508"/>
  <c r="M508"/>
  <c r="N508"/>
  <c r="Q508"/>
  <c r="S508"/>
  <c r="V508"/>
  <c r="T508"/>
  <c r="X508"/>
  <c r="Z508"/>
  <c r="H508"/>
  <c r="K508"/>
  <c r="J508"/>
  <c r="L508"/>
  <c r="O508"/>
  <c r="R508"/>
  <c r="U508"/>
  <c r="P508"/>
  <c r="W508"/>
  <c r="Y508"/>
  <c r="AE484" i="1"/>
  <c r="AF474"/>
  <c r="AG474" s="1"/>
  <c r="AE465"/>
  <c r="AF453"/>
  <c r="AG453" s="1"/>
  <c r="F342" i="2"/>
  <c r="AB610" i="1"/>
  <c r="AB335"/>
  <c r="F222" i="2"/>
  <c r="AA656" i="1"/>
  <c r="AA542"/>
  <c r="F276" i="2"/>
  <c r="AA119" i="1"/>
  <c r="AA122" s="1"/>
  <c r="AE185"/>
  <c r="AF185" s="1"/>
  <c r="AG185" s="1"/>
  <c r="AF179"/>
  <c r="AG179" s="1"/>
  <c r="AE176"/>
  <c r="AF169"/>
  <c r="AG169" s="1"/>
  <c r="AE69"/>
  <c r="AE669"/>
  <c r="AF669" s="1"/>
  <c r="AG669" s="1"/>
  <c r="AF15"/>
  <c r="AG15" s="1"/>
  <c r="AE578"/>
  <c r="AF578" s="1"/>
  <c r="AG578" s="1"/>
  <c r="AF594"/>
  <c r="AG594" s="1"/>
  <c r="AE596"/>
  <c r="AF577"/>
  <c r="AG577" s="1"/>
  <c r="AA212" i="2"/>
  <c r="AB212" s="1"/>
  <c r="M505"/>
  <c r="X505"/>
  <c r="L505"/>
  <c r="V505"/>
  <c r="Z505"/>
  <c r="W505"/>
  <c r="I505"/>
  <c r="Y505"/>
  <c r="P505"/>
  <c r="Q505"/>
  <c r="K505"/>
  <c r="S505"/>
  <c r="O505"/>
  <c r="H505"/>
  <c r="U505"/>
  <c r="T505"/>
  <c r="J505"/>
  <c r="N505"/>
  <c r="R505"/>
  <c r="G505"/>
  <c r="AA154"/>
  <c r="AB154" s="1"/>
  <c r="H13" i="14"/>
  <c r="AC657" i="1"/>
  <c r="AC120"/>
  <c r="AA108" i="2"/>
  <c r="AB108" s="1"/>
  <c r="AA680"/>
  <c r="AB680" s="1"/>
  <c r="AA105"/>
  <c r="AB105" s="1"/>
  <c r="AA400"/>
  <c r="AB400" s="1"/>
  <c r="AA270"/>
  <c r="AB270" s="1"/>
  <c r="K156" l="1"/>
  <c r="H156"/>
  <c r="O156"/>
  <c r="AA213"/>
  <c r="AB213" s="1"/>
  <c r="T156"/>
  <c r="J156"/>
  <c r="P156"/>
  <c r="L683"/>
  <c r="Z683"/>
  <c r="P568"/>
  <c r="G511"/>
  <c r="G111"/>
  <c r="M568"/>
  <c r="U511"/>
  <c r="W511"/>
  <c r="P111"/>
  <c r="O111"/>
  <c r="N111"/>
  <c r="V111"/>
  <c r="J111"/>
  <c r="R111"/>
  <c r="L111"/>
  <c r="K111"/>
  <c r="M111"/>
  <c r="U111"/>
  <c r="I111"/>
  <c r="H111"/>
  <c r="W111"/>
  <c r="Q111"/>
  <c r="T111"/>
  <c r="Z111"/>
  <c r="S111"/>
  <c r="J511"/>
  <c r="T511"/>
  <c r="R511"/>
  <c r="N511"/>
  <c r="P511"/>
  <c r="S511"/>
  <c r="O511"/>
  <c r="L511"/>
  <c r="V511"/>
  <c r="W219"/>
  <c r="H511"/>
  <c r="K511"/>
  <c r="M511"/>
  <c r="I511"/>
  <c r="U568"/>
  <c r="Q511"/>
  <c r="Y511"/>
  <c r="X511"/>
  <c r="X111"/>
  <c r="Y219"/>
  <c r="N219"/>
  <c r="H219"/>
  <c r="T219"/>
  <c r="K219"/>
  <c r="O219"/>
  <c r="V219"/>
  <c r="AC331" i="1"/>
  <c r="AC333" s="1"/>
  <c r="AC335" s="1"/>
  <c r="AC112" s="1"/>
  <c r="AC116" s="1"/>
  <c r="P219" i="2"/>
  <c r="G219"/>
  <c r="I27" i="14" s="1"/>
  <c r="R219" i="2"/>
  <c r="Z219"/>
  <c r="Q219"/>
  <c r="X219"/>
  <c r="L219"/>
  <c r="U219"/>
  <c r="I219"/>
  <c r="J219"/>
  <c r="S219"/>
  <c r="H626"/>
  <c r="I626"/>
  <c r="M626"/>
  <c r="AA52"/>
  <c r="AB52" s="1"/>
  <c r="AC608" i="1"/>
  <c r="AC610" s="1"/>
  <c r="I568" i="2"/>
  <c r="X683"/>
  <c r="G568"/>
  <c r="K626"/>
  <c r="N683"/>
  <c r="P683"/>
  <c r="R683"/>
  <c r="Q568"/>
  <c r="X568"/>
  <c r="Y683"/>
  <c r="H568"/>
  <c r="J683"/>
  <c r="K568"/>
  <c r="U626"/>
  <c r="H683"/>
  <c r="S683"/>
  <c r="M683"/>
  <c r="Z568"/>
  <c r="Y568"/>
  <c r="W683"/>
  <c r="L568"/>
  <c r="V683"/>
  <c r="Q626"/>
  <c r="K683"/>
  <c r="O683"/>
  <c r="G683"/>
  <c r="W568"/>
  <c r="V568"/>
  <c r="R626"/>
  <c r="U683"/>
  <c r="I683"/>
  <c r="J568"/>
  <c r="S568"/>
  <c r="R568"/>
  <c r="L626"/>
  <c r="Q683"/>
  <c r="N568"/>
  <c r="T568"/>
  <c r="P626"/>
  <c r="Y626"/>
  <c r="W626"/>
  <c r="Z626"/>
  <c r="J626"/>
  <c r="X626"/>
  <c r="T626"/>
  <c r="N626"/>
  <c r="S626"/>
  <c r="V626"/>
  <c r="O626"/>
  <c r="F282"/>
  <c r="L282" s="1"/>
  <c r="AC119" i="1"/>
  <c r="AC122" s="1"/>
  <c r="N156" i="2"/>
  <c r="AC656" i="1"/>
  <c r="AE580"/>
  <c r="F345" i="2" s="1"/>
  <c r="AD130" i="1"/>
  <c r="AE655"/>
  <c r="AF655" s="1"/>
  <c r="AG655" s="1"/>
  <c r="AE95"/>
  <c r="AE81"/>
  <c r="AF81" s="1"/>
  <c r="AG81" s="1"/>
  <c r="AF69"/>
  <c r="AG69" s="1"/>
  <c r="AE125"/>
  <c r="AE113"/>
  <c r="AF113" s="1"/>
  <c r="AG113" s="1"/>
  <c r="AE128"/>
  <c r="AF128" s="1"/>
  <c r="AG128" s="1"/>
  <c r="AE126"/>
  <c r="AF126" s="1"/>
  <c r="AG126" s="1"/>
  <c r="F58" i="2"/>
  <c r="F60" s="1"/>
  <c r="AE127" i="1"/>
  <c r="AF127" s="1"/>
  <c r="AG127" s="1"/>
  <c r="AE114"/>
  <c r="AF114" s="1"/>
  <c r="AG114" s="1"/>
  <c r="AE187"/>
  <c r="AF187" s="1"/>
  <c r="AG187" s="1"/>
  <c r="AF176"/>
  <c r="AG176" s="1"/>
  <c r="I276" i="2"/>
  <c r="M276"/>
  <c r="V276"/>
  <c r="X276"/>
  <c r="Z276"/>
  <c r="L276"/>
  <c r="W276"/>
  <c r="Y276"/>
  <c r="S276"/>
  <c r="O276"/>
  <c r="H276"/>
  <c r="Q276"/>
  <c r="T276"/>
  <c r="J276"/>
  <c r="P276"/>
  <c r="K276"/>
  <c r="U276"/>
  <c r="R276"/>
  <c r="G276"/>
  <c r="N276"/>
  <c r="AB654" i="1"/>
  <c r="AB112"/>
  <c r="AB116" s="1"/>
  <c r="AB140" s="1"/>
  <c r="F165" i="2" s="1"/>
  <c r="L342"/>
  <c r="V342"/>
  <c r="T342"/>
  <c r="X342"/>
  <c r="S342"/>
  <c r="Y342"/>
  <c r="I342"/>
  <c r="O342"/>
  <c r="R342"/>
  <c r="Z342"/>
  <c r="G342"/>
  <c r="M342"/>
  <c r="P342"/>
  <c r="W342"/>
  <c r="Q342"/>
  <c r="U342"/>
  <c r="K342"/>
  <c r="H342"/>
  <c r="N342"/>
  <c r="J342"/>
  <c r="I55"/>
  <c r="R55"/>
  <c r="V55"/>
  <c r="L55"/>
  <c r="S55"/>
  <c r="M55"/>
  <c r="O55"/>
  <c r="G55"/>
  <c r="P55"/>
  <c r="Z55"/>
  <c r="Y55"/>
  <c r="X55"/>
  <c r="T55"/>
  <c r="W55"/>
  <c r="Q55"/>
  <c r="K55"/>
  <c r="H55"/>
  <c r="N55"/>
  <c r="J55"/>
  <c r="U55"/>
  <c r="AF588" i="1"/>
  <c r="AG588" s="1"/>
  <c r="F403" i="2"/>
  <c r="I156"/>
  <c r="AA155"/>
  <c r="AB155" s="1"/>
  <c r="AD657" i="1"/>
  <c r="AD120"/>
  <c r="AA508" i="2"/>
  <c r="AB508" s="1"/>
  <c r="AA159"/>
  <c r="AB159" s="1"/>
  <c r="AA140" i="1"/>
  <c r="F162" i="2" s="1"/>
  <c r="AE166" i="1"/>
  <c r="AA505" i="2"/>
  <c r="AB505" s="1"/>
  <c r="I29" i="14"/>
  <c r="K29" s="1"/>
  <c r="AF596" i="1"/>
  <c r="AG596" s="1"/>
  <c r="F460" i="2"/>
  <c r="G222"/>
  <c r="H222"/>
  <c r="J222"/>
  <c r="N222"/>
  <c r="O222"/>
  <c r="R222"/>
  <c r="V222"/>
  <c r="T222"/>
  <c r="X222"/>
  <c r="Z222"/>
  <c r="K222"/>
  <c r="I222"/>
  <c r="L222"/>
  <c r="M222"/>
  <c r="Q222"/>
  <c r="S222"/>
  <c r="P222"/>
  <c r="U222"/>
  <c r="Y222"/>
  <c r="W222"/>
  <c r="AE664" i="1"/>
  <c r="AF664" s="1"/>
  <c r="AG664" s="1"/>
  <c r="AF465"/>
  <c r="AG465" s="1"/>
  <c r="AE246"/>
  <c r="AE665"/>
  <c r="AF665" s="1"/>
  <c r="AG665" s="1"/>
  <c r="AE486"/>
  <c r="AF484"/>
  <c r="AG484" s="1"/>
  <c r="AE263"/>
  <c r="AD109"/>
  <c r="F114" i="2" s="1"/>
  <c r="AD325" i="1"/>
  <c r="AD606"/>
  <c r="AD324"/>
  <c r="AD529"/>
  <c r="AD600"/>
  <c r="F571" i="2" s="1"/>
  <c r="AD532" i="1"/>
  <c r="AD604"/>
  <c r="F686" i="2" s="1"/>
  <c r="AD602" i="1"/>
  <c r="F629" i="2" s="1"/>
  <c r="AD321" i="1"/>
  <c r="AD598"/>
  <c r="AA339" i="2"/>
  <c r="AB339" s="1"/>
  <c r="H279"/>
  <c r="G279"/>
  <c r="J279"/>
  <c r="N279"/>
  <c r="L279"/>
  <c r="R279"/>
  <c r="U279"/>
  <c r="T279"/>
  <c r="X279"/>
  <c r="W279"/>
  <c r="K279"/>
  <c r="I279"/>
  <c r="M279"/>
  <c r="O279"/>
  <c r="Q279"/>
  <c r="S279"/>
  <c r="P279"/>
  <c r="V279"/>
  <c r="Z279"/>
  <c r="Y279"/>
  <c r="AF155" i="1"/>
  <c r="AG155" s="1"/>
  <c r="AG146"/>
  <c r="AA111" i="2" l="1"/>
  <c r="AB111" s="1"/>
  <c r="AA511"/>
  <c r="AB511" s="1"/>
  <c r="AC654" i="1"/>
  <c r="F225" i="2"/>
  <c r="I225" s="1"/>
  <c r="AA156"/>
  <c r="AB156" s="1"/>
  <c r="AA219"/>
  <c r="AB219" s="1"/>
  <c r="Q282"/>
  <c r="R282"/>
  <c r="O282"/>
  <c r="M282"/>
  <c r="N282"/>
  <c r="I282"/>
  <c r="H282"/>
  <c r="Z282"/>
  <c r="K282"/>
  <c r="P282"/>
  <c r="U282"/>
  <c r="G282"/>
  <c r="X282"/>
  <c r="V282"/>
  <c r="Y282"/>
  <c r="W282"/>
  <c r="J282"/>
  <c r="T282"/>
  <c r="S282"/>
  <c r="AA568"/>
  <c r="AB568" s="1"/>
  <c r="AA626"/>
  <c r="AB626" s="1"/>
  <c r="AA683"/>
  <c r="AB683" s="1"/>
  <c r="AF580" i="1"/>
  <c r="AG580" s="1"/>
  <c r="AC140"/>
  <c r="F168" i="2" s="1"/>
  <c r="S168" s="1"/>
  <c r="AD331" i="1"/>
  <c r="AD333" s="1"/>
  <c r="AD335" s="1"/>
  <c r="F514" i="2"/>
  <c r="AD608" i="1"/>
  <c r="L629" i="2"/>
  <c r="Y629"/>
  <c r="M629"/>
  <c r="S629"/>
  <c r="W629"/>
  <c r="P629"/>
  <c r="X629"/>
  <c r="I629"/>
  <c r="R629"/>
  <c r="T629"/>
  <c r="Z629"/>
  <c r="O629"/>
  <c r="G629"/>
  <c r="V629"/>
  <c r="Q629"/>
  <c r="K629"/>
  <c r="H629"/>
  <c r="U629"/>
  <c r="N629"/>
  <c r="J629"/>
  <c r="AE273" i="1"/>
  <c r="AF273" s="1"/>
  <c r="AG273" s="1"/>
  <c r="AF263"/>
  <c r="AG263" s="1"/>
  <c r="AE488"/>
  <c r="AF486"/>
  <c r="AG486" s="1"/>
  <c r="AE259"/>
  <c r="AF246"/>
  <c r="AG246" s="1"/>
  <c r="AA222" i="2"/>
  <c r="AB222" s="1"/>
  <c r="I162"/>
  <c r="W162"/>
  <c r="Y162"/>
  <c r="M162"/>
  <c r="V162"/>
  <c r="X162"/>
  <c r="Z162"/>
  <c r="L162"/>
  <c r="H162"/>
  <c r="S162"/>
  <c r="P162"/>
  <c r="O162"/>
  <c r="Q162"/>
  <c r="K162"/>
  <c r="U162"/>
  <c r="T162"/>
  <c r="J162"/>
  <c r="R162"/>
  <c r="N162"/>
  <c r="G162"/>
  <c r="I403"/>
  <c r="I405" s="1"/>
  <c r="I715" s="1"/>
  <c r="O403"/>
  <c r="O405" s="1"/>
  <c r="O715" s="1"/>
  <c r="M403"/>
  <c r="M405" s="1"/>
  <c r="M715" s="1"/>
  <c r="V403"/>
  <c r="V405" s="1"/>
  <c r="V715" s="1"/>
  <c r="V776" s="1"/>
  <c r="R403"/>
  <c r="R405" s="1"/>
  <c r="R715" s="1"/>
  <c r="R776" s="1"/>
  <c r="W403"/>
  <c r="W405" s="1"/>
  <c r="W715" s="1"/>
  <c r="W776" s="1"/>
  <c r="Y403"/>
  <c r="Y405" s="1"/>
  <c r="Y715" s="1"/>
  <c r="Y776" s="1"/>
  <c r="G403"/>
  <c r="G405" s="1"/>
  <c r="L403"/>
  <c r="L405" s="1"/>
  <c r="L715" s="1"/>
  <c r="T403"/>
  <c r="T405" s="1"/>
  <c r="T715" s="1"/>
  <c r="T776" s="1"/>
  <c r="P403"/>
  <c r="P405" s="1"/>
  <c r="P715" s="1"/>
  <c r="S403"/>
  <c r="S405" s="1"/>
  <c r="S715" s="1"/>
  <c r="S776" s="1"/>
  <c r="X403"/>
  <c r="X405" s="1"/>
  <c r="X715" s="1"/>
  <c r="X776" s="1"/>
  <c r="Z403"/>
  <c r="Z405" s="1"/>
  <c r="Z715" s="1"/>
  <c r="Z776" s="1"/>
  <c r="Q403"/>
  <c r="Q405" s="1"/>
  <c r="Q715" s="1"/>
  <c r="K403"/>
  <c r="K405" s="1"/>
  <c r="K715" s="1"/>
  <c r="H403"/>
  <c r="H405" s="1"/>
  <c r="H715" s="1"/>
  <c r="N403"/>
  <c r="N405" s="1"/>
  <c r="N715" s="1"/>
  <c r="J403"/>
  <c r="J405" s="1"/>
  <c r="J715" s="1"/>
  <c r="U403"/>
  <c r="F405"/>
  <c r="F715" s="1"/>
  <c r="F776" s="1"/>
  <c r="M58"/>
  <c r="M60" s="1"/>
  <c r="P58"/>
  <c r="P60" s="1"/>
  <c r="T58"/>
  <c r="T60" s="1"/>
  <c r="S58"/>
  <c r="S60" s="1"/>
  <c r="Z58"/>
  <c r="Z60" s="1"/>
  <c r="Y58"/>
  <c r="Y60" s="1"/>
  <c r="I58"/>
  <c r="I60" s="1"/>
  <c r="G58"/>
  <c r="G60" s="1"/>
  <c r="L58"/>
  <c r="L60" s="1"/>
  <c r="O58"/>
  <c r="O60" s="1"/>
  <c r="R58"/>
  <c r="R60" s="1"/>
  <c r="V58"/>
  <c r="V60" s="1"/>
  <c r="W58"/>
  <c r="W60" s="1"/>
  <c r="X58"/>
  <c r="X60" s="1"/>
  <c r="Q58"/>
  <c r="Q60" s="1"/>
  <c r="K58"/>
  <c r="K60" s="1"/>
  <c r="H58"/>
  <c r="H60" s="1"/>
  <c r="N58"/>
  <c r="N60" s="1"/>
  <c r="U58"/>
  <c r="U60" s="1"/>
  <c r="J58"/>
  <c r="J60" s="1"/>
  <c r="AE130" i="1"/>
  <c r="AF130" s="1"/>
  <c r="AG130" s="1"/>
  <c r="AF125"/>
  <c r="AG125" s="1"/>
  <c r="AA279" i="2"/>
  <c r="AB279" s="1"/>
  <c r="AD538" i="1"/>
  <c r="AD540" s="1"/>
  <c r="G168" i="2"/>
  <c r="M686"/>
  <c r="P686"/>
  <c r="G686"/>
  <c r="T686"/>
  <c r="Y686"/>
  <c r="W686"/>
  <c r="L686"/>
  <c r="Z686"/>
  <c r="I686"/>
  <c r="S686"/>
  <c r="X686"/>
  <c r="R686"/>
  <c r="O686"/>
  <c r="V686"/>
  <c r="Q686"/>
  <c r="U686"/>
  <c r="K686"/>
  <c r="H686"/>
  <c r="N686"/>
  <c r="J686"/>
  <c r="X571"/>
  <c r="L571"/>
  <c r="W571"/>
  <c r="P571"/>
  <c r="Z571"/>
  <c r="O571"/>
  <c r="Y571"/>
  <c r="G571"/>
  <c r="V571"/>
  <c r="I571"/>
  <c r="T571"/>
  <c r="M571"/>
  <c r="S571"/>
  <c r="R571"/>
  <c r="Q571"/>
  <c r="U571"/>
  <c r="K571"/>
  <c r="H571"/>
  <c r="N571"/>
  <c r="J571"/>
  <c r="G114"/>
  <c r="L114"/>
  <c r="X114"/>
  <c r="I114"/>
  <c r="O114"/>
  <c r="S114"/>
  <c r="T114"/>
  <c r="Z114"/>
  <c r="R114"/>
  <c r="W114"/>
  <c r="M114"/>
  <c r="P114"/>
  <c r="V114"/>
  <c r="Y114"/>
  <c r="Q114"/>
  <c r="H114"/>
  <c r="K114"/>
  <c r="N114"/>
  <c r="J114"/>
  <c r="U114"/>
  <c r="G460"/>
  <c r="G462" s="1"/>
  <c r="O460"/>
  <c r="O462" s="1"/>
  <c r="O716" s="1"/>
  <c r="O777" s="1"/>
  <c r="T460"/>
  <c r="T462" s="1"/>
  <c r="T716" s="1"/>
  <c r="T777" s="1"/>
  <c r="P460"/>
  <c r="P462" s="1"/>
  <c r="P716" s="1"/>
  <c r="P777" s="1"/>
  <c r="X460"/>
  <c r="X462" s="1"/>
  <c r="X716" s="1"/>
  <c r="X777" s="1"/>
  <c r="W460"/>
  <c r="W462" s="1"/>
  <c r="W716" s="1"/>
  <c r="W777" s="1"/>
  <c r="I460"/>
  <c r="I462" s="1"/>
  <c r="I716" s="1"/>
  <c r="I777" s="1"/>
  <c r="M460"/>
  <c r="M462" s="1"/>
  <c r="M716" s="1"/>
  <c r="M777" s="1"/>
  <c r="L460"/>
  <c r="L462" s="1"/>
  <c r="L716" s="1"/>
  <c r="L777" s="1"/>
  <c r="R460"/>
  <c r="R462" s="1"/>
  <c r="R716" s="1"/>
  <c r="R777" s="1"/>
  <c r="V460"/>
  <c r="V462" s="1"/>
  <c r="V716" s="1"/>
  <c r="V777" s="1"/>
  <c r="S460"/>
  <c r="S462" s="1"/>
  <c r="S716" s="1"/>
  <c r="S777" s="1"/>
  <c r="Y460"/>
  <c r="Y462" s="1"/>
  <c r="Y716" s="1"/>
  <c r="Y777" s="1"/>
  <c r="Z460"/>
  <c r="Z462" s="1"/>
  <c r="Z716" s="1"/>
  <c r="Z777" s="1"/>
  <c r="Q460"/>
  <c r="Q462" s="1"/>
  <c r="Q716" s="1"/>
  <c r="Q777" s="1"/>
  <c r="K460"/>
  <c r="K462" s="1"/>
  <c r="K716" s="1"/>
  <c r="K777" s="1"/>
  <c r="H460"/>
  <c r="H462" s="1"/>
  <c r="H716" s="1"/>
  <c r="H777" s="1"/>
  <c r="N460"/>
  <c r="N462" s="1"/>
  <c r="N716" s="1"/>
  <c r="N777" s="1"/>
  <c r="J460"/>
  <c r="J462" s="1"/>
  <c r="J716" s="1"/>
  <c r="J777" s="1"/>
  <c r="U460"/>
  <c r="F462"/>
  <c r="F716" s="1"/>
  <c r="F777" s="1"/>
  <c r="I345"/>
  <c r="I347" s="1"/>
  <c r="G345"/>
  <c r="G347" s="1"/>
  <c r="L345"/>
  <c r="L347" s="1"/>
  <c r="O345"/>
  <c r="O347" s="1"/>
  <c r="R345"/>
  <c r="R347" s="1"/>
  <c r="T345"/>
  <c r="T347" s="1"/>
  <c r="Z345"/>
  <c r="Z347" s="1"/>
  <c r="X345"/>
  <c r="X347" s="1"/>
  <c r="M345"/>
  <c r="M347" s="1"/>
  <c r="P345"/>
  <c r="P347" s="1"/>
  <c r="S345"/>
  <c r="S347" s="1"/>
  <c r="V345"/>
  <c r="V347" s="1"/>
  <c r="W345"/>
  <c r="W347" s="1"/>
  <c r="Y345"/>
  <c r="Y347" s="1"/>
  <c r="Q345"/>
  <c r="Q347" s="1"/>
  <c r="K345"/>
  <c r="K347" s="1"/>
  <c r="H345"/>
  <c r="H347" s="1"/>
  <c r="N345"/>
  <c r="N347" s="1"/>
  <c r="J345"/>
  <c r="J347" s="1"/>
  <c r="U345"/>
  <c r="AE210" i="1"/>
  <c r="AF166"/>
  <c r="AG166" s="1"/>
  <c r="AA55" i="2"/>
  <c r="AB55" s="1"/>
  <c r="I165"/>
  <c r="H165"/>
  <c r="K165"/>
  <c r="N165"/>
  <c r="L165"/>
  <c r="R165"/>
  <c r="U165"/>
  <c r="P165"/>
  <c r="X165"/>
  <c r="Y165"/>
  <c r="G165"/>
  <c r="J165"/>
  <c r="M165"/>
  <c r="O165"/>
  <c r="Q165"/>
  <c r="S165"/>
  <c r="V165"/>
  <c r="T165"/>
  <c r="W165"/>
  <c r="Z165"/>
  <c r="AA276"/>
  <c r="AB276" s="1"/>
  <c r="AE98" i="1"/>
  <c r="AF95"/>
  <c r="AG95" s="1"/>
  <c r="F347" i="2"/>
  <c r="AA342"/>
  <c r="AB342" s="1"/>
  <c r="Y225" l="1"/>
  <c r="R225"/>
  <c r="U225"/>
  <c r="H225"/>
  <c r="X225"/>
  <c r="Z225"/>
  <c r="N225"/>
  <c r="K225"/>
  <c r="Q225"/>
  <c r="O225"/>
  <c r="T225"/>
  <c r="P225"/>
  <c r="J225"/>
  <c r="W225"/>
  <c r="S225"/>
  <c r="M225"/>
  <c r="L225"/>
  <c r="V225"/>
  <c r="G225"/>
  <c r="L168"/>
  <c r="O168"/>
  <c r="N168"/>
  <c r="K168"/>
  <c r="R168"/>
  <c r="H168"/>
  <c r="P168"/>
  <c r="I168"/>
  <c r="U168"/>
  <c r="M168"/>
  <c r="Q168"/>
  <c r="X168"/>
  <c r="Z168"/>
  <c r="Y168"/>
  <c r="W168"/>
  <c r="T168"/>
  <c r="J168"/>
  <c r="V168"/>
  <c r="F228"/>
  <c r="S228" s="1"/>
  <c r="AD610" i="1"/>
  <c r="AA282" i="2"/>
  <c r="AB282" s="1"/>
  <c r="N776"/>
  <c r="F714"/>
  <c r="F775"/>
  <c r="V832"/>
  <c r="V718"/>
  <c r="V779" s="1"/>
  <c r="V717"/>
  <c r="V778" s="1"/>
  <c r="L795"/>
  <c r="L832"/>
  <c r="R717"/>
  <c r="R778" s="1"/>
  <c r="S832"/>
  <c r="S718"/>
  <c r="S779" s="1"/>
  <c r="S795"/>
  <c r="V795"/>
  <c r="L718"/>
  <c r="L779" s="1"/>
  <c r="L717"/>
  <c r="R832"/>
  <c r="S717"/>
  <c r="S778" s="1"/>
  <c r="R795"/>
  <c r="Q718"/>
  <c r="Q779" s="1"/>
  <c r="Q832"/>
  <c r="Q717"/>
  <c r="J717"/>
  <c r="W795"/>
  <c r="R718"/>
  <c r="R779" s="1"/>
  <c r="Q795"/>
  <c r="J718"/>
  <c r="J779" s="1"/>
  <c r="J832"/>
  <c r="J795"/>
  <c r="W832"/>
  <c r="W718"/>
  <c r="W779" s="1"/>
  <c r="W717"/>
  <c r="W778" s="1"/>
  <c r="N832"/>
  <c r="N795"/>
  <c r="X795"/>
  <c r="X717"/>
  <c r="X778" s="1"/>
  <c r="O718"/>
  <c r="O779" s="1"/>
  <c r="O717"/>
  <c r="Z718"/>
  <c r="Z795"/>
  <c r="Z832"/>
  <c r="T832"/>
  <c r="T718"/>
  <c r="T779" s="1"/>
  <c r="M717"/>
  <c r="M832"/>
  <c r="P832"/>
  <c r="N718"/>
  <c r="N779" s="1"/>
  <c r="N717"/>
  <c r="X832"/>
  <c r="X718"/>
  <c r="O832"/>
  <c r="O795"/>
  <c r="Z717"/>
  <c r="Z778" s="1"/>
  <c r="T717"/>
  <c r="T795"/>
  <c r="M795"/>
  <c r="M718"/>
  <c r="M779" s="1"/>
  <c r="P717"/>
  <c r="P718"/>
  <c r="P779" s="1"/>
  <c r="P795"/>
  <c r="Y832"/>
  <c r="Y718"/>
  <c r="Y717"/>
  <c r="Y778" s="1"/>
  <c r="Y795"/>
  <c r="G718"/>
  <c r="G795"/>
  <c r="G717"/>
  <c r="G832"/>
  <c r="H832"/>
  <c r="H795"/>
  <c r="H717"/>
  <c r="H718"/>
  <c r="H779" s="1"/>
  <c r="K718"/>
  <c r="K779" s="1"/>
  <c r="K795"/>
  <c r="I717"/>
  <c r="I795"/>
  <c r="K832"/>
  <c r="K717"/>
  <c r="I718"/>
  <c r="I779" s="1"/>
  <c r="I832"/>
  <c r="AA345"/>
  <c r="AB345" s="1"/>
  <c r="U347"/>
  <c r="U717" s="1"/>
  <c r="N775"/>
  <c r="N714"/>
  <c r="K775"/>
  <c r="K714"/>
  <c r="Y775"/>
  <c r="Y714"/>
  <c r="V775"/>
  <c r="V714"/>
  <c r="P714"/>
  <c r="P775"/>
  <c r="X775"/>
  <c r="X714"/>
  <c r="T714"/>
  <c r="T775"/>
  <c r="O714"/>
  <c r="O775"/>
  <c r="G714"/>
  <c r="G775"/>
  <c r="D28" i="14" s="1"/>
  <c r="G716" i="2"/>
  <c r="AA571"/>
  <c r="AB571" s="1"/>
  <c r="AD656" i="1"/>
  <c r="AD542"/>
  <c r="AD119"/>
  <c r="AD122" s="1"/>
  <c r="F285" i="2"/>
  <c r="AA403"/>
  <c r="AB403" s="1"/>
  <c r="U405"/>
  <c r="U715" s="1"/>
  <c r="K776"/>
  <c r="G715"/>
  <c r="O776"/>
  <c r="AA629"/>
  <c r="AB629" s="1"/>
  <c r="G514"/>
  <c r="S514"/>
  <c r="V514"/>
  <c r="L514"/>
  <c r="O514"/>
  <c r="W514"/>
  <c r="T514"/>
  <c r="M514"/>
  <c r="R514"/>
  <c r="I514"/>
  <c r="X514"/>
  <c r="P514"/>
  <c r="Z514"/>
  <c r="Y514"/>
  <c r="Q514"/>
  <c r="U514"/>
  <c r="K514"/>
  <c r="H514"/>
  <c r="N514"/>
  <c r="J514"/>
  <c r="AA60"/>
  <c r="AB60" s="1"/>
  <c r="AA58"/>
  <c r="AB58" s="1"/>
  <c r="AE109" i="1"/>
  <c r="AF98"/>
  <c r="AG98" s="1"/>
  <c r="AE321"/>
  <c r="AF321" s="1"/>
  <c r="AG321" s="1"/>
  <c r="AE604"/>
  <c r="AE602"/>
  <c r="AE324"/>
  <c r="AF324" s="1"/>
  <c r="AG324" s="1"/>
  <c r="AE532"/>
  <c r="AF532" s="1"/>
  <c r="AG532" s="1"/>
  <c r="AE606"/>
  <c r="AF606" s="1"/>
  <c r="AG606" s="1"/>
  <c r="AE598"/>
  <c r="AE529"/>
  <c r="AF529" s="1"/>
  <c r="AG529" s="1"/>
  <c r="AE325"/>
  <c r="AF325" s="1"/>
  <c r="AG325" s="1"/>
  <c r="AE600"/>
  <c r="AE223"/>
  <c r="AF210"/>
  <c r="AG210" s="1"/>
  <c r="J775" i="2"/>
  <c r="J714"/>
  <c r="H714"/>
  <c r="H775"/>
  <c r="Q714"/>
  <c r="Q775"/>
  <c r="W714"/>
  <c r="W775"/>
  <c r="S775"/>
  <c r="S714"/>
  <c r="M775"/>
  <c r="M714"/>
  <c r="Z714"/>
  <c r="Z775"/>
  <c r="R714"/>
  <c r="R775"/>
  <c r="L714"/>
  <c r="L775"/>
  <c r="I714"/>
  <c r="I775"/>
  <c r="AA460"/>
  <c r="AB460" s="1"/>
  <c r="U462"/>
  <c r="U716" s="1"/>
  <c r="U777" s="1"/>
  <c r="AA114"/>
  <c r="AB114" s="1"/>
  <c r="AA686"/>
  <c r="AB686" s="1"/>
  <c r="AD654" i="1"/>
  <c r="AD112"/>
  <c r="AD116" s="1"/>
  <c r="J776" i="2"/>
  <c r="H776"/>
  <c r="Q776"/>
  <c r="P776"/>
  <c r="L776"/>
  <c r="M776"/>
  <c r="I776"/>
  <c r="AA162"/>
  <c r="AB162" s="1"/>
  <c r="I13" i="14"/>
  <c r="AE275" i="1"/>
  <c r="AF259"/>
  <c r="AG259" s="1"/>
  <c r="AE490"/>
  <c r="AF488"/>
  <c r="AG488" s="1"/>
  <c r="AA165" i="2"/>
  <c r="AB165" s="1"/>
  <c r="T778" l="1"/>
  <c r="U228"/>
  <c r="G228"/>
  <c r="J27" i="14" s="1"/>
  <c r="K27" s="1"/>
  <c r="V228" i="2"/>
  <c r="Q228"/>
  <c r="I228"/>
  <c r="T228"/>
  <c r="K228"/>
  <c r="O228"/>
  <c r="P228"/>
  <c r="N228"/>
  <c r="H228"/>
  <c r="L228"/>
  <c r="M228"/>
  <c r="Y228"/>
  <c r="Z228"/>
  <c r="W228"/>
  <c r="X228"/>
  <c r="J228"/>
  <c r="R228"/>
  <c r="AA225"/>
  <c r="AB225" s="1"/>
  <c r="AA168"/>
  <c r="AB168" s="1"/>
  <c r="AD140" i="1"/>
  <c r="F171" i="2" s="1"/>
  <c r="Y171" s="1"/>
  <c r="AA405"/>
  <c r="AB405" s="1"/>
  <c r="U778"/>
  <c r="AE516" i="1"/>
  <c r="AF490"/>
  <c r="AG490" s="1"/>
  <c r="AE277"/>
  <c r="AF277" s="1"/>
  <c r="AG277" s="1"/>
  <c r="AF275"/>
  <c r="AG275" s="1"/>
  <c r="I34" i="14"/>
  <c r="H34"/>
  <c r="AE279" i="1"/>
  <c r="AF223"/>
  <c r="AG223" s="1"/>
  <c r="AF598"/>
  <c r="AG598" s="1"/>
  <c r="F517" i="2"/>
  <c r="AE608" i="1"/>
  <c r="AF608" s="1"/>
  <c r="AG608" s="1"/>
  <c r="AF602"/>
  <c r="AG602" s="1"/>
  <c r="F632" i="2"/>
  <c r="AA514"/>
  <c r="AB514" s="1"/>
  <c r="U776"/>
  <c r="G285"/>
  <c r="M285"/>
  <c r="P285"/>
  <c r="V285"/>
  <c r="T285"/>
  <c r="X285"/>
  <c r="Z285"/>
  <c r="I285"/>
  <c r="L285"/>
  <c r="O285"/>
  <c r="S285"/>
  <c r="R285"/>
  <c r="W285"/>
  <c r="Y285"/>
  <c r="Q285"/>
  <c r="U285"/>
  <c r="K285"/>
  <c r="H285"/>
  <c r="N285"/>
  <c r="J285"/>
  <c r="L28" i="14"/>
  <c r="K778" i="2"/>
  <c r="P778"/>
  <c r="N778"/>
  <c r="M778"/>
  <c r="O778"/>
  <c r="Q778"/>
  <c r="L778"/>
  <c r="AA462"/>
  <c r="AB462" s="1"/>
  <c r="AA347"/>
  <c r="U832"/>
  <c r="AA832" s="1"/>
  <c r="AB832" s="1"/>
  <c r="AF600" i="1"/>
  <c r="AG600" s="1"/>
  <c r="F574" i="2"/>
  <c r="AF604" i="1"/>
  <c r="AG604" s="1"/>
  <c r="F689" i="2"/>
  <c r="AF109" i="1"/>
  <c r="AG109" s="1"/>
  <c r="F117" i="2"/>
  <c r="G776"/>
  <c r="AA715"/>
  <c r="AB715" s="1"/>
  <c r="G777"/>
  <c r="AA777" s="1"/>
  <c r="AB777" s="1"/>
  <c r="AA716"/>
  <c r="AB716" s="1"/>
  <c r="U775"/>
  <c r="U714"/>
  <c r="I778"/>
  <c r="H778"/>
  <c r="D30" i="14"/>
  <c r="G778" i="2"/>
  <c r="AA717"/>
  <c r="AB717" s="1"/>
  <c r="G779"/>
  <c r="J778"/>
  <c r="U795"/>
  <c r="U718"/>
  <c r="U779" s="1"/>
  <c r="AA228" l="1"/>
  <c r="AB228" s="1"/>
  <c r="AA776"/>
  <c r="AB776" s="1"/>
  <c r="U171"/>
  <c r="V171"/>
  <c r="T171"/>
  <c r="J171"/>
  <c r="S171"/>
  <c r="P171"/>
  <c r="N171"/>
  <c r="R171"/>
  <c r="O171"/>
  <c r="K171"/>
  <c r="M171"/>
  <c r="I171"/>
  <c r="H171"/>
  <c r="L171"/>
  <c r="Q171"/>
  <c r="G171"/>
  <c r="J13" i="14" s="1"/>
  <c r="X171" i="2"/>
  <c r="W171"/>
  <c r="Z171"/>
  <c r="F119"/>
  <c r="M117"/>
  <c r="M119" s="1"/>
  <c r="L117"/>
  <c r="L119" s="1"/>
  <c r="P117"/>
  <c r="P119" s="1"/>
  <c r="S117"/>
  <c r="S119" s="1"/>
  <c r="V117"/>
  <c r="V119" s="1"/>
  <c r="Y117"/>
  <c r="Y119" s="1"/>
  <c r="X117"/>
  <c r="X119" s="1"/>
  <c r="I117"/>
  <c r="I119" s="1"/>
  <c r="G117"/>
  <c r="G119" s="1"/>
  <c r="O117"/>
  <c r="O119" s="1"/>
  <c r="R117"/>
  <c r="R119" s="1"/>
  <c r="T117"/>
  <c r="T119" s="1"/>
  <c r="W117"/>
  <c r="W119" s="1"/>
  <c r="Z117"/>
  <c r="Z119" s="1"/>
  <c r="Q117"/>
  <c r="Q119" s="1"/>
  <c r="K117"/>
  <c r="K119" s="1"/>
  <c r="H117"/>
  <c r="H119" s="1"/>
  <c r="N117"/>
  <c r="N119" s="1"/>
  <c r="J117"/>
  <c r="J119" s="1"/>
  <c r="U117"/>
  <c r="G689"/>
  <c r="G691" s="1"/>
  <c r="I689"/>
  <c r="I691" s="1"/>
  <c r="L689"/>
  <c r="L691" s="1"/>
  <c r="R689"/>
  <c r="R691" s="1"/>
  <c r="T689"/>
  <c r="T691" s="1"/>
  <c r="X689"/>
  <c r="X691" s="1"/>
  <c r="Z689"/>
  <c r="Z691" s="1"/>
  <c r="M689"/>
  <c r="M691" s="1"/>
  <c r="O689"/>
  <c r="O691" s="1"/>
  <c r="P689"/>
  <c r="P691" s="1"/>
  <c r="S689"/>
  <c r="S691" s="1"/>
  <c r="W689"/>
  <c r="W691" s="1"/>
  <c r="Y689"/>
  <c r="Y691" s="1"/>
  <c r="V689"/>
  <c r="V691" s="1"/>
  <c r="Q689"/>
  <c r="Q691" s="1"/>
  <c r="K689"/>
  <c r="K691" s="1"/>
  <c r="H689"/>
  <c r="H691" s="1"/>
  <c r="N689"/>
  <c r="N691" s="1"/>
  <c r="U689"/>
  <c r="J689"/>
  <c r="J691" s="1"/>
  <c r="F691"/>
  <c r="AA775"/>
  <c r="AB775" s="1"/>
  <c r="AB347"/>
  <c r="F519"/>
  <c r="F719" s="1"/>
  <c r="F780" s="1"/>
  <c r="G517"/>
  <c r="G519" s="1"/>
  <c r="L517"/>
  <c r="L519" s="1"/>
  <c r="L719" s="1"/>
  <c r="T517"/>
  <c r="T519" s="1"/>
  <c r="T719" s="1"/>
  <c r="T780" s="1"/>
  <c r="R517"/>
  <c r="R519" s="1"/>
  <c r="R719" s="1"/>
  <c r="R780" s="1"/>
  <c r="W517"/>
  <c r="W519" s="1"/>
  <c r="W719" s="1"/>
  <c r="W780" s="1"/>
  <c r="Y517"/>
  <c r="Y519" s="1"/>
  <c r="Y719" s="1"/>
  <c r="Y780" s="1"/>
  <c r="I517"/>
  <c r="I519" s="1"/>
  <c r="I719" s="1"/>
  <c r="M517"/>
  <c r="M519" s="1"/>
  <c r="M719" s="1"/>
  <c r="O517"/>
  <c r="O519" s="1"/>
  <c r="O719" s="1"/>
  <c r="S517"/>
  <c r="S519" s="1"/>
  <c r="S719" s="1"/>
  <c r="S780" s="1"/>
  <c r="P517"/>
  <c r="P519" s="1"/>
  <c r="P719" s="1"/>
  <c r="V517"/>
  <c r="V519" s="1"/>
  <c r="V719" s="1"/>
  <c r="V780" s="1"/>
  <c r="X517"/>
  <c r="X519" s="1"/>
  <c r="X719" s="1"/>
  <c r="X780" s="1"/>
  <c r="Z517"/>
  <c r="Z519" s="1"/>
  <c r="Z719" s="1"/>
  <c r="Z780" s="1"/>
  <c r="Q517"/>
  <c r="Q519" s="1"/>
  <c r="Q719" s="1"/>
  <c r="K517"/>
  <c r="K519" s="1"/>
  <c r="K719" s="1"/>
  <c r="H517"/>
  <c r="H519" s="1"/>
  <c r="H719" s="1"/>
  <c r="N517"/>
  <c r="N519" s="1"/>
  <c r="N719" s="1"/>
  <c r="J517"/>
  <c r="J519" s="1"/>
  <c r="J719" s="1"/>
  <c r="U517"/>
  <c r="AE666" i="1"/>
  <c r="AF666" s="1"/>
  <c r="AG666" s="1"/>
  <c r="AF516"/>
  <c r="AG516" s="1"/>
  <c r="AE531"/>
  <c r="AF531" s="1"/>
  <c r="AG531" s="1"/>
  <c r="AE320"/>
  <c r="AF320" s="1"/>
  <c r="AG320" s="1"/>
  <c r="AE528"/>
  <c r="AF528" s="1"/>
  <c r="AG528" s="1"/>
  <c r="AE318"/>
  <c r="AF318" s="1"/>
  <c r="AG318" s="1"/>
  <c r="AE533"/>
  <c r="AF533" s="1"/>
  <c r="AG533" s="1"/>
  <c r="AE534"/>
  <c r="AF534" s="1"/>
  <c r="AG534" s="1"/>
  <c r="AE323"/>
  <c r="AF323" s="1"/>
  <c r="AG323" s="1"/>
  <c r="AE530"/>
  <c r="AF530" s="1"/>
  <c r="AG530" s="1"/>
  <c r="AE527"/>
  <c r="AF527" s="1"/>
  <c r="AG527" s="1"/>
  <c r="AE526"/>
  <c r="AF526" s="1"/>
  <c r="AG526" s="1"/>
  <c r="AE317"/>
  <c r="AE322"/>
  <c r="AF322" s="1"/>
  <c r="AG322" s="1"/>
  <c r="AE319"/>
  <c r="AF319" s="1"/>
  <c r="AG319" s="1"/>
  <c r="AE327"/>
  <c r="AF327" s="1"/>
  <c r="AG327" s="1"/>
  <c r="AE326"/>
  <c r="AF326" s="1"/>
  <c r="AG326" s="1"/>
  <c r="AE525"/>
  <c r="AA779" i="2"/>
  <c r="AB779" s="1"/>
  <c r="AA795"/>
  <c r="AB795" s="1"/>
  <c r="K34" i="14"/>
  <c r="L34" s="1"/>
  <c r="G574" i="2"/>
  <c r="G576" s="1"/>
  <c r="L574"/>
  <c r="L576" s="1"/>
  <c r="R574"/>
  <c r="R576" s="1"/>
  <c r="V574"/>
  <c r="V576" s="1"/>
  <c r="S574"/>
  <c r="S576" s="1"/>
  <c r="Y574"/>
  <c r="Y576" s="1"/>
  <c r="X574"/>
  <c r="X576" s="1"/>
  <c r="I574"/>
  <c r="I576" s="1"/>
  <c r="O574"/>
  <c r="O576" s="1"/>
  <c r="M574"/>
  <c r="M576" s="1"/>
  <c r="T574"/>
  <c r="T576" s="1"/>
  <c r="P574"/>
  <c r="P576" s="1"/>
  <c r="W574"/>
  <c r="W576" s="1"/>
  <c r="Z574"/>
  <c r="Z576" s="1"/>
  <c r="Q574"/>
  <c r="Q576" s="1"/>
  <c r="K574"/>
  <c r="K576" s="1"/>
  <c r="H574"/>
  <c r="H576" s="1"/>
  <c r="N574"/>
  <c r="N576" s="1"/>
  <c r="J574"/>
  <c r="J576" s="1"/>
  <c r="U574"/>
  <c r="F576"/>
  <c r="AA285"/>
  <c r="AB285" s="1"/>
  <c r="G632"/>
  <c r="G634" s="1"/>
  <c r="O632"/>
  <c r="O634" s="1"/>
  <c r="O721" s="1"/>
  <c r="O782" s="1"/>
  <c r="L632"/>
  <c r="L634" s="1"/>
  <c r="L721" s="1"/>
  <c r="L782" s="1"/>
  <c r="T632"/>
  <c r="T634" s="1"/>
  <c r="T721" s="1"/>
  <c r="T782" s="1"/>
  <c r="R632"/>
  <c r="R634" s="1"/>
  <c r="R721" s="1"/>
  <c r="R782" s="1"/>
  <c r="X632"/>
  <c r="X634" s="1"/>
  <c r="X721" s="1"/>
  <c r="X782" s="1"/>
  <c r="Y632"/>
  <c r="Y634" s="1"/>
  <c r="Y721" s="1"/>
  <c r="Y782" s="1"/>
  <c r="I632"/>
  <c r="I634" s="1"/>
  <c r="I721" s="1"/>
  <c r="I782" s="1"/>
  <c r="M632"/>
  <c r="M634" s="1"/>
  <c r="M721" s="1"/>
  <c r="M782" s="1"/>
  <c r="S632"/>
  <c r="S634" s="1"/>
  <c r="S721" s="1"/>
  <c r="S782" s="1"/>
  <c r="P632"/>
  <c r="P634" s="1"/>
  <c r="P721" s="1"/>
  <c r="P782" s="1"/>
  <c r="V632"/>
  <c r="V634" s="1"/>
  <c r="V721" s="1"/>
  <c r="V782" s="1"/>
  <c r="W632"/>
  <c r="W634" s="1"/>
  <c r="W721" s="1"/>
  <c r="W782" s="1"/>
  <c r="Z632"/>
  <c r="Z634" s="1"/>
  <c r="Z721" s="1"/>
  <c r="Z782" s="1"/>
  <c r="Q632"/>
  <c r="Q634" s="1"/>
  <c r="Q721" s="1"/>
  <c r="Q782" s="1"/>
  <c r="H632"/>
  <c r="H634" s="1"/>
  <c r="H721" s="1"/>
  <c r="H782" s="1"/>
  <c r="K632"/>
  <c r="K634" s="1"/>
  <c r="K721" s="1"/>
  <c r="K782" s="1"/>
  <c r="N632"/>
  <c r="N634" s="1"/>
  <c r="N721" s="1"/>
  <c r="N782" s="1"/>
  <c r="J632"/>
  <c r="J634" s="1"/>
  <c r="J721" s="1"/>
  <c r="J782" s="1"/>
  <c r="U632"/>
  <c r="F634"/>
  <c r="F721" s="1"/>
  <c r="AE308" i="1"/>
  <c r="AF279"/>
  <c r="AA718" i="2"/>
  <c r="AB718" s="1"/>
  <c r="AA778"/>
  <c r="AB778" s="1"/>
  <c r="AA714"/>
  <c r="AB714" s="1"/>
  <c r="AA171" l="1"/>
  <c r="AB171" s="1"/>
  <c r="N780"/>
  <c r="V817"/>
  <c r="AF308" i="1"/>
  <c r="AG308" s="1"/>
  <c r="AG279"/>
  <c r="AA632" i="2"/>
  <c r="AB632" s="1"/>
  <c r="U634"/>
  <c r="U721" s="1"/>
  <c r="U782" s="1"/>
  <c r="AA574"/>
  <c r="AB574" s="1"/>
  <c r="U576"/>
  <c r="AA576" s="1"/>
  <c r="AB576" s="1"/>
  <c r="N720"/>
  <c r="N781"/>
  <c r="K720"/>
  <c r="K781"/>
  <c r="Z781"/>
  <c r="Z720"/>
  <c r="P781"/>
  <c r="P720"/>
  <c r="M781"/>
  <c r="M720"/>
  <c r="I720"/>
  <c r="I781"/>
  <c r="Y720"/>
  <c r="Y781"/>
  <c r="V720"/>
  <c r="V781"/>
  <c r="L781"/>
  <c r="L720"/>
  <c r="AE538" i="1"/>
  <c r="AF525"/>
  <c r="AG525" s="1"/>
  <c r="J780" i="2"/>
  <c r="H780"/>
  <c r="Q780"/>
  <c r="P780"/>
  <c r="O780"/>
  <c r="I780"/>
  <c r="G719"/>
  <c r="J844"/>
  <c r="J743"/>
  <c r="N743"/>
  <c r="N844"/>
  <c r="K844"/>
  <c r="K743"/>
  <c r="V743"/>
  <c r="V844"/>
  <c r="W844"/>
  <c r="W743"/>
  <c r="P844"/>
  <c r="P743"/>
  <c r="M743"/>
  <c r="M844"/>
  <c r="X844"/>
  <c r="X743"/>
  <c r="R844"/>
  <c r="R743"/>
  <c r="I743"/>
  <c r="I844"/>
  <c r="AA117"/>
  <c r="AB117" s="1"/>
  <c r="U119"/>
  <c r="U811" s="1"/>
  <c r="L818"/>
  <c r="W798"/>
  <c r="L817"/>
  <c r="L798"/>
  <c r="W818"/>
  <c r="L810"/>
  <c r="L806"/>
  <c r="L811"/>
  <c r="L812"/>
  <c r="W812"/>
  <c r="W810"/>
  <c r="V812"/>
  <c r="R811"/>
  <c r="R817"/>
  <c r="R818"/>
  <c r="R812"/>
  <c r="V798"/>
  <c r="S798"/>
  <c r="S818"/>
  <c r="S817"/>
  <c r="M811"/>
  <c r="M810"/>
  <c r="M806"/>
  <c r="M817"/>
  <c r="W811"/>
  <c r="W806"/>
  <c r="Y810"/>
  <c r="Z817"/>
  <c r="Z810"/>
  <c r="V818"/>
  <c r="V806"/>
  <c r="R810"/>
  <c r="R806"/>
  <c r="R798"/>
  <c r="V811"/>
  <c r="V810"/>
  <c r="S811"/>
  <c r="S810"/>
  <c r="S806"/>
  <c r="S812"/>
  <c r="M798"/>
  <c r="M812"/>
  <c r="M818"/>
  <c r="W817"/>
  <c r="Y818"/>
  <c r="Y798"/>
  <c r="Y812"/>
  <c r="Y811"/>
  <c r="Z811"/>
  <c r="Z818"/>
  <c r="Z806"/>
  <c r="Y806"/>
  <c r="Y817"/>
  <c r="Z798"/>
  <c r="Z812"/>
  <c r="Q810"/>
  <c r="Q811"/>
  <c r="Q818"/>
  <c r="O818"/>
  <c r="O806"/>
  <c r="O810"/>
  <c r="O811"/>
  <c r="J810"/>
  <c r="Q812"/>
  <c r="Q806"/>
  <c r="Q798"/>
  <c r="Q817"/>
  <c r="O798"/>
  <c r="O817"/>
  <c r="O812"/>
  <c r="J806"/>
  <c r="J812"/>
  <c r="J818"/>
  <c r="J817"/>
  <c r="J798"/>
  <c r="J811"/>
  <c r="N812"/>
  <c r="N811"/>
  <c r="N818"/>
  <c r="T811"/>
  <c r="T818"/>
  <c r="T812"/>
  <c r="P817"/>
  <c r="P806"/>
  <c r="P811"/>
  <c r="P798"/>
  <c r="X817"/>
  <c r="X812"/>
  <c r="N810"/>
  <c r="N798"/>
  <c r="N817"/>
  <c r="N806"/>
  <c r="T806"/>
  <c r="T798"/>
  <c r="T817"/>
  <c r="T810"/>
  <c r="P812"/>
  <c r="P818"/>
  <c r="P810"/>
  <c r="X811"/>
  <c r="X810"/>
  <c r="X818"/>
  <c r="X798"/>
  <c r="X806"/>
  <c r="G817"/>
  <c r="G818"/>
  <c r="G812"/>
  <c r="G798"/>
  <c r="G810"/>
  <c r="G811"/>
  <c r="G806"/>
  <c r="H817"/>
  <c r="H810"/>
  <c r="H818"/>
  <c r="H811"/>
  <c r="H798"/>
  <c r="H806"/>
  <c r="H812"/>
  <c r="K798"/>
  <c r="K817"/>
  <c r="K806"/>
  <c r="I798"/>
  <c r="I817"/>
  <c r="I811"/>
  <c r="I812"/>
  <c r="K811"/>
  <c r="K812"/>
  <c r="K818"/>
  <c r="K810"/>
  <c r="I810"/>
  <c r="I818"/>
  <c r="I806"/>
  <c r="K13" i="14"/>
  <c r="J30" s="1"/>
  <c r="AE657" i="1"/>
  <c r="AF657" s="1"/>
  <c r="AG657" s="1"/>
  <c r="AE120"/>
  <c r="AF120" s="1"/>
  <c r="AG120" s="1"/>
  <c r="F782" i="2"/>
  <c r="G721"/>
  <c r="F720"/>
  <c r="F781"/>
  <c r="J720"/>
  <c r="J781"/>
  <c r="H781"/>
  <c r="H720"/>
  <c r="Q720"/>
  <c r="Q781"/>
  <c r="W720"/>
  <c r="W781"/>
  <c r="T720"/>
  <c r="T781"/>
  <c r="O781"/>
  <c r="O720"/>
  <c r="X781"/>
  <c r="X720"/>
  <c r="S781"/>
  <c r="S720"/>
  <c r="R781"/>
  <c r="R720"/>
  <c r="G781"/>
  <c r="G720"/>
  <c r="AE331" i="1"/>
  <c r="AF317"/>
  <c r="AG317" s="1"/>
  <c r="AA517" i="2"/>
  <c r="AB517" s="1"/>
  <c r="U519"/>
  <c r="U719" s="1"/>
  <c r="K780"/>
  <c r="M780"/>
  <c r="L780"/>
  <c r="F743"/>
  <c r="F844"/>
  <c r="AA689"/>
  <c r="AB689" s="1"/>
  <c r="U691"/>
  <c r="AA691" s="1"/>
  <c r="AB691" s="1"/>
  <c r="H844"/>
  <c r="H743"/>
  <c r="Q844"/>
  <c r="Q743"/>
  <c r="Y743"/>
  <c r="Y846" s="1"/>
  <c r="Y844"/>
  <c r="S844"/>
  <c r="S743"/>
  <c r="O844"/>
  <c r="O743"/>
  <c r="Z743"/>
  <c r="Z844"/>
  <c r="T743"/>
  <c r="T844"/>
  <c r="L844"/>
  <c r="L743"/>
  <c r="G844"/>
  <c r="G743"/>
  <c r="T846" l="1"/>
  <c r="AA634"/>
  <c r="AB634" s="1"/>
  <c r="U810"/>
  <c r="AA810" s="1"/>
  <c r="AB810" s="1"/>
  <c r="U798"/>
  <c r="AA798" s="1"/>
  <c r="AB798" s="1"/>
  <c r="U806"/>
  <c r="AA806" s="1"/>
  <c r="AB806" s="1"/>
  <c r="AA119"/>
  <c r="AB119" s="1"/>
  <c r="U818"/>
  <c r="AA818" s="1"/>
  <c r="AB818" s="1"/>
  <c r="U817"/>
  <c r="AA817" s="1"/>
  <c r="AB817" s="1"/>
  <c r="U812"/>
  <c r="AA812" s="1"/>
  <c r="AB812" s="1"/>
  <c r="Z846"/>
  <c r="S846"/>
  <c r="D21" i="14"/>
  <c r="U743" i="2"/>
  <c r="U846" s="1"/>
  <c r="U844"/>
  <c r="AA844" s="1"/>
  <c r="AB844" s="1"/>
  <c r="U780"/>
  <c r="AF331" i="1"/>
  <c r="AG331" s="1"/>
  <c r="AE333"/>
  <c r="AF538"/>
  <c r="AG538" s="1"/>
  <c r="AE540"/>
  <c r="AA811" i="2"/>
  <c r="AB811" s="1"/>
  <c r="R846"/>
  <c r="X846"/>
  <c r="W846"/>
  <c r="AA519"/>
  <c r="AB519" s="1"/>
  <c r="O846"/>
  <c r="L846"/>
  <c r="M846"/>
  <c r="J846"/>
  <c r="P846"/>
  <c r="N846"/>
  <c r="Q846"/>
  <c r="G846"/>
  <c r="H846"/>
  <c r="K846"/>
  <c r="I846"/>
  <c r="G782"/>
  <c r="AA721"/>
  <c r="I30" i="14"/>
  <c r="H30"/>
  <c r="E30"/>
  <c r="G30"/>
  <c r="F30"/>
  <c r="G780" i="2"/>
  <c r="D29" i="14" s="1"/>
  <c r="L29" s="1"/>
  <c r="AA719" i="2"/>
  <c r="AB719" s="1"/>
  <c r="U720"/>
  <c r="U781"/>
  <c r="AA781" s="1"/>
  <c r="AB781" s="1"/>
  <c r="V846"/>
  <c r="AA780" l="1"/>
  <c r="AB780" s="1"/>
  <c r="AA743"/>
  <c r="AB743" s="1"/>
  <c r="AA782"/>
  <c r="AB782" s="1"/>
  <c r="AB721"/>
  <c r="AE656" i="1"/>
  <c r="AF656" s="1"/>
  <c r="AG656" s="1"/>
  <c r="AE542"/>
  <c r="AF542" s="1"/>
  <c r="AG542" s="1"/>
  <c r="AF540"/>
  <c r="AG540" s="1"/>
  <c r="AE119"/>
  <c r="F288" i="2"/>
  <c r="AE610" i="1"/>
  <c r="AF610" s="1"/>
  <c r="AG610" s="1"/>
  <c r="AE335"/>
  <c r="AF333"/>
  <c r="AG333" s="1"/>
  <c r="F231" i="2"/>
  <c r="K30" i="14"/>
  <c r="L30" s="1"/>
  <c r="AA846" i="2"/>
  <c r="AB846" s="1"/>
  <c r="AA720"/>
  <c r="AB720" s="1"/>
  <c r="AE122" i="1" l="1"/>
  <c r="AF122" s="1"/>
  <c r="AG122" s="1"/>
  <c r="AF119"/>
  <c r="AG119" s="1"/>
  <c r="I231" i="2"/>
  <c r="L231"/>
  <c r="O231"/>
  <c r="O233" s="1"/>
  <c r="P231"/>
  <c r="S231"/>
  <c r="W231"/>
  <c r="W233" s="1"/>
  <c r="X231"/>
  <c r="X233" s="1"/>
  <c r="Z231"/>
  <c r="Z233" s="1"/>
  <c r="G231"/>
  <c r="M231"/>
  <c r="R231"/>
  <c r="T231"/>
  <c r="V231"/>
  <c r="V233" s="1"/>
  <c r="Y231"/>
  <c r="Y233" s="1"/>
  <c r="Q231"/>
  <c r="H231"/>
  <c r="K231"/>
  <c r="N231"/>
  <c r="J231"/>
  <c r="U231"/>
  <c r="F233"/>
  <c r="F235" s="1"/>
  <c r="AE654" i="1"/>
  <c r="AF654" s="1"/>
  <c r="AG654" s="1"/>
  <c r="AF335"/>
  <c r="AG335" s="1"/>
  <c r="AE112"/>
  <c r="L288" i="2"/>
  <c r="L290" s="1"/>
  <c r="R288"/>
  <c r="R290" s="1"/>
  <c r="V288"/>
  <c r="V290" s="1"/>
  <c r="S288"/>
  <c r="S290" s="1"/>
  <c r="Y288"/>
  <c r="Y290" s="1"/>
  <c r="W288"/>
  <c r="W290" s="1"/>
  <c r="I288"/>
  <c r="I290" s="1"/>
  <c r="G288"/>
  <c r="G290" s="1"/>
  <c r="M288"/>
  <c r="M290" s="1"/>
  <c r="O288"/>
  <c r="O290" s="1"/>
  <c r="T288"/>
  <c r="T290" s="1"/>
  <c r="P288"/>
  <c r="P290" s="1"/>
  <c r="X288"/>
  <c r="X290" s="1"/>
  <c r="Z288"/>
  <c r="Z290" s="1"/>
  <c r="Q288"/>
  <c r="Q290" s="1"/>
  <c r="K288"/>
  <c r="K290" s="1"/>
  <c r="H288"/>
  <c r="H290" s="1"/>
  <c r="N288"/>
  <c r="N290" s="1"/>
  <c r="J288"/>
  <c r="J290" s="1"/>
  <c r="U288"/>
  <c r="F290"/>
  <c r="V797" l="1"/>
  <c r="O796"/>
  <c r="Z797"/>
  <c r="R796"/>
  <c r="V796"/>
  <c r="O797"/>
  <c r="Z796"/>
  <c r="R797"/>
  <c r="M796"/>
  <c r="X796"/>
  <c r="Q797"/>
  <c r="L797"/>
  <c r="J797"/>
  <c r="M797"/>
  <c r="X797"/>
  <c r="Q796"/>
  <c r="L796"/>
  <c r="J796"/>
  <c r="Y797"/>
  <c r="Y796"/>
  <c r="T797"/>
  <c r="N797"/>
  <c r="P797"/>
  <c r="S797"/>
  <c r="W797"/>
  <c r="T796"/>
  <c r="N796"/>
  <c r="P796"/>
  <c r="S796"/>
  <c r="W796"/>
  <c r="G796"/>
  <c r="G797"/>
  <c r="H796"/>
  <c r="H797"/>
  <c r="I796"/>
  <c r="I797"/>
  <c r="K797"/>
  <c r="K796"/>
  <c r="F774"/>
  <c r="F713"/>
  <c r="F726" s="1"/>
  <c r="F1096"/>
  <c r="W805"/>
  <c r="Y805"/>
  <c r="Z805"/>
  <c r="X805"/>
  <c r="O805"/>
  <c r="J233"/>
  <c r="K233"/>
  <c r="Q233"/>
  <c r="V805"/>
  <c r="V774"/>
  <c r="V1096"/>
  <c r="V713"/>
  <c r="V741" s="1"/>
  <c r="R233"/>
  <c r="R805" s="1"/>
  <c r="G233"/>
  <c r="G235" s="1"/>
  <c r="X1096"/>
  <c r="X713"/>
  <c r="X741" s="1"/>
  <c r="X774"/>
  <c r="S233"/>
  <c r="O713"/>
  <c r="O1096"/>
  <c r="O774"/>
  <c r="I233"/>
  <c r="AA288"/>
  <c r="AB288" s="1"/>
  <c r="U290"/>
  <c r="U796" s="1"/>
  <c r="AE116" i="1"/>
  <c r="AF112"/>
  <c r="AG112" s="1"/>
  <c r="AA231" i="2"/>
  <c r="AB231" s="1"/>
  <c r="U233"/>
  <c r="N233"/>
  <c r="H233"/>
  <c r="Y1096"/>
  <c r="Y774"/>
  <c r="Y713"/>
  <c r="Y741" s="1"/>
  <c r="T233"/>
  <c r="M233"/>
  <c r="Z774"/>
  <c r="Z713"/>
  <c r="Z741" s="1"/>
  <c r="Z1096"/>
  <c r="W713"/>
  <c r="W741" s="1"/>
  <c r="W774"/>
  <c r="W1096"/>
  <c r="P233"/>
  <c r="L233"/>
  <c r="L805" s="1"/>
  <c r="N805" l="1"/>
  <c r="Y833"/>
  <c r="W833"/>
  <c r="X833"/>
  <c r="Z833"/>
  <c r="O833"/>
  <c r="AA290"/>
  <c r="AB290" s="1"/>
  <c r="M713"/>
  <c r="M1096"/>
  <c r="M833" s="1"/>
  <c r="M774"/>
  <c r="T713"/>
  <c r="T774"/>
  <c r="T1096"/>
  <c r="T833" s="1"/>
  <c r="H774"/>
  <c r="H1096"/>
  <c r="H833" s="1"/>
  <c r="H713"/>
  <c r="U1096"/>
  <c r="U833" s="1"/>
  <c r="U774"/>
  <c r="U713"/>
  <c r="AF116" i="1"/>
  <c r="AG116" s="1"/>
  <c r="AE140"/>
  <c r="S1096" i="2"/>
  <c r="S833" s="1"/>
  <c r="S713"/>
  <c r="S774"/>
  <c r="G713"/>
  <c r="G774"/>
  <c r="D27" i="14" s="1"/>
  <c r="G1096" i="2"/>
  <c r="AA233"/>
  <c r="K713"/>
  <c r="K1096"/>
  <c r="K833" s="1"/>
  <c r="K774"/>
  <c r="J774"/>
  <c r="J713"/>
  <c r="J1096"/>
  <c r="J833" s="1"/>
  <c r="F741"/>
  <c r="F745" s="1"/>
  <c r="AA796"/>
  <c r="AB796" s="1"/>
  <c r="K805"/>
  <c r="H805"/>
  <c r="T805"/>
  <c r="J805"/>
  <c r="S805"/>
  <c r="U797"/>
  <c r="AA797" s="1"/>
  <c r="AB797" s="1"/>
  <c r="P1096"/>
  <c r="P833" s="1"/>
  <c r="P713"/>
  <c r="P774"/>
  <c r="L1096"/>
  <c r="L833" s="1"/>
  <c r="L713"/>
  <c r="L774"/>
  <c r="N1096"/>
  <c r="N833" s="1"/>
  <c r="N713"/>
  <c r="N774"/>
  <c r="I713"/>
  <c r="I1096"/>
  <c r="I833" s="1"/>
  <c r="I774"/>
  <c r="O741"/>
  <c r="R713"/>
  <c r="R774"/>
  <c r="R1096"/>
  <c r="R833" s="1"/>
  <c r="Q774"/>
  <c r="Q713"/>
  <c r="Q1096"/>
  <c r="Q833" s="1"/>
  <c r="V833"/>
  <c r="F821"/>
  <c r="F842"/>
  <c r="F848" s="1"/>
  <c r="I805"/>
  <c r="U805"/>
  <c r="Q805"/>
  <c r="P805"/>
  <c r="M805"/>
  <c r="G805"/>
  <c r="Q741" l="1"/>
  <c r="R741"/>
  <c r="I741"/>
  <c r="F728"/>
  <c r="F900"/>
  <c r="J741"/>
  <c r="G833"/>
  <c r="AA833" s="1"/>
  <c r="AB833" s="1"/>
  <c r="AA1096"/>
  <c r="AB1096" s="1"/>
  <c r="L27" i="14"/>
  <c r="G741" i="2"/>
  <c r="AA713"/>
  <c r="AB713" s="1"/>
  <c r="U741"/>
  <c r="H741"/>
  <c r="T741"/>
  <c r="M741"/>
  <c r="F864"/>
  <c r="F823"/>
  <c r="N741"/>
  <c r="L741"/>
  <c r="P741"/>
  <c r="K741"/>
  <c r="AA774"/>
  <c r="AB774" s="1"/>
  <c r="AB233"/>
  <c r="S741"/>
  <c r="F174"/>
  <c r="AF140" i="1"/>
  <c r="AG140" s="1"/>
  <c r="AA805" i="2"/>
  <c r="AB805" s="1"/>
  <c r="I174" l="1"/>
  <c r="L174"/>
  <c r="R174"/>
  <c r="T174"/>
  <c r="W174"/>
  <c r="W176" s="1"/>
  <c r="W730" s="1"/>
  <c r="W830" s="1"/>
  <c r="W834" s="1"/>
  <c r="Y174"/>
  <c r="Y176" s="1"/>
  <c r="Y730" s="1"/>
  <c r="Y830" s="1"/>
  <c r="Y834" s="1"/>
  <c r="P174"/>
  <c r="G174"/>
  <c r="M174"/>
  <c r="O174"/>
  <c r="O176" s="1"/>
  <c r="S174"/>
  <c r="V174"/>
  <c r="V176" s="1"/>
  <c r="V730" s="1"/>
  <c r="V830" s="1"/>
  <c r="V834" s="1"/>
  <c r="X174"/>
  <c r="X176" s="1"/>
  <c r="X730" s="1"/>
  <c r="X830" s="1"/>
  <c r="X834" s="1"/>
  <c r="Z174"/>
  <c r="Z176" s="1"/>
  <c r="Z730" s="1"/>
  <c r="Z830" s="1"/>
  <c r="Z834" s="1"/>
  <c r="Q174"/>
  <c r="K174"/>
  <c r="H174"/>
  <c r="N174"/>
  <c r="J174"/>
  <c r="U174"/>
  <c r="F176"/>
  <c r="F828"/>
  <c r="F973"/>
  <c r="D14" i="14"/>
  <c r="AA741" i="2"/>
  <c r="AB741" s="1"/>
  <c r="F730" l="1"/>
  <c r="F830" s="1"/>
  <c r="F834" s="1"/>
  <c r="V706"/>
  <c r="V707"/>
  <c r="V809"/>
  <c r="W809"/>
  <c r="W707"/>
  <c r="W706"/>
  <c r="Y707"/>
  <c r="Y809"/>
  <c r="Y706"/>
  <c r="Z809"/>
  <c r="X707"/>
  <c r="X809"/>
  <c r="Z706"/>
  <c r="Z707"/>
  <c r="X706"/>
  <c r="O706"/>
  <c r="O707"/>
  <c r="O809"/>
  <c r="J176"/>
  <c r="H176"/>
  <c r="Q176"/>
  <c r="X911"/>
  <c r="X986" s="1"/>
  <c r="X875"/>
  <c r="S176"/>
  <c r="S809" s="1"/>
  <c r="M176"/>
  <c r="M809" s="1"/>
  <c r="P176"/>
  <c r="W911"/>
  <c r="W875"/>
  <c r="R176"/>
  <c r="R707" s="1"/>
  <c r="I176"/>
  <c r="I707" s="1"/>
  <c r="AA174"/>
  <c r="AB174" s="1"/>
  <c r="U176"/>
  <c r="U706" s="1"/>
  <c r="N176"/>
  <c r="K176"/>
  <c r="Z875"/>
  <c r="Z911"/>
  <c r="Z986" s="1"/>
  <c r="V911"/>
  <c r="V875"/>
  <c r="O730"/>
  <c r="G176"/>
  <c r="Y911"/>
  <c r="Y986" s="1"/>
  <c r="Y875"/>
  <c r="T176"/>
  <c r="L176"/>
  <c r="K707" l="1"/>
  <c r="P707"/>
  <c r="T707"/>
  <c r="V710"/>
  <c r="V739" s="1"/>
  <c r="V745" s="1"/>
  <c r="Z710"/>
  <c r="Z739" s="1"/>
  <c r="Z745" s="1"/>
  <c r="X710"/>
  <c r="X739" s="1"/>
  <c r="X745" s="1"/>
  <c r="Y710"/>
  <c r="Y739" s="1"/>
  <c r="Y745" s="1"/>
  <c r="W710"/>
  <c r="W739" s="1"/>
  <c r="W745" s="1"/>
  <c r="S1071"/>
  <c r="L730"/>
  <c r="L830" s="1"/>
  <c r="L834" s="1"/>
  <c r="G730"/>
  <c r="D13" i="14"/>
  <c r="AA176" i="2"/>
  <c r="AB176" s="1"/>
  <c r="O830"/>
  <c r="O834" s="1"/>
  <c r="F15" i="4"/>
  <c r="V986" i="2"/>
  <c r="V942"/>
  <c r="K730"/>
  <c r="N730"/>
  <c r="U730"/>
  <c r="Q730"/>
  <c r="H730"/>
  <c r="J730"/>
  <c r="O710"/>
  <c r="X1071"/>
  <c r="Y1071"/>
  <c r="W1071"/>
  <c r="F911"/>
  <c r="F875"/>
  <c r="F836"/>
  <c r="I706"/>
  <c r="K809"/>
  <c r="I809"/>
  <c r="K706"/>
  <c r="U707"/>
  <c r="P706"/>
  <c r="H706"/>
  <c r="L707"/>
  <c r="J707"/>
  <c r="Q706"/>
  <c r="L809"/>
  <c r="G707"/>
  <c r="J809"/>
  <c r="T809"/>
  <c r="Q707"/>
  <c r="R809"/>
  <c r="N707"/>
  <c r="S707"/>
  <c r="T730"/>
  <c r="I730"/>
  <c r="R730"/>
  <c r="W986"/>
  <c r="W942"/>
  <c r="P730"/>
  <c r="M730"/>
  <c r="M830" s="1"/>
  <c r="M834" s="1"/>
  <c r="S730"/>
  <c r="O1071"/>
  <c r="Z1071"/>
  <c r="V1071"/>
  <c r="U809"/>
  <c r="H809"/>
  <c r="P809"/>
  <c r="H707"/>
  <c r="Q809"/>
  <c r="G809"/>
  <c r="L706"/>
  <c r="G706"/>
  <c r="J706"/>
  <c r="T706"/>
  <c r="M706"/>
  <c r="M707"/>
  <c r="N809"/>
  <c r="R706"/>
  <c r="R710" s="1"/>
  <c r="S706"/>
  <c r="N706"/>
  <c r="E44" i="14" l="1"/>
  <c r="E45" s="1"/>
  <c r="D44"/>
  <c r="D45" s="1"/>
  <c r="T710" i="2"/>
  <c r="C20" i="4" s="1"/>
  <c r="F44" i="14"/>
  <c r="F45" s="1"/>
  <c r="V813" i="2"/>
  <c r="Y813"/>
  <c r="Z813"/>
  <c r="X757"/>
  <c r="X770" s="1"/>
  <c r="X855" s="1"/>
  <c r="V757"/>
  <c r="V770" s="1"/>
  <c r="V855" s="1"/>
  <c r="W813"/>
  <c r="X813"/>
  <c r="G44" i="14"/>
  <c r="G45" s="1"/>
  <c r="H44"/>
  <c r="H45" s="1"/>
  <c r="I44"/>
  <c r="I45" s="1"/>
  <c r="J44"/>
  <c r="J45" s="1"/>
  <c r="Y757" i="2"/>
  <c r="Y770" s="1"/>
  <c r="W757"/>
  <c r="W770" s="1"/>
  <c r="Z757"/>
  <c r="Z770" s="1"/>
  <c r="S710"/>
  <c r="S739" s="1"/>
  <c r="S745" s="1"/>
  <c r="S813" s="1"/>
  <c r="AA707"/>
  <c r="AB707" s="1"/>
  <c r="M710"/>
  <c r="L710"/>
  <c r="Q1071"/>
  <c r="P1071"/>
  <c r="U1071"/>
  <c r="V722"/>
  <c r="V726" s="1"/>
  <c r="V783"/>
  <c r="V816"/>
  <c r="V814"/>
  <c r="V815"/>
  <c r="X814"/>
  <c r="X815"/>
  <c r="X816"/>
  <c r="X722"/>
  <c r="X726" s="1"/>
  <c r="X783"/>
  <c r="F19" i="4"/>
  <c r="S830" i="2"/>
  <c r="S834" s="1"/>
  <c r="F18" i="4"/>
  <c r="R830" i="2"/>
  <c r="R834" s="1"/>
  <c r="R1071"/>
  <c r="T1071"/>
  <c r="Q710"/>
  <c r="P710"/>
  <c r="K710"/>
  <c r="K1071"/>
  <c r="Y858"/>
  <c r="F858"/>
  <c r="Z858"/>
  <c r="X858"/>
  <c r="V858"/>
  <c r="W858"/>
  <c r="J830"/>
  <c r="J834" s="1"/>
  <c r="F12" i="4"/>
  <c r="F11"/>
  <c r="H830" i="2"/>
  <c r="H834" s="1"/>
  <c r="F14" i="4"/>
  <c r="N830" i="2"/>
  <c r="N834" s="1"/>
  <c r="O911"/>
  <c r="O875"/>
  <c r="F37" i="4"/>
  <c r="D15" i="14"/>
  <c r="F14"/>
  <c r="F15" s="1"/>
  <c r="F21"/>
  <c r="E14"/>
  <c r="E21"/>
  <c r="G21"/>
  <c r="G14"/>
  <c r="G15" s="1"/>
  <c r="H14"/>
  <c r="H15" s="1"/>
  <c r="H21"/>
  <c r="I14"/>
  <c r="I15" s="1"/>
  <c r="I21"/>
  <c r="J14"/>
  <c r="J15" s="1"/>
  <c r="J21"/>
  <c r="L13"/>
  <c r="U710" i="2"/>
  <c r="N1071"/>
  <c r="J710"/>
  <c r="Y815"/>
  <c r="Y722"/>
  <c r="Y726" s="1"/>
  <c r="Y814"/>
  <c r="Y816"/>
  <c r="Y783"/>
  <c r="N710"/>
  <c r="R757"/>
  <c r="R770" s="1"/>
  <c r="R739"/>
  <c r="R745" s="1"/>
  <c r="C18" i="4"/>
  <c r="G710" i="2"/>
  <c r="G1071"/>
  <c r="H1071"/>
  <c r="Z783"/>
  <c r="Z722"/>
  <c r="Z726" s="1"/>
  <c r="Z814"/>
  <c r="Z815"/>
  <c r="Z816"/>
  <c r="M911"/>
  <c r="M875"/>
  <c r="P830"/>
  <c r="P834" s="1"/>
  <c r="F16" i="4"/>
  <c r="I830" i="2"/>
  <c r="I834" s="1"/>
  <c r="T830"/>
  <c r="T834" s="1"/>
  <c r="F20" i="4"/>
  <c r="J1071" i="2"/>
  <c r="L1071"/>
  <c r="H710"/>
  <c r="AA809"/>
  <c r="AB809" s="1"/>
  <c r="AA706"/>
  <c r="AB706" s="1"/>
  <c r="I710"/>
  <c r="F986"/>
  <c r="F942"/>
  <c r="W815"/>
  <c r="W722"/>
  <c r="W726" s="1"/>
  <c r="W816"/>
  <c r="W814"/>
  <c r="W783"/>
  <c r="C15" i="4"/>
  <c r="O739" i="2"/>
  <c r="O745" s="1"/>
  <c r="O813" s="1"/>
  <c r="O757"/>
  <c r="O770" s="1"/>
  <c r="Q830"/>
  <c r="Q834" s="1"/>
  <c r="F17" i="4"/>
  <c r="U830" i="2"/>
  <c r="U834" s="1"/>
  <c r="F21" i="4"/>
  <c r="K830" i="2"/>
  <c r="K834" s="1"/>
  <c r="F13" i="4"/>
  <c r="G830" i="2"/>
  <c r="F10" i="4"/>
  <c r="AA730" i="2"/>
  <c r="AB730" s="1"/>
  <c r="L911"/>
  <c r="L875"/>
  <c r="K45" i="14" l="1"/>
  <c r="T757" i="2"/>
  <c r="T770" s="1"/>
  <c r="C42" i="4" s="1"/>
  <c r="T739" i="2"/>
  <c r="T745" s="1"/>
  <c r="T816" s="1"/>
  <c r="X840"/>
  <c r="X888"/>
  <c r="X961" s="1"/>
  <c r="V840"/>
  <c r="V888"/>
  <c r="R813"/>
  <c r="Z888"/>
  <c r="Z855"/>
  <c r="Z860" s="1"/>
  <c r="W840"/>
  <c r="W855"/>
  <c r="W860" s="1"/>
  <c r="Y888"/>
  <c r="Y855"/>
  <c r="Y860" s="1"/>
  <c r="Y840"/>
  <c r="Z840"/>
  <c r="W888"/>
  <c r="X821"/>
  <c r="X864" s="1"/>
  <c r="C19" i="4"/>
  <c r="S757" i="2"/>
  <c r="S770" s="1"/>
  <c r="C41" i="4" s="1"/>
  <c r="Y821" i="2"/>
  <c r="Y864" s="1"/>
  <c r="X819"/>
  <c r="X842" s="1"/>
  <c r="Y819"/>
  <c r="Y842" s="1"/>
  <c r="V819"/>
  <c r="V902" s="1"/>
  <c r="W821"/>
  <c r="W864" s="1"/>
  <c r="W819"/>
  <c r="W902" s="1"/>
  <c r="Z819"/>
  <c r="Z902" s="1"/>
  <c r="F35" i="4"/>
  <c r="K875" i="2"/>
  <c r="K911"/>
  <c r="O840"/>
  <c r="O888"/>
  <c r="C37" i="4"/>
  <c r="O855" i="2"/>
  <c r="F42" i="4"/>
  <c r="T875" i="2"/>
  <c r="T911"/>
  <c r="I875"/>
  <c r="I911"/>
  <c r="M942"/>
  <c r="M986"/>
  <c r="L986"/>
  <c r="L942"/>
  <c r="G834"/>
  <c r="AA830"/>
  <c r="AB830" s="1"/>
  <c r="U911"/>
  <c r="U875"/>
  <c r="F43" i="4"/>
  <c r="F39"/>
  <c r="Q875" i="2"/>
  <c r="Q911"/>
  <c r="O722"/>
  <c r="O726" s="1"/>
  <c r="O815"/>
  <c r="O783"/>
  <c r="O814"/>
  <c r="O816"/>
  <c r="W900"/>
  <c r="W728"/>
  <c r="I739"/>
  <c r="I745" s="1"/>
  <c r="I813" s="1"/>
  <c r="I757"/>
  <c r="I770" s="1"/>
  <c r="P875"/>
  <c r="F38" i="4"/>
  <c r="P911" i="2"/>
  <c r="Z900"/>
  <c r="Z728"/>
  <c r="AA1071"/>
  <c r="AB1071" s="1"/>
  <c r="R814"/>
  <c r="R816"/>
  <c r="R783"/>
  <c r="R815"/>
  <c r="R722"/>
  <c r="R726" s="1"/>
  <c r="Y900"/>
  <c r="Y728"/>
  <c r="U739"/>
  <c r="U745" s="1"/>
  <c r="U813" s="1"/>
  <c r="U757"/>
  <c r="U770" s="1"/>
  <c r="C21" i="4"/>
  <c r="K44" i="14"/>
  <c r="O986" i="2"/>
  <c r="F60" i="4" s="1"/>
  <c r="O942" i="2"/>
  <c r="F36" i="4"/>
  <c r="N875" i="2"/>
  <c r="N911"/>
  <c r="J875"/>
  <c r="F34" i="4"/>
  <c r="J911" i="2"/>
  <c r="W868"/>
  <c r="W880"/>
  <c r="X868"/>
  <c r="X860"/>
  <c r="X880"/>
  <c r="X882" s="1"/>
  <c r="F880"/>
  <c r="F882" s="1"/>
  <c r="F868"/>
  <c r="F870" s="1"/>
  <c r="F860"/>
  <c r="K757"/>
  <c r="K770" s="1"/>
  <c r="C13" i="4"/>
  <c r="K739" i="2"/>
  <c r="K745" s="1"/>
  <c r="K813" s="1"/>
  <c r="X900"/>
  <c r="X728"/>
  <c r="L757"/>
  <c r="L770" s="1"/>
  <c r="L739"/>
  <c r="L745" s="1"/>
  <c r="L813" s="1"/>
  <c r="M757"/>
  <c r="M770" s="1"/>
  <c r="M739"/>
  <c r="M745" s="1"/>
  <c r="M813" s="1"/>
  <c r="S815"/>
  <c r="S816"/>
  <c r="S783"/>
  <c r="S814"/>
  <c r="S722"/>
  <c r="S726" s="1"/>
  <c r="F22" i="4"/>
  <c r="V821" i="2"/>
  <c r="C11" i="4"/>
  <c r="H739" i="2"/>
  <c r="H745" s="1"/>
  <c r="H813" s="1"/>
  <c r="H757"/>
  <c r="H770" s="1"/>
  <c r="G757"/>
  <c r="C10" i="4"/>
  <c r="G739" i="2"/>
  <c r="AA710"/>
  <c r="AB710" s="1"/>
  <c r="R855"/>
  <c r="R840"/>
  <c r="C40" i="4"/>
  <c r="R888" i="2"/>
  <c r="N739"/>
  <c r="N745" s="1"/>
  <c r="N813" s="1"/>
  <c r="C14" i="4"/>
  <c r="N757" i="2"/>
  <c r="N770" s="1"/>
  <c r="C12" i="4"/>
  <c r="J739" i="2"/>
  <c r="J745" s="1"/>
  <c r="J813" s="1"/>
  <c r="J757"/>
  <c r="J770" s="1"/>
  <c r="K21" i="14"/>
  <c r="L21" s="1"/>
  <c r="K14"/>
  <c r="E15"/>
  <c r="H875" i="2"/>
  <c r="H911"/>
  <c r="F33" i="4"/>
  <c r="V860" i="2"/>
  <c r="V880"/>
  <c r="V882" s="1"/>
  <c r="V868"/>
  <c r="Z880"/>
  <c r="Z868"/>
  <c r="Y880"/>
  <c r="Y868"/>
  <c r="C16" i="4"/>
  <c r="P757" i="2"/>
  <c r="P770" s="1"/>
  <c r="P739"/>
  <c r="P745" s="1"/>
  <c r="P813" s="1"/>
  <c r="Q757"/>
  <c r="Q770" s="1"/>
  <c r="Q739"/>
  <c r="Q745" s="1"/>
  <c r="Q813" s="1"/>
  <c r="C17" i="4"/>
  <c r="F40"/>
  <c r="R875" i="2"/>
  <c r="R911"/>
  <c r="S911"/>
  <c r="F41" i="4"/>
  <c r="S875" i="2"/>
  <c r="V900"/>
  <c r="V728"/>
  <c r="Z821"/>
  <c r="T888" l="1"/>
  <c r="T961" s="1"/>
  <c r="T855"/>
  <c r="L44" i="14"/>
  <c r="L45"/>
  <c r="T840" i="2"/>
  <c r="T815"/>
  <c r="T722"/>
  <c r="T726" s="1"/>
  <c r="T900" s="1"/>
  <c r="T814"/>
  <c r="T813"/>
  <c r="T783"/>
  <c r="X848"/>
  <c r="Y961"/>
  <c r="V961"/>
  <c r="Z882"/>
  <c r="Z961"/>
  <c r="W882"/>
  <c r="Y882"/>
  <c r="Y848"/>
  <c r="W961"/>
  <c r="Y902"/>
  <c r="Y975" s="1"/>
  <c r="Y870"/>
  <c r="Y873" s="1"/>
  <c r="Y877" s="1"/>
  <c r="Y823"/>
  <c r="Y836" s="1"/>
  <c r="S840"/>
  <c r="X870"/>
  <c r="X873" s="1"/>
  <c r="X877" s="1"/>
  <c r="W823"/>
  <c r="W836" s="1"/>
  <c r="S855"/>
  <c r="S888"/>
  <c r="X823"/>
  <c r="X836" s="1"/>
  <c r="W870"/>
  <c r="W873" s="1"/>
  <c r="W877" s="1"/>
  <c r="O819"/>
  <c r="F873"/>
  <c r="F877" s="1"/>
  <c r="X902"/>
  <c r="X933" s="1"/>
  <c r="W842"/>
  <c r="W848" s="1"/>
  <c r="Z842"/>
  <c r="Z848" s="1"/>
  <c r="V842"/>
  <c r="V848" s="1"/>
  <c r="G770"/>
  <c r="AA757"/>
  <c r="AB757" s="1"/>
  <c r="C33" i="4"/>
  <c r="H855" i="2"/>
  <c r="H840"/>
  <c r="H888"/>
  <c r="H815"/>
  <c r="H783"/>
  <c r="H722"/>
  <c r="H726" s="1"/>
  <c r="H816"/>
  <c r="H814"/>
  <c r="V864"/>
  <c r="V870" s="1"/>
  <c r="V873" s="1"/>
  <c r="V877" s="1"/>
  <c r="V823"/>
  <c r="V836" s="1"/>
  <c r="D19" i="4"/>
  <c r="E19" s="1"/>
  <c r="G19" s="1"/>
  <c r="S900" i="2"/>
  <c r="S728"/>
  <c r="S821"/>
  <c r="M815"/>
  <c r="M722"/>
  <c r="M726" s="1"/>
  <c r="M783"/>
  <c r="M814"/>
  <c r="M816"/>
  <c r="M840"/>
  <c r="M888"/>
  <c r="M855"/>
  <c r="L816"/>
  <c r="L814"/>
  <c r="L722"/>
  <c r="L726" s="1"/>
  <c r="L783"/>
  <c r="L815"/>
  <c r="X973"/>
  <c r="K816"/>
  <c r="K814"/>
  <c r="K815"/>
  <c r="K783"/>
  <c r="K722"/>
  <c r="K726" s="1"/>
  <c r="U855"/>
  <c r="U840"/>
  <c r="U888"/>
  <c r="C43" i="4"/>
  <c r="R900" i="2"/>
  <c r="D18" i="4"/>
  <c r="E18" s="1"/>
  <c r="G18" s="1"/>
  <c r="R728" i="2"/>
  <c r="R821"/>
  <c r="Z973"/>
  <c r="C22" i="4"/>
  <c r="I888" i="2"/>
  <c r="I855"/>
  <c r="I840"/>
  <c r="W973"/>
  <c r="I942"/>
  <c r="I986"/>
  <c r="T986"/>
  <c r="F65" i="4" s="1"/>
  <c r="T942" i="2"/>
  <c r="Z975"/>
  <c r="Z933"/>
  <c r="Z864"/>
  <c r="Z870" s="1"/>
  <c r="Z873" s="1"/>
  <c r="Z877" s="1"/>
  <c r="Z823"/>
  <c r="Z836" s="1"/>
  <c r="V973"/>
  <c r="S986"/>
  <c r="F64" i="4" s="1"/>
  <c r="S942" i="2"/>
  <c r="R986"/>
  <c r="F63" i="4" s="1"/>
  <c r="R942" i="2"/>
  <c r="J855"/>
  <c r="J888"/>
  <c r="J840"/>
  <c r="C34" i="4"/>
  <c r="N855" i="2"/>
  <c r="C36" i="4"/>
  <c r="N888" i="2"/>
  <c r="N840"/>
  <c r="Q815"/>
  <c r="Q783"/>
  <c r="Q816"/>
  <c r="Q814"/>
  <c r="Q722"/>
  <c r="Q726" s="1"/>
  <c r="C39" i="4"/>
  <c r="Q855" i="2"/>
  <c r="Q888"/>
  <c r="Q840"/>
  <c r="P722"/>
  <c r="P726" s="1"/>
  <c r="P815"/>
  <c r="P816"/>
  <c r="P814"/>
  <c r="P783"/>
  <c r="C38" i="4"/>
  <c r="P888" i="2"/>
  <c r="P855"/>
  <c r="P840"/>
  <c r="H942"/>
  <c r="H986"/>
  <c r="F56" i="4" s="1"/>
  <c r="L14" i="14"/>
  <c r="K15"/>
  <c r="L15" s="1"/>
  <c r="J814" i="2"/>
  <c r="J783"/>
  <c r="J722"/>
  <c r="J726" s="1"/>
  <c r="J815"/>
  <c r="J816"/>
  <c r="N815"/>
  <c r="N722"/>
  <c r="N726" s="1"/>
  <c r="N783"/>
  <c r="N816"/>
  <c r="N814"/>
  <c r="R961"/>
  <c r="G745"/>
  <c r="G813" s="1"/>
  <c r="AA739"/>
  <c r="AB739" s="1"/>
  <c r="L840"/>
  <c r="L888"/>
  <c r="L855"/>
  <c r="K855"/>
  <c r="C35" i="4"/>
  <c r="K840" i="2"/>
  <c r="K888"/>
  <c r="J942"/>
  <c r="J986"/>
  <c r="F57" i="4" s="1"/>
  <c r="N986" i="2"/>
  <c r="F59" i="4" s="1"/>
  <c r="N942" i="2"/>
  <c r="U815"/>
  <c r="U783"/>
  <c r="U816"/>
  <c r="U814"/>
  <c r="U722"/>
  <c r="U726" s="1"/>
  <c r="Y973"/>
  <c r="P986"/>
  <c r="F61" i="4" s="1"/>
  <c r="P942" i="2"/>
  <c r="I816"/>
  <c r="I815"/>
  <c r="I783"/>
  <c r="I814"/>
  <c r="I722"/>
  <c r="I726" s="1"/>
  <c r="O821"/>
  <c r="D15" i="4"/>
  <c r="E15" s="1"/>
  <c r="G15" s="1"/>
  <c r="O900" i="2"/>
  <c r="O728"/>
  <c r="Q986"/>
  <c r="F62" i="4" s="1"/>
  <c r="Q942" i="2"/>
  <c r="U942"/>
  <c r="U986"/>
  <c r="F66" i="4" s="1"/>
  <c r="F32"/>
  <c r="F44" s="1"/>
  <c r="G875" i="2"/>
  <c r="AA875" s="1"/>
  <c r="AB875" s="1"/>
  <c r="G911"/>
  <c r="AA834"/>
  <c r="AB834" s="1"/>
  <c r="O961"/>
  <c r="K986"/>
  <c r="F58" i="4" s="1"/>
  <c r="K942" i="2"/>
  <c r="V933"/>
  <c r="V975"/>
  <c r="W975"/>
  <c r="W933"/>
  <c r="S819"/>
  <c r="R819"/>
  <c r="D20" i="4" l="1"/>
  <c r="E20" s="1"/>
  <c r="G20" s="1"/>
  <c r="T728" i="2"/>
  <c r="T819"/>
  <c r="T821"/>
  <c r="T864" s="1"/>
  <c r="AA813"/>
  <c r="AB813" s="1"/>
  <c r="Y933"/>
  <c r="S961"/>
  <c r="O842"/>
  <c r="O848" s="1"/>
  <c r="O902"/>
  <c r="O933" s="1"/>
  <c r="X975"/>
  <c r="M819"/>
  <c r="M902" s="1"/>
  <c r="P819"/>
  <c r="Q819"/>
  <c r="Q842" s="1"/>
  <c r="Q848" s="1"/>
  <c r="R902"/>
  <c r="R842"/>
  <c r="R848" s="1"/>
  <c r="O973"/>
  <c r="D37" i="4"/>
  <c r="E37" s="1"/>
  <c r="G37" s="1"/>
  <c r="O864" i="2"/>
  <c r="O823"/>
  <c r="I821"/>
  <c r="U819"/>
  <c r="U821"/>
  <c r="AA745"/>
  <c r="AB745" s="1"/>
  <c r="G722"/>
  <c r="G726" s="1"/>
  <c r="G815"/>
  <c r="AA815" s="1"/>
  <c r="AB815" s="1"/>
  <c r="G816"/>
  <c r="AA816" s="1"/>
  <c r="AB816" s="1"/>
  <c r="G783"/>
  <c r="G814"/>
  <c r="D14" i="4"/>
  <c r="E14" s="1"/>
  <c r="G14" s="1"/>
  <c r="N900" i="2"/>
  <c r="N728"/>
  <c r="D12" i="4"/>
  <c r="E12" s="1"/>
  <c r="G12" s="1"/>
  <c r="J900" i="2"/>
  <c r="J728"/>
  <c r="J819"/>
  <c r="P961"/>
  <c r="P821"/>
  <c r="D16" i="4"/>
  <c r="E16" s="1"/>
  <c r="G16" s="1"/>
  <c r="P900" i="2"/>
  <c r="P728"/>
  <c r="Q900"/>
  <c r="D17" i="4"/>
  <c r="E17" s="1"/>
  <c r="G17" s="1"/>
  <c r="Q728" i="2"/>
  <c r="J961"/>
  <c r="R973"/>
  <c r="D13" i="4"/>
  <c r="E13" s="1"/>
  <c r="G13" s="1"/>
  <c r="K900" i="2"/>
  <c r="K728"/>
  <c r="L900"/>
  <c r="L728"/>
  <c r="M900"/>
  <c r="M728"/>
  <c r="D41" i="4"/>
  <c r="E41" s="1"/>
  <c r="G41" s="1"/>
  <c r="S864" i="2"/>
  <c r="S823"/>
  <c r="S973"/>
  <c r="D11" i="4"/>
  <c r="E11" s="1"/>
  <c r="G11" s="1"/>
  <c r="H900" i="2"/>
  <c r="H728"/>
  <c r="H961"/>
  <c r="T973"/>
  <c r="I900"/>
  <c r="I728"/>
  <c r="S902"/>
  <c r="S842"/>
  <c r="S848" s="1"/>
  <c r="G986"/>
  <c r="G942"/>
  <c r="AA942" s="1"/>
  <c r="AB942" s="1"/>
  <c r="AA911"/>
  <c r="AB911" s="1"/>
  <c r="I819"/>
  <c r="D21" i="4"/>
  <c r="E21" s="1"/>
  <c r="G21" s="1"/>
  <c r="U900" i="2"/>
  <c r="U728"/>
  <c r="K961"/>
  <c r="L961"/>
  <c r="N819"/>
  <c r="N821"/>
  <c r="J821"/>
  <c r="Q961"/>
  <c r="Q821"/>
  <c r="N961"/>
  <c r="I961"/>
  <c r="R864"/>
  <c r="D40" i="4"/>
  <c r="E40" s="1"/>
  <c r="G40" s="1"/>
  <c r="R823" i="2"/>
  <c r="U961"/>
  <c r="K821"/>
  <c r="K819"/>
  <c r="L821"/>
  <c r="L819"/>
  <c r="M961"/>
  <c r="M821"/>
  <c r="H821"/>
  <c r="G840"/>
  <c r="G888"/>
  <c r="C32" i="4"/>
  <c r="G855" i="2"/>
  <c r="AA855" s="1"/>
  <c r="AB855" s="1"/>
  <c r="AA770"/>
  <c r="H819"/>
  <c r="T842" l="1"/>
  <c r="T848" s="1"/>
  <c r="D42" i="4"/>
  <c r="E42" s="1"/>
  <c r="G42" s="1"/>
  <c r="T902" i="2"/>
  <c r="T823"/>
  <c r="T828" s="1"/>
  <c r="T858" s="1"/>
  <c r="P842"/>
  <c r="P848" s="1"/>
  <c r="Q902"/>
  <c r="Q933" s="1"/>
  <c r="M842"/>
  <c r="M848" s="1"/>
  <c r="O975"/>
  <c r="P902"/>
  <c r="P933" s="1"/>
  <c r="H902"/>
  <c r="H842"/>
  <c r="H848" s="1"/>
  <c r="R836"/>
  <c r="R828"/>
  <c r="R858" s="1"/>
  <c r="U973"/>
  <c r="F55" i="4"/>
  <c r="F67" s="1"/>
  <c r="AA986" i="2"/>
  <c r="AB986" s="1"/>
  <c r="S975"/>
  <c r="S933"/>
  <c r="H973"/>
  <c r="S836"/>
  <c r="S828"/>
  <c r="S858" s="1"/>
  <c r="L973"/>
  <c r="K973"/>
  <c r="Q973"/>
  <c r="P973"/>
  <c r="J902"/>
  <c r="J842"/>
  <c r="J848" s="1"/>
  <c r="J973"/>
  <c r="N973"/>
  <c r="AA814"/>
  <c r="AB814" s="1"/>
  <c r="AA722"/>
  <c r="AB722" s="1"/>
  <c r="D43" i="4"/>
  <c r="E43" s="1"/>
  <c r="G43" s="1"/>
  <c r="U864" i="2"/>
  <c r="U823"/>
  <c r="U902"/>
  <c r="U842"/>
  <c r="U848" s="1"/>
  <c r="I864"/>
  <c r="I823"/>
  <c r="O836"/>
  <c r="O828"/>
  <c r="O858" s="1"/>
  <c r="R933"/>
  <c r="R975"/>
  <c r="G819"/>
  <c r="AB770"/>
  <c r="G961"/>
  <c r="AA888"/>
  <c r="AB888" s="1"/>
  <c r="D33" i="4"/>
  <c r="E33" s="1"/>
  <c r="G33" s="1"/>
  <c r="H864" i="2"/>
  <c r="H823"/>
  <c r="L902"/>
  <c r="L842"/>
  <c r="L848" s="1"/>
  <c r="L864"/>
  <c r="L823"/>
  <c r="K902"/>
  <c r="K842"/>
  <c r="K848" s="1"/>
  <c r="D35" i="4"/>
  <c r="E35" s="1"/>
  <c r="G35" s="1"/>
  <c r="K864" i="2"/>
  <c r="K823"/>
  <c r="M864"/>
  <c r="M823"/>
  <c r="M933"/>
  <c r="M975"/>
  <c r="D39" i="4"/>
  <c r="E39" s="1"/>
  <c r="Q864" i="2"/>
  <c r="Q823"/>
  <c r="J864"/>
  <c r="D34" i="4"/>
  <c r="E34" s="1"/>
  <c r="G34" s="1"/>
  <c r="J823" i="2"/>
  <c r="D36" i="4"/>
  <c r="E36" s="1"/>
  <c r="G36" s="1"/>
  <c r="N864" i="2"/>
  <c r="N823"/>
  <c r="N902"/>
  <c r="N842"/>
  <c r="N848" s="1"/>
  <c r="I902"/>
  <c r="I842"/>
  <c r="I848" s="1"/>
  <c r="I973"/>
  <c r="M973"/>
  <c r="D38" i="4"/>
  <c r="E38" s="1"/>
  <c r="G38" s="1"/>
  <c r="P864" i="2"/>
  <c r="P823"/>
  <c r="AA783"/>
  <c r="AB783" s="1"/>
  <c r="G821"/>
  <c r="C44" i="4"/>
  <c r="AA840" i="2"/>
  <c r="AB840" s="1"/>
  <c r="G39" i="4" l="1"/>
  <c r="H39"/>
  <c r="T975" i="2"/>
  <c r="T933"/>
  <c r="T836"/>
  <c r="Q975"/>
  <c r="P975"/>
  <c r="G864"/>
  <c r="AA864" s="1"/>
  <c r="AB864" s="1"/>
  <c r="D32" i="4"/>
  <c r="AA821" i="2"/>
  <c r="G823"/>
  <c r="P836"/>
  <c r="P828"/>
  <c r="P858" s="1"/>
  <c r="N828"/>
  <c r="N858" s="1"/>
  <c r="N836"/>
  <c r="Q836"/>
  <c r="Q828"/>
  <c r="Q858" s="1"/>
  <c r="M836"/>
  <c r="M828"/>
  <c r="M858" s="1"/>
  <c r="L933"/>
  <c r="L975"/>
  <c r="G902"/>
  <c r="AA819"/>
  <c r="AB819" s="1"/>
  <c r="G842"/>
  <c r="I836"/>
  <c r="I828"/>
  <c r="I858" s="1"/>
  <c r="U933"/>
  <c r="U975"/>
  <c r="G900"/>
  <c r="D10" i="4"/>
  <c r="AA726" i="2"/>
  <c r="AB726" s="1"/>
  <c r="G728"/>
  <c r="AA728" s="1"/>
  <c r="AB728" s="1"/>
  <c r="J933"/>
  <c r="J975"/>
  <c r="T880"/>
  <c r="T882" s="1"/>
  <c r="T868"/>
  <c r="T870" s="1"/>
  <c r="T860"/>
  <c r="R880"/>
  <c r="R882" s="1"/>
  <c r="R868"/>
  <c r="R870" s="1"/>
  <c r="R860"/>
  <c r="AA964"/>
  <c r="AB964" s="1"/>
  <c r="I975"/>
  <c r="I933"/>
  <c r="N975"/>
  <c r="N933"/>
  <c r="J828"/>
  <c r="J858" s="1"/>
  <c r="J836"/>
  <c r="K836"/>
  <c r="K828"/>
  <c r="K858" s="1"/>
  <c r="K975"/>
  <c r="K933"/>
  <c r="L828"/>
  <c r="L858" s="1"/>
  <c r="L836"/>
  <c r="H828"/>
  <c r="H858" s="1"/>
  <c r="H836"/>
  <c r="AA961"/>
  <c r="AB961" s="1"/>
  <c r="O868"/>
  <c r="O870" s="1"/>
  <c r="O880"/>
  <c r="O882" s="1"/>
  <c r="O860"/>
  <c r="U828"/>
  <c r="U858" s="1"/>
  <c r="U836"/>
  <c r="S880"/>
  <c r="S882" s="1"/>
  <c r="S868"/>
  <c r="S870" s="1"/>
  <c r="S860"/>
  <c r="H975"/>
  <c r="H933"/>
  <c r="O873" l="1"/>
  <c r="O877" s="1"/>
  <c r="T873"/>
  <c r="T877" s="1"/>
  <c r="U880"/>
  <c r="U882" s="1"/>
  <c r="U868"/>
  <c r="U870" s="1"/>
  <c r="U860"/>
  <c r="K880"/>
  <c r="K882" s="1"/>
  <c r="K868"/>
  <c r="K870" s="1"/>
  <c r="K860"/>
  <c r="I868"/>
  <c r="I870" s="1"/>
  <c r="I880"/>
  <c r="I882" s="1"/>
  <c r="I860"/>
  <c r="N868"/>
  <c r="N870" s="1"/>
  <c r="N880"/>
  <c r="N882" s="1"/>
  <c r="N860"/>
  <c r="P868"/>
  <c r="P870" s="1"/>
  <c r="P880"/>
  <c r="P882" s="1"/>
  <c r="P860"/>
  <c r="AB821"/>
  <c r="AA823"/>
  <c r="AB823" s="1"/>
  <c r="S873"/>
  <c r="S877" s="1"/>
  <c r="H880"/>
  <c r="H882" s="1"/>
  <c r="H868"/>
  <c r="H870" s="1"/>
  <c r="H860"/>
  <c r="L868"/>
  <c r="L870" s="1"/>
  <c r="L880"/>
  <c r="L882" s="1"/>
  <c r="L860"/>
  <c r="J880"/>
  <c r="J882" s="1"/>
  <c r="J868"/>
  <c r="J870" s="1"/>
  <c r="J860"/>
  <c r="D22" i="4"/>
  <c r="E10"/>
  <c r="G973" i="2"/>
  <c r="AA900"/>
  <c r="AB900" s="1"/>
  <c r="AA842"/>
  <c r="AB842" s="1"/>
  <c r="G848"/>
  <c r="AA848" s="1"/>
  <c r="AB848" s="1"/>
  <c r="G933"/>
  <c r="AA933" s="1"/>
  <c r="AB933" s="1"/>
  <c r="G975"/>
  <c r="AA975" s="1"/>
  <c r="AB975" s="1"/>
  <c r="AA902"/>
  <c r="AB902" s="1"/>
  <c r="M868"/>
  <c r="M870" s="1"/>
  <c r="M880"/>
  <c r="M882" s="1"/>
  <c r="M860"/>
  <c r="Q868"/>
  <c r="Q870" s="1"/>
  <c r="Q880"/>
  <c r="Q882" s="1"/>
  <c r="Q860"/>
  <c r="G828"/>
  <c r="G858" s="1"/>
  <c r="G836"/>
  <c r="D44" i="4"/>
  <c r="E32"/>
  <c r="R873" i="2"/>
  <c r="R877" s="1"/>
  <c r="N873" l="1"/>
  <c r="N877" s="1"/>
  <c r="I873"/>
  <c r="I877" s="1"/>
  <c r="L873"/>
  <c r="L877" s="1"/>
  <c r="Q873"/>
  <c r="Q877" s="1"/>
  <c r="M873"/>
  <c r="M877" s="1"/>
  <c r="P873"/>
  <c r="P877" s="1"/>
  <c r="J873"/>
  <c r="J877" s="1"/>
  <c r="K873"/>
  <c r="K877" s="1"/>
  <c r="G880"/>
  <c r="G868"/>
  <c r="AA858"/>
  <c r="AB858" s="1"/>
  <c r="G860"/>
  <c r="G10" i="4"/>
  <c r="E22"/>
  <c r="G22" s="1"/>
  <c r="H873" i="2"/>
  <c r="H877" s="1"/>
  <c r="U873"/>
  <c r="U877" s="1"/>
  <c r="G32" i="4"/>
  <c r="E44"/>
  <c r="G44" s="1"/>
  <c r="AA973" i="2"/>
  <c r="AB973" s="1"/>
  <c r="AA860" l="1"/>
  <c r="AB860" s="1"/>
  <c r="AA868"/>
  <c r="AB868" s="1"/>
  <c r="G870"/>
  <c r="AA870" s="1"/>
  <c r="AB870" s="1"/>
  <c r="G882"/>
  <c r="AA880"/>
  <c r="AB880" s="1"/>
  <c r="G873" l="1"/>
  <c r="G877" l="1"/>
  <c r="AA873"/>
  <c r="AB873" s="1"/>
  <c r="F968" l="1"/>
  <c r="Y966"/>
  <c r="Y979" s="1"/>
  <c r="Y981" s="1"/>
  <c r="X966"/>
  <c r="V966"/>
  <c r="V979" s="1"/>
  <c r="V981" s="1"/>
  <c r="Z966"/>
  <c r="Z968" s="1"/>
  <c r="W966"/>
  <c r="W979" s="1"/>
  <c r="W981" s="1"/>
  <c r="F979"/>
  <c r="F981" s="1"/>
  <c r="H893"/>
  <c r="F893"/>
  <c r="T893" s="1"/>
  <c r="T966" s="1"/>
  <c r="J893"/>
  <c r="J966" s="1"/>
  <c r="F904" l="1"/>
  <c r="F931" s="1"/>
  <c r="O893"/>
  <c r="O904" s="1"/>
  <c r="V893"/>
  <c r="V904" s="1"/>
  <c r="K893"/>
  <c r="K966" s="1"/>
  <c r="K968" s="1"/>
  <c r="G893"/>
  <c r="G966" s="1"/>
  <c r="U893"/>
  <c r="U966" s="1"/>
  <c r="U968" s="1"/>
  <c r="R893"/>
  <c r="R904" s="1"/>
  <c r="R906" s="1"/>
  <c r="P893"/>
  <c r="P904" s="1"/>
  <c r="P906" s="1"/>
  <c r="Z893"/>
  <c r="Z895" s="1"/>
  <c r="Z920" s="1"/>
  <c r="F895"/>
  <c r="F920" s="1"/>
  <c r="N893"/>
  <c r="N924" s="1"/>
  <c r="Y968"/>
  <c r="J968"/>
  <c r="J979"/>
  <c r="V968"/>
  <c r="V984" s="1"/>
  <c r="V988" s="1"/>
  <c r="W968"/>
  <c r="W984" s="1"/>
  <c r="W988" s="1"/>
  <c r="T895"/>
  <c r="T904"/>
  <c r="T924"/>
  <c r="H924"/>
  <c r="H904"/>
  <c r="H895"/>
  <c r="H966"/>
  <c r="T968"/>
  <c r="T979"/>
  <c r="F906"/>
  <c r="J924"/>
  <c r="J895"/>
  <c r="J904"/>
  <c r="Z979"/>
  <c r="Z981" s="1"/>
  <c r="Z984" s="1"/>
  <c r="Z988" s="1"/>
  <c r="Y893"/>
  <c r="F924"/>
  <c r="W893"/>
  <c r="L893"/>
  <c r="M893"/>
  <c r="S893"/>
  <c r="X893"/>
  <c r="I893"/>
  <c r="Q893"/>
  <c r="Y984"/>
  <c r="Y988" s="1"/>
  <c r="F984"/>
  <c r="X979"/>
  <c r="X981" s="1"/>
  <c r="X968"/>
  <c r="F909" l="1"/>
  <c r="K895"/>
  <c r="O966"/>
  <c r="O979" s="1"/>
  <c r="V895"/>
  <c r="O895"/>
  <c r="O924"/>
  <c r="G968"/>
  <c r="C47" i="14" s="1"/>
  <c r="D35"/>
  <c r="G895" i="2"/>
  <c r="G920" s="1"/>
  <c r="K979"/>
  <c r="U924"/>
  <c r="G904"/>
  <c r="U895"/>
  <c r="U920" s="1"/>
  <c r="U904"/>
  <c r="U906" s="1"/>
  <c r="G979"/>
  <c r="G981" s="1"/>
  <c r="P966"/>
  <c r="U979"/>
  <c r="U981" s="1"/>
  <c r="D66" i="4" s="1"/>
  <c r="P924" i="2"/>
  <c r="R924"/>
  <c r="P931"/>
  <c r="P895"/>
  <c r="P920" s="1"/>
  <c r="N904"/>
  <c r="N931" s="1"/>
  <c r="G924"/>
  <c r="K904"/>
  <c r="K931" s="1"/>
  <c r="R931"/>
  <c r="K924"/>
  <c r="N895"/>
  <c r="N966"/>
  <c r="R895"/>
  <c r="R909" s="1"/>
  <c r="R913" s="1"/>
  <c r="Z904"/>
  <c r="Z906" s="1"/>
  <c r="Z909" s="1"/>
  <c r="Z913" s="1"/>
  <c r="R966"/>
  <c r="R979" s="1"/>
  <c r="R981" s="1"/>
  <c r="D63" i="4" s="1"/>
  <c r="C58"/>
  <c r="X984" i="2"/>
  <c r="X988" s="1"/>
  <c r="J981"/>
  <c r="J984" s="1"/>
  <c r="J988" s="1"/>
  <c r="C57" i="4"/>
  <c r="I904" i="2"/>
  <c r="I924"/>
  <c r="I966"/>
  <c r="I895"/>
  <c r="Y895"/>
  <c r="Y904"/>
  <c r="K920"/>
  <c r="H920"/>
  <c r="S924"/>
  <c r="S895"/>
  <c r="S966"/>
  <c r="S904"/>
  <c r="F913"/>
  <c r="O920"/>
  <c r="L904"/>
  <c r="L966"/>
  <c r="L895"/>
  <c r="L924"/>
  <c r="V906"/>
  <c r="V931"/>
  <c r="O906"/>
  <c r="O931"/>
  <c r="T906"/>
  <c r="T909" s="1"/>
  <c r="T913" s="1"/>
  <c r="T931"/>
  <c r="X904"/>
  <c r="X895"/>
  <c r="H931"/>
  <c r="H906"/>
  <c r="H909" s="1"/>
  <c r="H913" s="1"/>
  <c r="F988"/>
  <c r="W904"/>
  <c r="W895"/>
  <c r="J906"/>
  <c r="J909" s="1"/>
  <c r="J913" s="1"/>
  <c r="J931"/>
  <c r="AA893"/>
  <c r="AB893" s="1"/>
  <c r="T981"/>
  <c r="D65" i="4" s="1"/>
  <c r="T920" i="2"/>
  <c r="Q924"/>
  <c r="Q904"/>
  <c r="Q966"/>
  <c r="Q895"/>
  <c r="V924"/>
  <c r="Z924"/>
  <c r="Y924"/>
  <c r="W924"/>
  <c r="X924"/>
  <c r="H979"/>
  <c r="H968"/>
  <c r="M895"/>
  <c r="M924"/>
  <c r="M966"/>
  <c r="M904"/>
  <c r="V920"/>
  <c r="J920"/>
  <c r="G906"/>
  <c r="G931"/>
  <c r="C66" i="4"/>
  <c r="C65"/>
  <c r="G909" i="2" l="1"/>
  <c r="G923" s="1"/>
  <c r="G926" s="1"/>
  <c r="O909"/>
  <c r="O913" s="1"/>
  <c r="O968"/>
  <c r="C60" i="4" s="1"/>
  <c r="V909" i="2"/>
  <c r="V913" s="1"/>
  <c r="K981"/>
  <c r="D58" i="4" s="1"/>
  <c r="E58" s="1"/>
  <c r="G58" s="1"/>
  <c r="C55"/>
  <c r="U909" i="2"/>
  <c r="U913" s="1"/>
  <c r="R968"/>
  <c r="C63" i="4" s="1"/>
  <c r="E63" s="1"/>
  <c r="G63" s="1"/>
  <c r="E66"/>
  <c r="G66" s="1"/>
  <c r="U984" i="2"/>
  <c r="U988" s="1"/>
  <c r="G984"/>
  <c r="G988" s="1"/>
  <c r="D17" i="14" s="1"/>
  <c r="K906" i="2"/>
  <c r="K909" s="1"/>
  <c r="K913" s="1"/>
  <c r="D25" i="14"/>
  <c r="N979" i="2"/>
  <c r="D38" i="14"/>
  <c r="F35"/>
  <c r="F38" s="1"/>
  <c r="J35"/>
  <c r="J38" s="1"/>
  <c r="I35"/>
  <c r="I38" s="1"/>
  <c r="G35"/>
  <c r="G38" s="1"/>
  <c r="H35"/>
  <c r="H38" s="1"/>
  <c r="E35"/>
  <c r="P968" i="2"/>
  <c r="Z931"/>
  <c r="U931"/>
  <c r="R920"/>
  <c r="P979"/>
  <c r="P909"/>
  <c r="P913" s="1"/>
  <c r="N968"/>
  <c r="N920"/>
  <c r="N906"/>
  <c r="N909" s="1"/>
  <c r="D57" i="4"/>
  <c r="E57" s="1"/>
  <c r="G57" s="1"/>
  <c r="AA895" i="2"/>
  <c r="AB895" s="1"/>
  <c r="AA924"/>
  <c r="AB924" s="1"/>
  <c r="Q931"/>
  <c r="Q906"/>
  <c r="Q909" s="1"/>
  <c r="Q913" s="1"/>
  <c r="H923"/>
  <c r="F923"/>
  <c r="Z923"/>
  <c r="R923"/>
  <c r="J923"/>
  <c r="J926" s="1"/>
  <c r="T923"/>
  <c r="Y920"/>
  <c r="M920"/>
  <c r="L920"/>
  <c r="I920"/>
  <c r="Q920"/>
  <c r="O981"/>
  <c r="D60" i="4" s="1"/>
  <c r="L968" i="2"/>
  <c r="L979"/>
  <c r="L981" s="1"/>
  <c r="S906"/>
  <c r="S909" s="1"/>
  <c r="S931"/>
  <c r="I979"/>
  <c r="I981" s="1"/>
  <c r="I968"/>
  <c r="D55" i="4"/>
  <c r="Y906" i="2"/>
  <c r="Y909" s="1"/>
  <c r="Y931"/>
  <c r="E65" i="4"/>
  <c r="G65" s="1"/>
  <c r="X920" i="2"/>
  <c r="L906"/>
  <c r="L909" s="1"/>
  <c r="L913" s="1"/>
  <c r="L931"/>
  <c r="S979"/>
  <c r="S981" s="1"/>
  <c r="D64" i="4" s="1"/>
  <c r="S968" i="2"/>
  <c r="M906"/>
  <c r="M909" s="1"/>
  <c r="M913" s="1"/>
  <c r="M931"/>
  <c r="W920"/>
  <c r="M968"/>
  <c r="M979"/>
  <c r="M981" s="1"/>
  <c r="Q979"/>
  <c r="Q981" s="1"/>
  <c r="D62" i="4" s="1"/>
  <c r="Q968" i="2"/>
  <c r="W906"/>
  <c r="W909" s="1"/>
  <c r="W931"/>
  <c r="AA904"/>
  <c r="AB904" s="1"/>
  <c r="AA966"/>
  <c r="AB966" s="1"/>
  <c r="C56" i="4"/>
  <c r="T984" i="2"/>
  <c r="T988" s="1"/>
  <c r="H981"/>
  <c r="D56" i="4" s="1"/>
  <c r="X931" i="2"/>
  <c r="X906"/>
  <c r="X909" s="1"/>
  <c r="X913" s="1"/>
  <c r="S920"/>
  <c r="I906"/>
  <c r="I931"/>
  <c r="G913" l="1"/>
  <c r="O923"/>
  <c r="O926" s="1"/>
  <c r="E55" i="4"/>
  <c r="G55" s="1"/>
  <c r="V923" i="2"/>
  <c r="V935" s="1"/>
  <c r="V937" s="1"/>
  <c r="K984"/>
  <c r="K988" s="1"/>
  <c r="K923"/>
  <c r="K954" s="1"/>
  <c r="U923"/>
  <c r="U926" s="1"/>
  <c r="U948" s="1"/>
  <c r="R984"/>
  <c r="R988" s="1"/>
  <c r="N981"/>
  <c r="D59" i="4" s="1"/>
  <c r="R926" i="2"/>
  <c r="R948" s="1"/>
  <c r="P981"/>
  <c r="D61" i="4" s="1"/>
  <c r="P923" i="2"/>
  <c r="P926" s="1"/>
  <c r="P948" s="1"/>
  <c r="C59" i="4"/>
  <c r="E38" i="14"/>
  <c r="K38" s="1"/>
  <c r="L38" s="1"/>
  <c r="K35"/>
  <c r="L35" s="1"/>
  <c r="C61" i="4"/>
  <c r="N913" i="2"/>
  <c r="N923"/>
  <c r="N926" s="1"/>
  <c r="N948" s="1"/>
  <c r="H984"/>
  <c r="H988" s="1"/>
  <c r="M984"/>
  <c r="M988" s="1"/>
  <c r="I984"/>
  <c r="I988" s="1"/>
  <c r="AA931"/>
  <c r="AB931" s="1"/>
  <c r="O984"/>
  <c r="O988" s="1"/>
  <c r="AA906"/>
  <c r="AB906" s="1"/>
  <c r="E60" i="4"/>
  <c r="G60" s="1"/>
  <c r="AA920" i="2"/>
  <c r="AB920" s="1"/>
  <c r="W913"/>
  <c r="W923"/>
  <c r="W926" s="1"/>
  <c r="S913"/>
  <c r="S923"/>
  <c r="S926" s="1"/>
  <c r="Y913"/>
  <c r="Y923"/>
  <c r="G948"/>
  <c r="O948"/>
  <c r="L923"/>
  <c r="H954"/>
  <c r="H935"/>
  <c r="H937" s="1"/>
  <c r="H950"/>
  <c r="T954"/>
  <c r="T935"/>
  <c r="T937" s="1"/>
  <c r="T950"/>
  <c r="Z950"/>
  <c r="Z952" s="1"/>
  <c r="Z935"/>
  <c r="Z937" s="1"/>
  <c r="Z926"/>
  <c r="L984"/>
  <c r="L988" s="1"/>
  <c r="I909"/>
  <c r="F954"/>
  <c r="W954" s="1"/>
  <c r="F950"/>
  <c r="F935"/>
  <c r="F926"/>
  <c r="Q923"/>
  <c r="D19" i="14"/>
  <c r="D23" s="1"/>
  <c r="D40" s="1"/>
  <c r="D47" s="1"/>
  <c r="E17"/>
  <c r="S984" i="2"/>
  <c r="S988" s="1"/>
  <c r="C64" i="4"/>
  <c r="E64" s="1"/>
  <c r="G64" s="1"/>
  <c r="J935" i="2"/>
  <c r="J937" s="1"/>
  <c r="J940" s="1"/>
  <c r="J944" s="1"/>
  <c r="J954"/>
  <c r="J950"/>
  <c r="G954"/>
  <c r="G950"/>
  <c r="G952" s="1"/>
  <c r="G935"/>
  <c r="AA979"/>
  <c r="AB979" s="1"/>
  <c r="E56" i="4"/>
  <c r="G56" s="1"/>
  <c r="H926" i="2"/>
  <c r="R950"/>
  <c r="R954"/>
  <c r="R935"/>
  <c r="R937" s="1"/>
  <c r="X923"/>
  <c r="X926" s="1"/>
  <c r="J948"/>
  <c r="T926"/>
  <c r="Q984"/>
  <c r="Q988" s="1"/>
  <c r="C62" i="4"/>
  <c r="M923" i="2"/>
  <c r="AA968"/>
  <c r="AB968" s="1"/>
  <c r="V950" l="1"/>
  <c r="V952" s="1"/>
  <c r="V926"/>
  <c r="V940" s="1"/>
  <c r="V944" s="1"/>
  <c r="O954"/>
  <c r="O935"/>
  <c r="O937" s="1"/>
  <c r="O940" s="1"/>
  <c r="O944" s="1"/>
  <c r="O950"/>
  <c r="O952" s="1"/>
  <c r="K950"/>
  <c r="K926"/>
  <c r="U935"/>
  <c r="U937" s="1"/>
  <c r="U940" s="1"/>
  <c r="U944" s="1"/>
  <c r="K935"/>
  <c r="K937" s="1"/>
  <c r="U950"/>
  <c r="U952" s="1"/>
  <c r="U954"/>
  <c r="E61" i="4"/>
  <c r="G61" s="1"/>
  <c r="R940" i="2"/>
  <c r="R944" s="1"/>
  <c r="P935"/>
  <c r="P937" s="1"/>
  <c r="P940" s="1"/>
  <c r="P944" s="1"/>
  <c r="E59" i="4"/>
  <c r="G59" s="1"/>
  <c r="D67"/>
  <c r="N984" i="2"/>
  <c r="N988" s="1"/>
  <c r="AA981"/>
  <c r="AB981" s="1"/>
  <c r="P954"/>
  <c r="N950"/>
  <c r="N952" s="1"/>
  <c r="N954"/>
  <c r="P950"/>
  <c r="P952" s="1"/>
  <c r="P984"/>
  <c r="P988" s="1"/>
  <c r="N935"/>
  <c r="N937" s="1"/>
  <c r="N940" s="1"/>
  <c r="N944" s="1"/>
  <c r="J952"/>
  <c r="Z940"/>
  <c r="Z944" s="1"/>
  <c r="R952"/>
  <c r="S948"/>
  <c r="T948"/>
  <c r="T952" s="1"/>
  <c r="T940"/>
  <c r="T944" s="1"/>
  <c r="F948"/>
  <c r="F952" s="1"/>
  <c r="I913"/>
  <c r="AA909"/>
  <c r="AB909" s="1"/>
  <c r="I923"/>
  <c r="M935"/>
  <c r="M937" s="1"/>
  <c r="M954"/>
  <c r="M950"/>
  <c r="F937"/>
  <c r="Y935"/>
  <c r="Y937" s="1"/>
  <c r="Y950"/>
  <c r="Y952" s="1"/>
  <c r="L954"/>
  <c r="L935"/>
  <c r="L937" s="1"/>
  <c r="L950"/>
  <c r="L926"/>
  <c r="F17" i="14"/>
  <c r="E19"/>
  <c r="Y926" i="2"/>
  <c r="S935"/>
  <c r="S937" s="1"/>
  <c r="S940" s="1"/>
  <c r="S944" s="1"/>
  <c r="S950"/>
  <c r="S954"/>
  <c r="E62" i="4"/>
  <c r="C67"/>
  <c r="X950" i="2"/>
  <c r="X952" s="1"/>
  <c r="X935"/>
  <c r="X937" s="1"/>
  <c r="X940" s="1"/>
  <c r="X944" s="1"/>
  <c r="W935"/>
  <c r="W937" s="1"/>
  <c r="W940" s="1"/>
  <c r="W944" s="1"/>
  <c r="W950"/>
  <c r="W952" s="1"/>
  <c r="H940"/>
  <c r="H944" s="1"/>
  <c r="H948"/>
  <c r="H952" s="1"/>
  <c r="G937"/>
  <c r="M926"/>
  <c r="Q954"/>
  <c r="Q935"/>
  <c r="Q937" s="1"/>
  <c r="Q950"/>
  <c r="Q926"/>
  <c r="K940" l="1"/>
  <c r="K944" s="1"/>
  <c r="K948"/>
  <c r="K952" s="1"/>
  <c r="G62" i="4"/>
  <c r="H62"/>
  <c r="AA984" i="2"/>
  <c r="AB984" s="1"/>
  <c r="S952"/>
  <c r="E67" i="4"/>
  <c r="G67" s="1"/>
  <c r="I935" i="2"/>
  <c r="I954"/>
  <c r="I950"/>
  <c r="AA923"/>
  <c r="AB923" s="1"/>
  <c r="I926"/>
  <c r="Y940"/>
  <c r="Y944" s="1"/>
  <c r="E23" i="14"/>
  <c r="F940" i="2"/>
  <c r="L948"/>
  <c r="L952" s="1"/>
  <c r="L940"/>
  <c r="L944" s="1"/>
  <c r="M940"/>
  <c r="M944" s="1"/>
  <c r="M948"/>
  <c r="M952" s="1"/>
  <c r="G940"/>
  <c r="G17" i="14"/>
  <c r="F19"/>
  <c r="F23" s="1"/>
  <c r="Q940" i="2"/>
  <c r="Q944" s="1"/>
  <c r="Q948"/>
  <c r="Q952" s="1"/>
  <c r="F944" l="1"/>
  <c r="G19" i="14"/>
  <c r="H17"/>
  <c r="G944" i="2"/>
  <c r="I937"/>
  <c r="AA937" s="1"/>
  <c r="AB937" s="1"/>
  <c r="AA935"/>
  <c r="AB935" s="1"/>
  <c r="I948"/>
  <c r="I952" s="1"/>
  <c r="AA926"/>
  <c r="AB926" s="1"/>
  <c r="I940" l="1"/>
  <c r="I944" s="1"/>
  <c r="H19" i="14"/>
  <c r="H23" s="1"/>
  <c r="I17"/>
  <c r="G23"/>
  <c r="AA940" i="2" l="1"/>
  <c r="AB940" s="1"/>
  <c r="I19" i="14"/>
  <c r="J17"/>
  <c r="J19" s="1"/>
  <c r="J23" s="1"/>
  <c r="I23" l="1"/>
  <c r="K19"/>
  <c r="L19" s="1"/>
  <c r="K23" l="1"/>
  <c r="I25" s="1"/>
  <c r="I40" s="1"/>
  <c r="I47" s="1"/>
  <c r="I51" s="1"/>
  <c r="L23" l="1"/>
  <c r="E25"/>
  <c r="F25"/>
  <c r="F40" s="1"/>
  <c r="F47" s="1"/>
  <c r="F51" s="1"/>
  <c r="K57" s="1"/>
  <c r="H25"/>
  <c r="H40" s="1"/>
  <c r="H47" s="1"/>
  <c r="G25"/>
  <c r="G40" s="1"/>
  <c r="G47" s="1"/>
  <c r="J25"/>
  <c r="J40" s="1"/>
  <c r="J47" s="1"/>
  <c r="J51" s="1"/>
  <c r="K51" s="1"/>
  <c r="G51" l="1"/>
  <c r="G60"/>
  <c r="G64" s="1"/>
  <c r="H51"/>
  <c r="H60"/>
  <c r="H64" s="1"/>
  <c r="K53"/>
  <c r="K63" s="1"/>
  <c r="K64" s="1"/>
  <c r="K25"/>
  <c r="L25" s="1"/>
  <c r="E40"/>
  <c r="K40" l="1"/>
  <c r="L40" s="1"/>
  <c r="E47"/>
  <c r="E60" s="1"/>
  <c r="E64" s="1"/>
  <c r="K47" l="1"/>
  <c r="L47" s="1"/>
  <c r="E51"/>
  <c r="K54" s="1"/>
  <c r="K66" l="1"/>
  <c r="L66" s="1"/>
  <c r="K56"/>
</calcChain>
</file>

<file path=xl/sharedStrings.xml><?xml version="1.0" encoding="utf-8"?>
<sst xmlns="http://schemas.openxmlformats.org/spreadsheetml/2006/main" count="3206" uniqueCount="1385">
  <si>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</si>
  <si>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</si>
  <si>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</si>
  <si>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</si>
  <si>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</si>
  <si>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</si>
  <si>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</si>
  <si>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</si>
  <si>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</si>
  <si>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</si>
  <si>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</si>
  <si>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</si>
  <si>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</si>
  <si>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</si>
  <si>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</si>
  <si>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</si>
  <si>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</si>
  <si>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</si>
  <si>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</si>
  <si>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</si>
  <si>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</si>
  <si>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</si>
  <si>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</si>
  <si>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</si>
  <si>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</si>
  <si>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</si>
  <si>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</si>
  <si>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</si>
  <si>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</si>
  <si>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</si>
  <si>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</si>
  <si>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</si>
  <si>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</si>
  <si>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</si>
  <si>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</si>
  <si>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</si>
  <si>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</si>
  <si>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</si>
  <si>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</si>
  <si>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</si>
  <si>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</si>
  <si>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</si>
  <si>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</si>
  <si>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</si>
  <si>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</si>
  <si>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</si>
  <si>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</si>
  <si>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</si>
  <si>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</si>
  <si>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</si>
  <si>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</si>
  <si>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</si>
  <si>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</si>
  <si>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</si>
  <si>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</si>
  <si>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</si>
  <si>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</si>
  <si>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</si>
  <si>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</si>
  <si>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</si>
  <si>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</si>
  <si>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</si>
  <si>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</si>
  <si>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</si>
  <si>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</si>
  <si>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</si>
  <si>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</si>
  <si>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</si>
  <si>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</si>
  <si>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</si>
  <si>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</si>
  <si>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</si>
  <si>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</si>
  <si>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</si>
  <si>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</si>
  <si>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</si>
  <si>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</si>
  <si>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</si>
  <si>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</si>
  <si>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</si>
  <si>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</si>
  <si>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</si>
  <si>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</si>
  <si>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</si>
  <si>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</si>
  <si>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</si>
  <si>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</si>
  <si>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</si>
  <si>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</si>
  <si>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</si>
  <si>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</si>
  <si>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</si>
  <si>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</si>
  <si>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</si>
  <si>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</si>
  <si>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</si>
  <si>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</si>
  <si>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</si>
  <si>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</si>
  <si>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</si>
  <si>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</si>
  <si>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</si>
  <si>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</si>
  <si>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</si>
  <si>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</si>
  <si>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</si>
  <si>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</si>
  <si>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</si>
  <si>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</si>
  <si>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</si>
  <si>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</si>
  <si>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</si>
  <si>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</si>
  <si>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</si>
  <si>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</si>
  <si>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</si>
  <si>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</si>
  <si>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</si>
  <si>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</si>
  <si>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</si>
  <si>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</si>
  <si>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</si>
  <si>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</si>
  <si>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</si>
  <si>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</si>
  <si>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</si>
  <si>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</si>
  <si>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</si>
  <si>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</si>
  <si>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</si>
  <si>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</si>
  <si>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</si>
  <si>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</si>
  <si>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</si>
  <si>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</si>
  <si>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</si>
  <si>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</si>
  <si>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</si>
  <si>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</si>
  <si>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</si>
  <si>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</si>
  <si>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</si>
  <si>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</si>
  <si>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</si>
  <si>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</si>
  <si>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</si>
  <si>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</si>
  <si>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</si>
  <si>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</si>
  <si>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</si>
  <si>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</si>
  <si>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</si>
  <si>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</si>
  <si>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</si>
  <si>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</si>
  <si>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</si>
  <si>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</si>
  <si>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</si>
  <si>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</si>
  <si>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</si>
  <si>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</si>
  <si>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</si>
  <si>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</si>
  <si>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</si>
  <si>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</si>
  <si>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</si>
  <si>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</si>
  <si>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</si>
  <si>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</si>
  <si>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</si>
  <si>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</si>
  <si>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</si>
  <si>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</si>
  <si>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</si>
  <si>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</si>
  <si>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</si>
  <si>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</si>
  <si>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</si>
  <si>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</si>
  <si>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</si>
  <si>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</si>
  <si>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</si>
  <si>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</si>
  <si>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</si>
  <si>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</si>
  <si>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</si>
  <si>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</si>
  <si>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</si>
  <si>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</si>
  <si>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</si>
  <si>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</si>
  <si>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</si>
  <si>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</si>
  <si>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</si>
  <si>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</si>
  <si>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</si>
  <si>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</si>
  <si>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</si>
  <si>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</si>
  <si>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</si>
  <si>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</si>
  <si>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</si>
  <si>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</si>
  <si>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</si>
  <si>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</si>
  <si>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</si>
  <si>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</si>
  <si>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</si>
  <si>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</si>
  <si>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</si>
  <si>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</si>
  <si>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</si>
  <si>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</si>
  <si>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</si>
  <si>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</si>
  <si>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</si>
  <si>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</si>
  <si>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</si>
  <si>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</si>
  <si>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</si>
  <si>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</si>
  <si>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</si>
  <si>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</si>
  <si>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</si>
  <si>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</si>
  <si>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</si>
  <si>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</si>
  <si>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</si>
  <si>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</si>
  <si>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</si>
  <si>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</si>
  <si>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</si>
  <si>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</si>
  <si>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</si>
  <si>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</si>
  <si>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</si>
  <si>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</si>
  <si>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</si>
  <si>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</si>
  <si>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</si>
  <si>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</si>
  <si>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</si>
  <si>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</si>
  <si>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</si>
  <si>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</si>
  <si>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</si>
  <si>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</si>
  <si>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</si>
  <si>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</si>
  <si>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</si>
  <si>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</si>
  <si>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</si>
  <si>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</si>
  <si>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</si>
  <si>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</si>
  <si>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</si>
  <si>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</si>
  <si>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</si>
  <si>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</si>
  <si>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</si>
  <si>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</si>
  <si>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</si>
  <si>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</si>
  <si>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</si>
  <si>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</si>
  <si>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</si>
  <si>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</si>
  <si>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</si>
  <si>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</si>
  <si>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</si>
  <si>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</si>
  <si>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</si>
  <si>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</si>
  <si>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</si>
  <si>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</si>
  <si>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</si>
  <si>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</si>
  <si>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</si>
  <si>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</si>
  <si>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</si>
  <si>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</si>
  <si>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</si>
  <si>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</si>
  <si>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</si>
  <si>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</si>
  <si>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</si>
  <si>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</si>
  <si>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</si>
  <si>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</si>
  <si>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</si>
  <si>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</si>
  <si>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</si>
  <si>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</si>
  <si>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</si>
  <si>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</si>
  <si>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</si>
  <si>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</si>
  <si>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</si>
  <si>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</si>
  <si>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</si>
  <si>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</si>
  <si>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</si>
  <si>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</si>
  <si>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</si>
  <si>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</si>
  <si>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</si>
  <si>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</si>
  <si>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</si>
  <si>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</si>
  <si>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</si>
  <si>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</si>
  <si>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</si>
  <si>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</si>
  <si>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</si>
  <si>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</si>
  <si>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</si>
  <si>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</si>
  <si>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</si>
  <si>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</si>
  <si>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</si>
  <si>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</si>
  <si>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</si>
  <si>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</si>
  <si>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</si>
  <si>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</si>
  <si>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</si>
  <si>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</si>
  <si>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</si>
  <si>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</si>
  <si>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</si>
  <si>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</si>
  <si>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</si>
  <si>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</si>
  <si>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</si>
  <si>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</si>
  <si>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</si>
  <si>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</si>
  <si>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</si>
  <si>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</si>
  <si>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</si>
  <si>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</si>
  <si>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</si>
  <si>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</si>
  <si>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</si>
  <si>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</si>
  <si>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</si>
  <si>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</si>
  <si>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</si>
  <si>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</si>
  <si>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</si>
  <si>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</si>
  <si>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</si>
  <si>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</si>
  <si>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</si>
  <si>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</si>
  <si>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</si>
  <si>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</si>
  <si>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</si>
  <si>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</si>
  <si>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</si>
  <si>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</si>
  <si>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</si>
  <si>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</si>
  <si>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</si>
  <si>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</si>
  <si>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</si>
  <si>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</si>
  <si>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</si>
  <si>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</si>
  <si>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</si>
  <si>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</si>
  <si>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</si>
  <si>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</si>
  <si>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</si>
  <si>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</si>
  <si>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</si>
  <si>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</si>
  <si>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</si>
  <si>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</si>
  <si>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</si>
  <si>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</si>
  <si>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</si>
  <si>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</si>
  <si>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</si>
  <si>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</si>
  <si>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</si>
  <si>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</si>
  <si>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</si>
  <si>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</si>
  <si>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</si>
  <si>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</si>
  <si>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</si>
  <si>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</si>
  <si>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</si>
  <si>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</si>
  <si>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</si>
  <si>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</si>
  <si>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</si>
  <si>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</si>
  <si>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</si>
  <si>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</si>
  <si>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</si>
  <si>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</si>
  <si>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</si>
  <si>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</si>
  <si>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</si>
  <si>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</si>
  <si>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</si>
  <si>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</si>
  <si>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</si>
  <si>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</si>
  <si>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</si>
  <si>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</si>
  <si>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</si>
  <si>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</si>
  <si>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</si>
  <si>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</si>
  <si>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</si>
  <si>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</si>
  <si>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</si>
  <si>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</si>
  <si>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</si>
  <si>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</si>
  <si>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</si>
  <si>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</si>
  <si>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</si>
  <si>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</si>
  <si>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</si>
  <si>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</si>
  <si>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</si>
  <si>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</si>
  <si>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</si>
  <si>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</si>
  <si>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</si>
  <si>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</si>
  <si>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</si>
  <si>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</si>
  <si>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</si>
  <si>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</si>
  <si>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</si>
  <si>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</si>
  <si>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</si>
  <si>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</si>
  <si>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</si>
  <si>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</si>
  <si>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</si>
  <si>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</si>
  <si>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</si>
  <si>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</si>
  <si>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</si>
  <si>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</si>
  <si>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</si>
  <si>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</si>
  <si>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</si>
  <si>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</si>
  <si>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</si>
  <si>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</si>
  <si>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</si>
  <si>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</si>
  <si>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</si>
  <si>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</si>
  <si>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</si>
  <si>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</si>
  <si>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</si>
  <si>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</si>
  <si>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</si>
  <si>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</si>
  <si>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</si>
  <si>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</si>
  <si>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</si>
  <si>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</si>
  <si>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</si>
  <si>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</si>
  <si>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</si>
  <si>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</si>
  <si>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</si>
  <si>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</si>
  <si>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</si>
  <si>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</si>
  <si>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</si>
  <si>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</si>
  <si>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</si>
  <si>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</si>
  <si>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</si>
  <si>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</si>
  <si>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</si>
  <si>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</si>
  <si>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</si>
  <si>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</si>
  <si>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</si>
  <si>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</si>
  <si>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</si>
  <si>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</si>
  <si>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</si>
  <si>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</si>
  <si>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</si>
  <si>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</si>
  <si>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</si>
  <si>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</si>
  <si>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</si>
  <si>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</si>
  <si>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</si>
  <si>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</si>
  <si>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</si>
  <si>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</si>
  <si>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</si>
  <si>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</si>
  <si>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</si>
  <si>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</si>
  <si>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</si>
  <si>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</si>
  <si>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</si>
  <si>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</si>
  <si>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</si>
  <si>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</si>
  <si>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</si>
  <si>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</si>
  <si>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</si>
  <si>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</si>
  <si>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</si>
  <si>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</si>
  <si>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</si>
  <si>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</si>
  <si>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</si>
  <si>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</si>
  <si>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</si>
  <si>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</si>
  <si>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</si>
  <si>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</si>
  <si>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</si>
  <si>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</si>
  <si>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</si>
  <si>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</si>
  <si>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</si>
  <si>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</si>
  <si>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</si>
  <si>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</si>
  <si>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</si>
  <si>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</si>
  <si>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</si>
  <si>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</si>
  <si>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</si>
  <si>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</si>
  <si>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</si>
  <si>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</si>
  <si>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</si>
  <si>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</si>
  <si>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</si>
  <si>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</si>
  <si>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</si>
  <si>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</si>
  <si>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</si>
  <si>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</si>
  <si>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</si>
  <si>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</si>
  <si>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</si>
  <si>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</si>
  <si>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</si>
  <si>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</si>
  <si>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</si>
  <si>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</si>
  <si>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</si>
  <si>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</si>
  <si>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</si>
  <si>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</si>
  <si>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</si>
  <si>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</si>
  <si>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</si>
  <si>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</si>
  <si>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</si>
  <si>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</si>
  <si>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</si>
  <si>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</si>
  <si>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</si>
  <si>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</si>
  <si>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</si>
  <si>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</si>
  <si>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</si>
  <si>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</si>
  <si>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</si>
  <si>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</si>
  <si>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</si>
  <si>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</si>
  <si>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</si>
  <si>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</si>
  <si>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</si>
  <si>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</si>
  <si>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</si>
  <si>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</si>
  <si>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</si>
  <si>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</si>
  <si>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</si>
  <si>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</si>
  <si>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</si>
  <si>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</si>
  <si>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</si>
  <si>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</si>
  <si>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</si>
  <si>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</si>
  <si>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</si>
  <si>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</si>
  <si>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</si>
  <si>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</si>
  <si>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</si>
  <si>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</si>
  <si>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</si>
  <si>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</si>
  <si>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</si>
  <si>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</si>
  <si>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</si>
  <si>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</si>
  <si>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</si>
  <si>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</si>
  <si>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</si>
  <si>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</si>
  <si>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</si>
  <si>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</si>
  <si>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</si>
  <si>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</si>
  <si>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</si>
  <si>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</si>
  <si>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</si>
  <si>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</si>
  <si>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</si>
  <si>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</si>
  <si>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</si>
  <si>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</si>
  <si>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</si>
  <si>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</si>
  <si>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</si>
  <si>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</si>
  <si>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</si>
  <si>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</si>
  <si>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</si>
  <si>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</si>
  <si>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</si>
  <si>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</si>
  <si>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</si>
  <si>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</si>
  <si>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</si>
  <si>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</si>
  <si>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</si>
  <si>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</si>
  <si>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</si>
  <si>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</si>
  <si>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</si>
  <si>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</si>
  <si>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</si>
  <si>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</si>
  <si>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</si>
  <si>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</si>
  <si>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</si>
  <si>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</si>
  <si>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</si>
  <si>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</si>
  <si>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</si>
  <si>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</si>
  <si>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</si>
  <si>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</si>
  <si>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</si>
  <si>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</si>
  <si>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</si>
  <si>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</si>
  <si>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</si>
  <si>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</si>
  <si>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</si>
  <si>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</si>
  <si>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</si>
  <si>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</si>
  <si>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</si>
  <si>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</si>
  <si>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</si>
  <si>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</si>
  <si>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</si>
  <si>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</si>
  <si>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</si>
  <si>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</si>
  <si>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</si>
  <si>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</si>
  <si>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</si>
  <si>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</si>
  <si>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</si>
  <si>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</si>
  <si>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</si>
  <si>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</si>
  <si>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</si>
  <si>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</si>
  <si>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</si>
  <si>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</si>
  <si>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</si>
  <si>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</si>
  <si>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</si>
  <si>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</si>
  <si>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</si>
  <si>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</si>
  <si>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</si>
  <si>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</si>
  <si>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</si>
  <si>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</si>
  <si>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</si>
  <si>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</si>
  <si>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</si>
  <si>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</si>
  <si>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</si>
  <si>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</si>
  <si>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</si>
  <si>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</si>
  <si>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</si>
  <si>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</si>
  <si>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</si>
  <si>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</si>
  <si>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</si>
  <si>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</si>
  <si>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</si>
  <si>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</si>
  <si>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</si>
  <si>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</si>
  <si>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</si>
  <si>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</si>
  <si>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</si>
  <si>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</si>
  <si>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</si>
  <si>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</si>
  <si>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</si>
  <si>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</si>
  <si>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</si>
  <si>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</si>
  <si>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</si>
  <si>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</si>
  <si>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</si>
  <si>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</si>
  <si>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</si>
  <si>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</si>
  <si>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</si>
  <si>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</si>
  <si>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</si>
  <si>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</si>
  <si>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</si>
  <si>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</si>
  <si>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</si>
  <si>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</si>
  <si>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</si>
  <si>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</si>
  <si>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</si>
  <si>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</si>
  <si>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</si>
  <si>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</si>
  <si>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</si>
  <si>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</si>
  <si>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</si>
  <si>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</si>
  <si>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</si>
  <si>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</si>
  <si>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</si>
  <si>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</si>
  <si>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</si>
  <si>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</si>
  <si>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</si>
  <si>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</si>
  <si>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</si>
  <si>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</si>
  <si>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</si>
  <si>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</si>
  <si>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</si>
  <si>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</si>
  <si>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</si>
  <si>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</si>
  <si>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</si>
  <si>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</si>
  <si>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</si>
  <si>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</si>
  <si>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</si>
  <si>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</si>
  <si>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</si>
  <si>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</si>
  <si>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</si>
  <si>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</si>
  <si>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</si>
  <si>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</si>
  <si>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</si>
  <si>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</si>
  <si>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</si>
  <si>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</si>
  <si>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</si>
  <si>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</si>
  <si>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</si>
  <si>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</si>
  <si>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</si>
  <si>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</si>
  <si>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</si>
  <si>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</si>
  <si>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</si>
  <si>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</si>
  <si>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</si>
  <si>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</si>
  <si>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</si>
  <si>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</si>
  <si>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</si>
  <si>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</si>
  <si>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</si>
  <si>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</si>
  <si>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</si>
  <si>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</si>
  <si>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</si>
  <si>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</si>
  <si>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</si>
  <si>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</si>
  <si>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</si>
  <si>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</si>
  <si>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</si>
  <si>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</si>
  <si>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</si>
  <si>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</si>
  <si>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</si>
  <si>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</si>
  <si>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</si>
  <si>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</si>
  <si>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</si>
  <si>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</si>
  <si>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</si>
  <si>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</si>
  <si>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</si>
  <si>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</si>
  <si>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</si>
  <si>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</si>
  <si>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</si>
  <si>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</si>
  <si>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</si>
  <si>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</si>
  <si>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</si>
  <si>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</si>
  <si>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</si>
  <si>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</si>
  <si>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</si>
  <si>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</si>
  <si>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</si>
  <si>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</si>
  <si>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</si>
  <si>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</si>
  <si>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</si>
  <si>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</si>
  <si>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</si>
  <si>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</si>
  <si>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</si>
  <si>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</si>
  <si>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</si>
  <si>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</si>
  <si>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</si>
  <si>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</si>
  <si>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</si>
  <si>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</si>
  <si>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</si>
  <si>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</si>
  <si>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</si>
  <si>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</si>
  <si>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</si>
  <si>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</si>
  <si>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</si>
  <si>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</si>
  <si>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</si>
  <si>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</si>
  <si>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</si>
  <si>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</si>
  <si>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</si>
  <si>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</si>
  <si>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</si>
  <si>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</si>
  <si>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</si>
  <si>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</si>
  <si>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</si>
  <si>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</si>
  <si>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</si>
  <si>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</si>
  <si>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</si>
  <si>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DSMREV</t>
  </si>
  <si>
    <t>FACRI</t>
  </si>
  <si>
    <t>ECRRI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</si>
  <si>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</si>
  <si>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</si>
  <si>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</si>
  <si>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</si>
  <si>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</si>
  <si>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</si>
  <si>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</si>
  <si>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</si>
  <si>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</si>
  <si>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</si>
  <si>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</si>
  <si>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</si>
  <si>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</si>
  <si>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</si>
  <si>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</si>
  <si>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</si>
  <si>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</si>
  <si>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</si>
  <si>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</si>
  <si>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</si>
  <si>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</si>
  <si>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</si>
  <si>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</si>
  <si>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</si>
  <si>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</si>
  <si>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</si>
  <si>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</si>
  <si>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</si>
  <si>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</si>
  <si>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</si>
  <si>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</si>
  <si>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</si>
  <si>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</si>
  <si>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</si>
  <si>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</si>
  <si>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</si>
  <si>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</si>
  <si>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</si>
  <si>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</si>
  <si>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</si>
  <si>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</si>
  <si>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</si>
  <si>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</si>
  <si>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</si>
  <si>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</si>
  <si>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</si>
  <si>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</si>
  <si>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</si>
  <si>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</si>
  <si>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</si>
  <si>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</si>
  <si>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</si>
  <si>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</si>
  <si>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</si>
  <si>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</si>
  <si>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</si>
  <si>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</si>
  <si>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</si>
  <si>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</si>
  <si>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</si>
  <si>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</si>
  <si>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</si>
  <si>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</si>
  <si>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</si>
  <si>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</si>
  <si>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</si>
  <si>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</si>
  <si>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</si>
  <si>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</si>
  <si>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</si>
  <si>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</si>
  <si>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</si>
  <si>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</si>
  <si>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</si>
  <si>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</si>
  <si>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</si>
  <si>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</si>
  <si>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</si>
  <si>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</si>
  <si>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</si>
  <si>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</si>
  <si>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</si>
  <si>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</si>
  <si>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</si>
  <si>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</si>
  <si>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</si>
  <si>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</si>
  <si>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</si>
  <si>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</si>
  <si>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</si>
  <si>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</si>
  <si>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</si>
  <si>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</si>
  <si>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</si>
  <si>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</si>
  <si>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</si>
  <si>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</si>
  <si>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</si>
  <si>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</si>
  <si>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</si>
  <si>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</si>
  <si>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</si>
  <si>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</si>
  <si>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</si>
  <si>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</si>
  <si>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</si>
  <si>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</si>
  <si>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</si>
  <si>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</si>
  <si>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</si>
  <si>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</si>
  <si>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</si>
  <si>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</si>
  <si>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</si>
  <si>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</si>
  <si>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</si>
  <si>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</si>
  <si>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</si>
  <si>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</si>
  <si>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</si>
  <si>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</si>
  <si>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</si>
  <si>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</si>
  <si>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</si>
  <si>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</si>
  <si>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</si>
  <si>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</si>
  <si>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</si>
  <si>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</si>
  <si>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</si>
  <si>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</si>
  <si>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</si>
  <si>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</si>
  <si>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</si>
  <si>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</si>
  <si>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</si>
  <si>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</si>
  <si>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</si>
  <si>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</si>
  <si>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</si>
  <si>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</si>
  <si>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</si>
  <si>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</si>
  <si>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</si>
  <si>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</si>
  <si>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</si>
  <si>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</si>
  <si>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</si>
  <si>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</si>
  <si>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</si>
  <si>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</si>
  <si>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</si>
  <si>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</si>
  <si>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</si>
  <si>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</si>
  <si>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</si>
  <si>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</si>
  <si>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</si>
  <si>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</si>
  <si>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</si>
  <si>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</si>
  <si>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</si>
  <si>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</si>
  <si>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</si>
  <si>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</si>
  <si>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</si>
  <si>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</si>
  <si>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</si>
  <si>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</si>
  <si>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</si>
  <si>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</si>
  <si>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</si>
  <si>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</si>
  <si>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</si>
  <si>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</si>
  <si>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</si>
  <si>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</si>
  <si>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</si>
  <si>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</si>
  <si>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</si>
  <si>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</si>
  <si>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</si>
  <si>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</si>
  <si>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</si>
  <si>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</si>
  <si>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</si>
  <si>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</si>
  <si>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</si>
  <si>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</si>
  <si>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</si>
  <si>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</si>
  <si>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</si>
  <si>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</si>
  <si>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</si>
  <si>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</si>
  <si>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</si>
  <si>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</si>
  <si>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</si>
  <si>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</si>
  <si>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</si>
  <si>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</si>
  <si>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</si>
  <si>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</si>
  <si>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</si>
  <si>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</si>
  <si>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</si>
  <si>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</si>
  <si>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</si>
  <si>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</si>
  <si>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</si>
  <si>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</si>
  <si>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</si>
  <si>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</si>
  <si>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</si>
  <si>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</si>
  <si>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</si>
  <si>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</si>
  <si>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</si>
  <si>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</si>
  <si>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</si>
  <si>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</si>
  <si>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</si>
  <si>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</si>
  <si>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</si>
  <si>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</si>
  <si>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</si>
  <si>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</si>
  <si>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</si>
  <si>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</si>
  <si>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</si>
  <si>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</si>
  <si>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</si>
  <si>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</si>
  <si>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</si>
  <si>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</si>
  <si>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</si>
  <si>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</si>
  <si>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</si>
  <si>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</si>
  <si>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</si>
  <si>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</si>
  <si>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</si>
  <si>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</si>
  <si>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</si>
  <si>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</si>
  <si>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</si>
  <si>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</si>
  <si>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</si>
  <si>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</si>
  <si>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</si>
  <si>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</si>
  <si>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</si>
  <si>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</si>
  <si>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</si>
  <si>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</si>
  <si>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</si>
  <si>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</si>
  <si>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</si>
  <si>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</si>
  <si>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</si>
  <si>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</si>
  <si>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</si>
  <si>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</si>
  <si>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</si>
  <si>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</si>
  <si>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</si>
  <si>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</si>
  <si>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</si>
  <si>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</si>
  <si>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</si>
  <si>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</si>
  <si>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</si>
  <si>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</si>
  <si>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</si>
  <si>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</si>
  <si>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</si>
  <si>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</si>
  <si>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</si>
  <si>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</si>
  <si>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</si>
  <si>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</si>
  <si>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</si>
  <si>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</si>
  <si>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</si>
  <si>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</si>
  <si>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</si>
  <si>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</si>
  <si>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</si>
  <si>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</si>
  <si>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</si>
  <si>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</si>
  <si>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</si>
  <si>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</si>
  <si>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</si>
  <si>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</si>
  <si>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</si>
  <si>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</si>
  <si>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Year Customers</t>
  </si>
  <si>
    <t>Rate PS</t>
  </si>
  <si>
    <t>Rate RTS</t>
  </si>
  <si>
    <t>Rate LE</t>
  </si>
  <si>
    <t>Power Service Primary</t>
  </si>
  <si>
    <t>Power Service Secondary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</si>
  <si>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</si>
  <si>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</si>
  <si>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</si>
  <si>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</si>
  <si>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</si>
  <si>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</si>
  <si>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</si>
  <si>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</si>
  <si>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</si>
  <si>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</si>
  <si>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</si>
  <si>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</si>
  <si>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</si>
  <si>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</si>
  <si>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</si>
  <si>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</si>
  <si>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</si>
  <si>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</si>
  <si>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</si>
  <si>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</si>
  <si>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</si>
  <si>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</si>
  <si>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</si>
  <si>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</si>
  <si>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</si>
  <si>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</si>
  <si>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</si>
  <si>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</si>
  <si>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</si>
  <si>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</si>
  <si>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</si>
  <si>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</si>
  <si>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</si>
  <si>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</si>
  <si>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</si>
  <si>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</si>
  <si>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</si>
  <si>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</si>
  <si>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</si>
  <si>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</si>
  <si>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</si>
  <si>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</si>
  <si>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</si>
  <si>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</si>
  <si>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</si>
  <si>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</si>
  <si>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</si>
  <si>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</si>
  <si>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</si>
  <si>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</si>
  <si>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</si>
  <si>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</si>
  <si>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</si>
  <si>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</si>
  <si>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</si>
  <si>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</si>
  <si>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</si>
  <si>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</si>
  <si>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</si>
  <si>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</si>
  <si>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</si>
  <si>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</si>
  <si>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</si>
  <si>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</si>
  <si>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</si>
  <si>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</si>
  <si>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</si>
  <si>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</si>
  <si>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</si>
  <si>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</si>
  <si>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</si>
  <si>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</si>
  <si>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</si>
  <si>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</si>
  <si>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</si>
  <si>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</si>
  <si>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</si>
  <si>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</si>
  <si>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</si>
  <si>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</si>
  <si>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</si>
  <si>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</si>
  <si>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</si>
  <si>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</si>
  <si>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</si>
  <si>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</si>
  <si>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</si>
  <si>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</si>
  <si>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</si>
  <si>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</si>
  <si>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</si>
  <si>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</si>
  <si>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</si>
  <si>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</si>
  <si>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</si>
  <si>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</si>
  <si>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</si>
  <si>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</si>
  <si>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</si>
  <si>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</si>
  <si>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</si>
  <si>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</si>
  <si>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</si>
  <si>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</si>
  <si>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</si>
  <si>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</si>
  <si>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</si>
  <si>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</si>
  <si>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</si>
  <si>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</si>
  <si>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</si>
  <si>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</si>
  <si>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</si>
  <si>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</si>
  <si>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</si>
  <si>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</si>
  <si>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</si>
  <si>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</si>
  <si>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</si>
  <si>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</si>
  <si>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</si>
  <si>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</si>
  <si>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</si>
  <si>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Eliminate rate mechanism revenue accruals</t>
  </si>
  <si>
    <t>Misc Service Revenue Allocator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</si>
  <si>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</si>
  <si>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</si>
  <si>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</si>
  <si>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</si>
  <si>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</si>
  <si>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</si>
  <si>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</si>
  <si>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</si>
  <si>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</si>
  <si>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</si>
  <si>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</si>
  <si>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</si>
  <si>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</si>
  <si>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</si>
  <si>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</si>
  <si>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</si>
  <si>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 xml:space="preserve">Forecasted 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</si>
  <si>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</si>
  <si>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</si>
  <si>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</si>
  <si>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</si>
  <si>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</si>
  <si>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</si>
  <si>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</si>
  <si>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Customer Account Changes</t>
  </si>
  <si>
    <t>Cane Run Depreciation adjustment</t>
  </si>
  <si>
    <t>Average Customers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</si>
  <si>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</si>
  <si>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</si>
  <si>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</si>
  <si>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</si>
  <si>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</si>
  <si>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</si>
  <si>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</si>
  <si>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</si>
  <si>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</si>
  <si>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</si>
  <si>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</si>
  <si>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</si>
  <si>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</si>
  <si>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</si>
  <si>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</si>
  <si>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</si>
  <si>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</si>
  <si>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PTRTL</t>
  </si>
  <si>
    <t>General Service Rate GS</t>
  </si>
  <si>
    <t>TOD Primary</t>
  </si>
  <si>
    <t>Special Contract #2 (LWC)</t>
  </si>
  <si>
    <t>Average Customers (Lighting = 10 Lights)</t>
  </si>
  <si>
    <t>Average Customers (Lighting = 10 Lights per Cust)</t>
  </si>
  <si>
    <t xml:space="preserve">  Curtailable Service Rider</t>
  </si>
  <si>
    <t>CSR</t>
  </si>
  <si>
    <t xml:space="preserve">  368-TRANSFORMERS</t>
  </si>
  <si>
    <t>For the 12 Months Ended June 30, 2018</t>
  </si>
  <si>
    <t xml:space="preserve">  Sales for Resale</t>
  </si>
  <si>
    <t>*</t>
  </si>
  <si>
    <t>Variable Energy Cost</t>
  </si>
  <si>
    <t>Customer Cost</t>
  </si>
  <si>
    <t xml:space="preserve">  Transmission Demand</t>
  </si>
  <si>
    <t xml:space="preserve">  Transmission Demand - Not Used</t>
  </si>
  <si>
    <t>Max Class Non-Coincident Peak Demands (Transmission)</t>
  </si>
  <si>
    <t>Max Class Non-Coincident Peak Demands (Primary)</t>
  </si>
  <si>
    <t>NCPT</t>
  </si>
  <si>
    <t>NCPP</t>
  </si>
  <si>
    <t>INJURIES AND DAMAGES</t>
  </si>
  <si>
    <t>Actual Customer Charge</t>
  </si>
  <si>
    <t>Difference ($)</t>
  </si>
  <si>
    <t>Increase in Energy Charge</t>
  </si>
  <si>
    <t>Revenue Adjustments - Prod Demand</t>
  </si>
  <si>
    <t>Proforma Adjustments - Total</t>
  </si>
  <si>
    <t>(27)</t>
  </si>
  <si>
    <t>Infrastructure Energy Cost</t>
  </si>
  <si>
    <t>Proposed Reduction in CSR Credit</t>
  </si>
  <si>
    <t>ECR Factor</t>
  </si>
  <si>
    <t>Resulting Infrastrusture Charge</t>
  </si>
  <si>
    <t>Proposed Changes to Miscellaneous Charges</t>
  </si>
  <si>
    <t>ok</t>
  </si>
  <si>
    <t>Less: Misc Revenue - Prod Demand</t>
  </si>
  <si>
    <t>Total Infrastructure Energy Cost</t>
  </si>
  <si>
    <t>ECR in Base Rates</t>
  </si>
</sst>
</file>

<file path=xl/styles.xml><?xml version="1.0" encoding="utf-8"?>
<styleSheet xmlns="http://schemas.openxmlformats.org/spreadsheetml/2006/main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  <numFmt numFmtId="178" formatCode="[$-409]mmm\-yy;@"/>
    <numFmt numFmtId="179" formatCode="[$-409]mmmm\ d\,\ yyyy;@"/>
    <numFmt numFmtId="180" formatCode="0_);\(0\)"/>
    <numFmt numFmtId="181" formatCode="[$-409]mmmm\-yy;@"/>
    <numFmt numFmtId="182" formatCode="0\ 00\ 000\ 000"/>
    <numFmt numFmtId="183" formatCode="[$-409]d\-mmm\-yy;@"/>
    <numFmt numFmtId="184" formatCode="_-* #,##0.00\ [$€]_-;\-* #,##0.00\ [$€]_-;_-* &quot;-&quot;??\ [$€]_-;_-@_-"/>
    <numFmt numFmtId="185" formatCode="_-* #,##0\ _F_-;\-* #,##0\ _F_-;_-* &quot;-&quot;\ _F_-;_-@_-"/>
    <numFmt numFmtId="186" formatCode="_-* #,##0.00\ _F_-;\-* #,##0.00\ _F_-;_-* &quot;-&quot;??\ _F_-;_-@_-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00000000"/>
    <numFmt numFmtId="190" formatCode="[$-409]d\-mmm\-yyyy;@"/>
    <numFmt numFmtId="191" formatCode="#,##0.00;[Red]\(#,##0.00\)"/>
    <numFmt numFmtId="192" formatCode="###,000"/>
    <numFmt numFmtId="193" formatCode="0.000E+00"/>
    <numFmt numFmtId="199" formatCode="0.00000000%"/>
  </numFmts>
  <fonts count="135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name val="Arial (W1)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2"/>
    </font>
    <font>
      <sz val="12"/>
      <name val="Helv"/>
    </font>
    <font>
      <sz val="10"/>
      <name val="Helv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Tms Rmn"/>
    </font>
    <font>
      <sz val="18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10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sz val="11"/>
      <color rgb="FFFF0000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5164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3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/>
    <xf numFmtId="0" fontId="7" fillId="0" borderId="0"/>
    <xf numFmtId="4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1" fillId="0" borderId="0"/>
    <xf numFmtId="43" fontId="61" fillId="0" borderId="0" applyFont="0" applyFill="0" applyBorder="0" applyAlignment="0" applyProtection="0"/>
    <xf numFmtId="43" fontId="39" fillId="0" borderId="0" applyFont="0" applyFill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1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0" fontId="1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53" fillId="20" borderId="0" applyNumberFormat="0" applyBorder="0" applyAlignment="0" applyProtection="0"/>
    <xf numFmtId="181" fontId="62" fillId="44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1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53" fillId="24" borderId="0" applyNumberFormat="0" applyBorder="0" applyAlignment="0" applyProtection="0"/>
    <xf numFmtId="181" fontId="62" fillId="46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1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53" fillId="28" borderId="0" applyNumberFormat="0" applyBorder="0" applyAlignment="0" applyProtection="0"/>
    <xf numFmtId="181" fontId="62" fillId="48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7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1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0" fontId="1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53" fillId="32" borderId="0" applyNumberFormat="0" applyBorder="0" applyAlignment="0" applyProtection="0"/>
    <xf numFmtId="181" fontId="62" fillId="2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1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53" fillId="36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1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53" fillId="40" borderId="0" applyNumberFormat="0" applyBorder="0" applyAlignment="0" applyProtection="0"/>
    <xf numFmtId="181" fontId="62" fillId="48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2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1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53" fillId="21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1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53" fillId="25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46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1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0" fontId="1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53" fillId="29" borderId="0" applyNumberFormat="0" applyBorder="0" applyAlignment="0" applyProtection="0"/>
    <xf numFmtId="181" fontId="62" fillId="3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51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1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0" fontId="1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53" fillId="33" borderId="0" applyNumberFormat="0" applyBorder="0" applyAlignment="0" applyProtection="0"/>
    <xf numFmtId="181" fontId="62" fillId="45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9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1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0" fontId="1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53" fillId="37" borderId="0" applyNumberFormat="0" applyBorder="0" applyAlignment="0" applyProtection="0"/>
    <xf numFmtId="181" fontId="62" fillId="50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44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1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0" fontId="1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53" fillId="41" borderId="0" applyNumberFormat="0" applyBorder="0" applyAlignment="0" applyProtection="0"/>
    <xf numFmtId="181" fontId="62" fillId="48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2" fillId="52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52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4" fillId="22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52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4" fillId="2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52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4" fillId="30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52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0" fontId="52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4" fillId="34" borderId="0" applyNumberFormat="0" applyBorder="0" applyAlignment="0" applyProtection="0"/>
    <xf numFmtId="181" fontId="63" fillId="45" borderId="0" applyNumberFormat="0" applyBorder="0" applyAlignment="0" applyProtection="0"/>
    <xf numFmtId="181" fontId="63" fillId="4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52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0" fontId="52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4" fillId="38" borderId="0" applyNumberFormat="0" applyBorder="0" applyAlignment="0" applyProtection="0"/>
    <xf numFmtId="181" fontId="63" fillId="50" borderId="0" applyNumberFormat="0" applyBorder="0" applyAlignment="0" applyProtection="0"/>
    <xf numFmtId="181" fontId="63" fillId="50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52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52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4" fillId="42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52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0" fontId="52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4" fillId="19" borderId="0" applyNumberFormat="0" applyBorder="0" applyAlignment="0" applyProtection="0"/>
    <xf numFmtId="181" fontId="63" fillId="59" borderId="0" applyNumberFormat="0" applyBorder="0" applyAlignment="0" applyProtection="0"/>
    <xf numFmtId="181" fontId="63" fillId="59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52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52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4" fillId="23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52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0" fontId="52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4" fillId="27" borderId="0" applyNumberFormat="0" applyBorder="0" applyAlignment="0" applyProtection="0"/>
    <xf numFmtId="181" fontId="63" fillId="52" borderId="0" applyNumberFormat="0" applyBorder="0" applyAlignment="0" applyProtection="0"/>
    <xf numFmtId="181" fontId="63" fillId="52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52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0" fontId="52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4" fillId="31" borderId="0" applyNumberFormat="0" applyBorder="0" applyAlignment="0" applyProtection="0"/>
    <xf numFmtId="181" fontId="63" fillId="62" borderId="0" applyNumberFormat="0" applyBorder="0" applyAlignment="0" applyProtection="0"/>
    <xf numFmtId="181" fontId="63" fillId="62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52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52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4" fillId="3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52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52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4" fillId="39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43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0" fontId="43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6" fillId="13" borderId="0" applyNumberFormat="0" applyBorder="0" applyAlignment="0" applyProtection="0"/>
    <xf numFmtId="181" fontId="65" fillId="49" borderId="0" applyNumberFormat="0" applyBorder="0" applyAlignment="0" applyProtection="0"/>
    <xf numFmtId="181" fontId="65" fillId="49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5" fillId="45" borderId="0" applyNumberFormat="0" applyBorder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47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0" fontId="47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8" fillId="16" borderId="21" applyNumberFormat="0" applyAlignment="0" applyProtection="0"/>
    <xf numFmtId="181" fontId="69" fillId="4" borderId="29" applyNumberFormat="0" applyAlignment="0" applyProtection="0"/>
    <xf numFmtId="181" fontId="69" fillId="4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67" fillId="63" borderId="29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49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0" fontId="49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1" fillId="17" borderId="24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181" fontId="70" fillId="64" borderId="30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51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3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72" fillId="0" borderId="0" applyNumberFormat="0" applyFill="0" applyBorder="0" applyAlignment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1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0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21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7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8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22" fillId="0" borderId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42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0" fontId="42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5" fillId="12" borderId="0" applyNumberFormat="0" applyBorder="0" applyAlignment="0" applyProtection="0"/>
    <xf numFmtId="181" fontId="74" fillId="50" borderId="0" applyNumberFormat="0" applyBorder="0" applyAlignment="0" applyProtection="0"/>
    <xf numFmtId="181" fontId="74" fillId="50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4" fillId="47" borderId="0" applyNumberFormat="0" applyBorder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77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0" fontId="77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23" fillId="0" borderId="0" applyNumberFormat="0" applyFill="0" applyBorder="0" applyAlignment="0" applyProtection="0"/>
    <xf numFmtId="181" fontId="23" fillId="0" borderId="0" applyNumberFormat="0" applyFill="0" applyBorder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58" fillId="0" borderId="26" applyNumberFormat="0" applyFill="0" applyAlignment="0" applyProtection="0"/>
    <xf numFmtId="181" fontId="78" fillId="0" borderId="32" applyNumberFormat="0" applyFill="0" applyAlignment="0" applyProtection="0"/>
    <xf numFmtId="181" fontId="78" fillId="0" borderId="32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6" fillId="0" borderId="31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80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0" fontId="80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24" fillId="0" borderId="0" applyNumberFormat="0" applyFill="0" applyBorder="0" applyAlignment="0" applyProtection="0"/>
    <xf numFmtId="181" fontId="24" fillId="0" borderId="0" applyNumberFormat="0" applyFill="0" applyBorder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59" fillId="0" borderId="27" applyNumberFormat="0" applyFill="0" applyAlignment="0" applyProtection="0"/>
    <xf numFmtId="181" fontId="81" fillId="0" borderId="34" applyNumberFormat="0" applyFill="0" applyAlignment="0" applyProtection="0"/>
    <xf numFmtId="181" fontId="81" fillId="0" borderId="34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79" fillId="0" borderId="33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41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0" fontId="41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60" fillId="0" borderId="20" applyNumberFormat="0" applyFill="0" applyAlignment="0" applyProtection="0"/>
    <xf numFmtId="181" fontId="83" fillId="0" borderId="36" applyNumberFormat="0" applyFill="0" applyAlignment="0" applyProtection="0"/>
    <xf numFmtId="181" fontId="83" fillId="0" borderId="36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41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60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3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4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0" fontId="4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5" fillId="15" borderId="21" applyNumberFormat="0" applyAlignment="0" applyProtection="0"/>
    <xf numFmtId="181" fontId="84" fillId="3" borderId="29" applyNumberFormat="0" applyAlignment="0" applyProtection="0"/>
    <xf numFmtId="181" fontId="84" fillId="3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4" fillId="2" borderId="29" applyNumberFormat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48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0" fontId="48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7" fillId="0" borderId="23" applyNumberFormat="0" applyFill="0" applyAlignment="0" applyProtection="0"/>
    <xf numFmtId="181" fontId="88" fillId="0" borderId="38" applyNumberFormat="0" applyFill="0" applyAlignment="0" applyProtection="0"/>
    <xf numFmtId="181" fontId="88" fillId="0" borderId="38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6" fillId="0" borderId="37" applyNumberFormat="0" applyFill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44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0" fontId="44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0" fillId="14" borderId="0" applyNumberFormat="0" applyBorder="0" applyAlignment="0" applyProtection="0"/>
    <xf numFmtId="181" fontId="91" fillId="3" borderId="0" applyNumberFormat="0" applyBorder="0" applyAlignment="0" applyProtection="0"/>
    <xf numFmtId="181" fontId="91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89" fillId="3" borderId="0" applyNumberFormat="0" applyBorder="0" applyAlignment="0" applyProtection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7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92" fillId="0" borderId="0"/>
    <xf numFmtId="181" fontId="53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53" fillId="0" borderId="0"/>
    <xf numFmtId="181" fontId="53" fillId="0" borderId="0"/>
    <xf numFmtId="181" fontId="7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41" fontId="39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93" fillId="48" borderId="39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0" fontId="1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53" fillId="18" borderId="25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10" fillId="48" borderId="39" applyNumberFormat="0" applyFon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46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0" fontId="46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5" fillId="16" borderId="22" applyNumberFormat="0" applyAlignment="0" applyProtection="0"/>
    <xf numFmtId="181" fontId="94" fillId="4" borderId="40" applyNumberFormat="0" applyAlignment="0" applyProtection="0"/>
    <xf numFmtId="181" fontId="94" fillId="4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94" fillId="63" borderId="40" applyNumberFormat="0" applyAlignment="0" applyProtection="0"/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3" fillId="6" borderId="0">
      <alignment horizontal="center" vertical="center"/>
    </xf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1" fillId="6" borderId="1"/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3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181" fontId="34" fillId="6" borderId="0" applyBorder="0">
      <alignment horizontal="centerContinuous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7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6" fillId="0" borderId="0" applyNumberFormat="0" applyFill="0" applyBorder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99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0" fontId="99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7" fillId="0" borderId="2" applyNumberFormat="0" applyFont="0" applyFill="0" applyAlignment="0" applyProtection="0"/>
    <xf numFmtId="181" fontId="7" fillId="0" borderId="2" applyNumberFormat="0" applyFon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54" fillId="0" borderId="28" applyNumberFormat="0" applyFill="0" applyAlignment="0" applyProtection="0"/>
    <xf numFmtId="181" fontId="98" fillId="0" borderId="42" applyNumberFormat="0" applyFill="0" applyAlignment="0" applyProtection="0"/>
    <xf numFmtId="181" fontId="98" fillId="0" borderId="42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98" fillId="0" borderId="41" applyNumberFormat="0" applyFill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5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100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41" fontId="39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39" fillId="0" borderId="0"/>
    <xf numFmtId="0" fontId="1" fillId="0" borderId="0"/>
    <xf numFmtId="0" fontId="56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65" borderId="0"/>
    <xf numFmtId="0" fontId="7" fillId="65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81" fontId="62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62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81" fontId="62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81" fontId="6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62" fillId="4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62" fillId="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81" fontId="62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2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81" fontId="62" fillId="5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62" fillId="5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81" fontId="62" fillId="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5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181" fontId="62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181" fontId="62" fillId="4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62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81" fontId="62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62" fillId="5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1" fontId="62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62" fillId="49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5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81" fontId="62" fillId="4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62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81" fontId="62" fillId="5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62" fillId="52" borderId="0" applyNumberFormat="0" applyBorder="0" applyAlignment="0" applyProtection="0"/>
    <xf numFmtId="0" fontId="63" fillId="53" borderId="0" applyNumberFormat="0" applyBorder="0" applyAlignment="0" applyProtection="0"/>
    <xf numFmtId="181" fontId="63" fillId="53" borderId="0" applyNumberFormat="0" applyBorder="0" applyAlignment="0" applyProtection="0"/>
    <xf numFmtId="181" fontId="63" fillId="53" borderId="0" applyNumberFormat="0" applyBorder="0" applyAlignment="0" applyProtection="0"/>
    <xf numFmtId="0" fontId="63" fillId="46" borderId="0" applyNumberFormat="0" applyBorder="0" applyAlignment="0" applyProtection="0"/>
    <xf numFmtId="181" fontId="63" fillId="46" borderId="0" applyNumberFormat="0" applyBorder="0" applyAlignment="0" applyProtection="0"/>
    <xf numFmtId="181" fontId="63" fillId="46" borderId="0" applyNumberFormat="0" applyBorder="0" applyAlignment="0" applyProtection="0"/>
    <xf numFmtId="0" fontId="63" fillId="51" borderId="0" applyNumberFormat="0" applyBorder="0" applyAlignment="0" applyProtection="0"/>
    <xf numFmtId="181" fontId="63" fillId="51" borderId="0" applyNumberFormat="0" applyBorder="0" applyAlignment="0" applyProtection="0"/>
    <xf numFmtId="181" fontId="63" fillId="5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0" fontId="63" fillId="56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7" borderId="0" applyNumberFormat="0" applyBorder="0" applyAlignment="0" applyProtection="0"/>
    <xf numFmtId="181" fontId="63" fillId="57" borderId="0" applyNumberFormat="0" applyBorder="0" applyAlignment="0" applyProtection="0"/>
    <xf numFmtId="181" fontId="63" fillId="57" borderId="0" applyNumberFormat="0" applyBorder="0" applyAlignment="0" applyProtection="0"/>
    <xf numFmtId="0" fontId="101" fillId="0" borderId="4" applyBorder="0"/>
    <xf numFmtId="0" fontId="63" fillId="58" borderId="0" applyNumberFormat="0" applyBorder="0" applyAlignment="0" applyProtection="0"/>
    <xf numFmtId="181" fontId="63" fillId="58" borderId="0" applyNumberFormat="0" applyBorder="0" applyAlignment="0" applyProtection="0"/>
    <xf numFmtId="181" fontId="63" fillId="58" borderId="0" applyNumberFormat="0" applyBorder="0" applyAlignment="0" applyProtection="0"/>
    <xf numFmtId="0" fontId="63" fillId="60" borderId="0" applyNumberFormat="0" applyBorder="0" applyAlignment="0" applyProtection="0"/>
    <xf numFmtId="181" fontId="63" fillId="60" borderId="0" applyNumberFormat="0" applyBorder="0" applyAlignment="0" applyProtection="0"/>
    <xf numFmtId="181" fontId="63" fillId="60" borderId="0" applyNumberFormat="0" applyBorder="0" applyAlignment="0" applyProtection="0"/>
    <xf numFmtId="0" fontId="63" fillId="61" borderId="0" applyNumberFormat="0" applyBorder="0" applyAlignment="0" applyProtection="0"/>
    <xf numFmtId="181" fontId="63" fillId="61" borderId="0" applyNumberFormat="0" applyBorder="0" applyAlignment="0" applyProtection="0"/>
    <xf numFmtId="181" fontId="63" fillId="61" borderId="0" applyNumberFormat="0" applyBorder="0" applyAlignment="0" applyProtection="0"/>
    <xf numFmtId="0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5" borderId="0" applyNumberFormat="0" applyBorder="0" applyAlignment="0" applyProtection="0"/>
    <xf numFmtId="181" fontId="63" fillId="56" borderId="0" applyNumberFormat="0" applyBorder="0" applyAlignment="0" applyProtection="0"/>
    <xf numFmtId="181" fontId="63" fillId="56" borderId="0" applyNumberFormat="0" applyBorder="0" applyAlignment="0" applyProtection="0"/>
    <xf numFmtId="0" fontId="63" fillId="54" borderId="0" applyNumberFormat="0" applyBorder="0" applyAlignment="0" applyProtection="0"/>
    <xf numFmtId="181" fontId="63" fillId="54" borderId="0" applyNumberFormat="0" applyBorder="0" applyAlignment="0" applyProtection="0"/>
    <xf numFmtId="181" fontId="63" fillId="54" borderId="0" applyNumberFormat="0" applyBorder="0" applyAlignment="0" applyProtection="0"/>
    <xf numFmtId="0" fontId="65" fillId="45" borderId="0" applyNumberFormat="0" applyBorder="0" applyAlignment="0" applyProtection="0"/>
    <xf numFmtId="181" fontId="65" fillId="45" borderId="0" applyNumberFormat="0" applyBorder="0" applyAlignment="0" applyProtection="0"/>
    <xf numFmtId="165" fontId="102" fillId="0" borderId="43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8" fontId="68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47" fillId="16" borderId="21" applyNumberFormat="0" applyAlignment="0" applyProtection="0"/>
    <xf numFmtId="179" fontId="103" fillId="66" borderId="29" applyNumberFormat="0" applyAlignment="0" applyProtection="0"/>
    <xf numFmtId="0" fontId="47" fillId="16" borderId="21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179" fontId="103" fillId="66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7" fillId="63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0" fontId="69" fillId="4" borderId="29" applyNumberFormat="0" applyAlignment="0" applyProtection="0"/>
    <xf numFmtId="181" fontId="70" fillId="64" borderId="30" applyNumberFormat="0" applyAlignment="0" applyProtection="0"/>
    <xf numFmtId="182" fontId="104" fillId="0" borderId="1" applyBorder="0">
      <alignment horizontal="center" vertic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29" fillId="4" borderId="0">
      <alignment horizontal="center"/>
    </xf>
    <xf numFmtId="0" fontId="29" fillId="4" borderId="0">
      <alignment horizontal="center"/>
    </xf>
    <xf numFmtId="0" fontId="29" fillId="4" borderId="0">
      <alignment horizontal="center"/>
    </xf>
    <xf numFmtId="183" fontId="29" fillId="4" borderId="0">
      <alignment horizontal="center"/>
    </xf>
    <xf numFmtId="179" fontId="29" fillId="4" borderId="0">
      <alignment horizontal="center"/>
    </xf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179" fontId="28" fillId="5" borderId="0">
      <alignment horizontal="right"/>
    </xf>
    <xf numFmtId="183" fontId="30" fillId="4" borderId="0">
      <alignment horizontal="left"/>
    </xf>
    <xf numFmtId="0" fontId="30" fillId="4" borderId="0">
      <alignment horizontal="left"/>
    </xf>
    <xf numFmtId="183" fontId="30" fillId="4" borderId="0">
      <alignment horizontal="left"/>
    </xf>
    <xf numFmtId="179" fontId="30" fillId="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05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7" fillId="67" borderId="0"/>
    <xf numFmtId="3" fontId="7" fillId="0" borderId="0" applyFont="0" applyFill="0" applyBorder="0" applyAlignment="0" applyProtection="0"/>
    <xf numFmtId="3" fontId="10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67" borderId="0"/>
    <xf numFmtId="3" fontId="7" fillId="67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08" fillId="0" borderId="0"/>
    <xf numFmtId="0" fontId="108" fillId="0" borderId="45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51" borderId="46" applyNumberFormat="0" applyFont="0" applyAlignment="0">
      <protection locked="0"/>
    </xf>
    <xf numFmtId="0" fontId="7" fillId="51" borderId="46" applyNumberFormat="0" applyFont="0" applyAlignment="0">
      <protection locked="0"/>
    </xf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2" fillId="0" borderId="0" applyNumberFormat="0" applyFill="0" applyBorder="0" applyAlignment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10" fillId="0" borderId="0" applyProtection="0"/>
    <xf numFmtId="0" fontId="10" fillId="0" borderId="0" applyProtection="0"/>
    <xf numFmtId="178" fontId="10" fillId="0" borderId="0" applyProtection="0"/>
    <xf numFmtId="178" fontId="10" fillId="0" borderId="0" applyProtection="0"/>
    <xf numFmtId="0" fontId="10" fillId="0" borderId="0" applyProtection="0"/>
    <xf numFmtId="0" fontId="20" fillId="0" borderId="0" applyProtection="0"/>
    <xf numFmtId="0" fontId="20" fillId="0" borderId="0" applyProtection="0"/>
    <xf numFmtId="178" fontId="20" fillId="0" borderId="0" applyProtection="0"/>
    <xf numFmtId="178" fontId="20" fillId="0" borderId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178" fontId="21" fillId="0" borderId="0" applyProtection="0"/>
    <xf numFmtId="178" fontId="21" fillId="0" borderId="0" applyProtection="0"/>
    <xf numFmtId="0" fontId="21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9" fontId="7" fillId="0" borderId="0" applyProtection="0"/>
    <xf numFmtId="0" fontId="7" fillId="0" borderId="0" applyProtection="0"/>
    <xf numFmtId="0" fontId="7" fillId="0" borderId="0" applyProtection="0"/>
    <xf numFmtId="178" fontId="7" fillId="0" borderId="0" applyProtection="0"/>
    <xf numFmtId="178" fontId="7" fillId="0" borderId="0" applyProtection="0"/>
    <xf numFmtId="0" fontId="7" fillId="0" borderId="0" applyProtection="0"/>
    <xf numFmtId="0" fontId="8" fillId="0" borderId="0" applyProtection="0"/>
    <xf numFmtId="0" fontId="8" fillId="0" borderId="0" applyProtection="0"/>
    <xf numFmtId="178" fontId="8" fillId="0" borderId="0" applyProtection="0"/>
    <xf numFmtId="178" fontId="8" fillId="0" borderId="0" applyProtection="0"/>
    <xf numFmtId="0" fontId="8" fillId="0" borderId="0" applyProtection="0"/>
    <xf numFmtId="0" fontId="22" fillId="0" borderId="0" applyProtection="0"/>
    <xf numFmtId="0" fontId="22" fillId="0" borderId="0" applyProtection="0"/>
    <xf numFmtId="178" fontId="22" fillId="0" borderId="0" applyProtection="0"/>
    <xf numFmtId="178" fontId="22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74" fillId="47" borderId="0" applyNumberFormat="0" applyBorder="0" applyAlignment="0" applyProtection="0"/>
    <xf numFmtId="181" fontId="74" fillId="47" borderId="0" applyNumberFormat="0" applyBorder="0" applyAlignment="0" applyProtection="0"/>
    <xf numFmtId="0" fontId="23" fillId="0" borderId="0" applyNumberFormat="0" applyFill="0" applyBorder="0" applyAlignment="0" applyProtection="0"/>
    <xf numFmtId="183" fontId="109" fillId="0" borderId="0" applyNumberFormat="0" applyFont="0" applyFill="0" applyAlignment="0" applyProtection="0"/>
    <xf numFmtId="0" fontId="76" fillId="0" borderId="31" applyNumberFormat="0" applyFill="0" applyAlignment="0" applyProtection="0"/>
    <xf numFmtId="179" fontId="110" fillId="0" borderId="4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3" fontId="21" fillId="0" borderId="0" applyNumberFormat="0" applyFont="0" applyFill="0" applyAlignment="0" applyProtection="0"/>
    <xf numFmtId="0" fontId="79" fillId="0" borderId="33" applyNumberFormat="0" applyFill="0" applyAlignment="0" applyProtection="0"/>
    <xf numFmtId="179" fontId="111" fillId="0" borderId="48" applyNumberFormat="0" applyFill="0" applyAlignment="0" applyProtection="0"/>
    <xf numFmtId="0" fontId="24" fillId="0" borderId="0" applyNumberFormat="0" applyFill="0" applyBorder="0" applyAlignment="0" applyProtection="0"/>
    <xf numFmtId="0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181" fontId="82" fillId="0" borderId="35" applyNumberFormat="0" applyFill="0" applyAlignment="0" applyProtection="0"/>
    <xf numFmtId="0" fontId="82" fillId="0" borderId="0" applyNumberFormat="0" applyFill="0" applyBorder="0" applyAlignment="0" applyProtection="0"/>
    <xf numFmtId="181" fontId="82" fillId="0" borderId="0" applyNumberFormat="0" applyFill="0" applyBorder="0" applyAlignment="0" applyProtection="0"/>
    <xf numFmtId="183" fontId="112" fillId="0" borderId="0" applyNumberFormat="0" applyFill="0" applyBorder="0" applyAlignment="0" applyProtection="0">
      <alignment vertical="top"/>
      <protection locked="0"/>
    </xf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8" fontId="8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45" fillId="15" borderId="21" applyNumberFormat="0" applyAlignment="0" applyProtection="0"/>
    <xf numFmtId="179" fontId="113" fillId="2" borderId="29" applyNumberFormat="0" applyAlignment="0" applyProtection="0"/>
    <xf numFmtId="0" fontId="45" fillId="15" borderId="21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179" fontId="113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181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2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84" fillId="3" borderId="29" applyNumberFormat="0" applyAlignment="0" applyProtection="0"/>
    <xf numFmtId="0" fontId="114" fillId="68" borderId="45"/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179" fontId="27" fillId="5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0" fontId="31" fillId="4" borderId="0">
      <alignment horizontal="left"/>
    </xf>
    <xf numFmtId="183" fontId="31" fillId="4" borderId="0">
      <alignment horizontal="left"/>
    </xf>
    <xf numFmtId="0" fontId="31" fillId="4" borderId="0">
      <alignment horizontal="left"/>
    </xf>
    <xf numFmtId="179" fontId="31" fillId="4" borderId="0">
      <alignment horizontal="left"/>
    </xf>
    <xf numFmtId="0" fontId="86" fillId="0" borderId="37" applyNumberFormat="0" applyFill="0" applyAlignment="0" applyProtection="0"/>
    <xf numFmtId="181" fontId="86" fillId="0" borderId="37" applyNumberFormat="0" applyFill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89" fillId="3" borderId="0" applyNumberFormat="0" applyBorder="0" applyAlignment="0" applyProtection="0"/>
    <xf numFmtId="181" fontId="89" fillId="3" borderId="0" applyNumberFormat="0" applyBorder="0" applyAlignment="0" applyProtection="0"/>
    <xf numFmtId="189" fontId="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7" fillId="0" borderId="0"/>
    <xf numFmtId="179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3" fillId="0" borderId="0"/>
    <xf numFmtId="0" fontId="3" fillId="0" borderId="0"/>
    <xf numFmtId="183" fontId="7" fillId="0" borderId="0"/>
    <xf numFmtId="0" fontId="3" fillId="0" borderId="0"/>
    <xf numFmtId="179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7" fillId="0" borderId="0"/>
    <xf numFmtId="181" fontId="7" fillId="0" borderId="0"/>
    <xf numFmtId="0" fontId="7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181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81" fontId="7" fillId="0" borderId="0"/>
    <xf numFmtId="181" fontId="7" fillId="0" borderId="0"/>
    <xf numFmtId="183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7" fillId="0" borderId="0"/>
    <xf numFmtId="181" fontId="7" fillId="0" borderId="0"/>
    <xf numFmtId="0" fontId="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181" fontId="7" fillId="0" borderId="0"/>
    <xf numFmtId="0" fontId="53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181" fontId="92" fillId="0" borderId="0"/>
    <xf numFmtId="181" fontId="92" fillId="0" borderId="0"/>
    <xf numFmtId="181" fontId="92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1" fillId="0" borderId="0"/>
    <xf numFmtId="190" fontId="7" fillId="0" borderId="0"/>
    <xf numFmtId="0" fontId="1" fillId="0" borderId="0"/>
    <xf numFmtId="0" fontId="1" fillId="0" borderId="0"/>
    <xf numFmtId="37" fontId="11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7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178" fontId="53" fillId="0" borderId="0"/>
    <xf numFmtId="190" fontId="1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1" fillId="0" borderId="0"/>
    <xf numFmtId="0" fontId="7" fillId="0" borderId="0"/>
    <xf numFmtId="190" fontId="1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181" fontId="7" fillId="0" borderId="0"/>
    <xf numFmtId="19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19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8" fontId="53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37" fontId="115" fillId="0" borderId="0"/>
    <xf numFmtId="37" fontId="11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15" fillId="0" borderId="0"/>
    <xf numFmtId="37" fontId="11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7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0" fillId="48" borderId="39" applyNumberFormat="0" applyFont="0" applyAlignment="0" applyProtection="0"/>
    <xf numFmtId="0" fontId="1" fillId="0" borderId="0"/>
    <xf numFmtId="0" fontId="1" fillId="0" borderId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1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81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178" fontId="93" fillId="18" borderId="25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93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1" fillId="0" borderId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39" fillId="48" borderId="39" applyNumberFormat="0" applyFont="0" applyAlignment="0" applyProtection="0"/>
    <xf numFmtId="0" fontId="94" fillId="63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94" fillId="4" borderId="40" applyNumberFormat="0" applyAlignment="0" applyProtection="0"/>
    <xf numFmtId="0" fontId="1" fillId="0" borderId="0"/>
    <xf numFmtId="181" fontId="94" fillId="63" borderId="40" applyNumberFormat="0" applyAlignment="0" applyProtection="0"/>
    <xf numFmtId="191" fontId="32" fillId="4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0" fontId="116" fillId="6" borderId="0">
      <alignment horizontal="right"/>
    </xf>
    <xf numFmtId="40" fontId="116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191" fontId="32" fillId="4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4" fontId="32" fillId="6" borderId="0">
      <alignment horizontal="right"/>
    </xf>
    <xf numFmtId="0" fontId="1" fillId="0" borderId="0"/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191" fontId="32" fillId="4" borderId="0">
      <alignment horizontal="right"/>
    </xf>
    <xf numFmtId="40" fontId="116" fillId="6" borderId="0">
      <alignment horizontal="right"/>
    </xf>
    <xf numFmtId="0" fontId="33" fillId="68" borderId="0">
      <alignment horizontal="center"/>
    </xf>
    <xf numFmtId="0" fontId="33" fillId="68" borderId="0">
      <alignment horizontal="center"/>
    </xf>
    <xf numFmtId="183" fontId="33" fillId="68" borderId="0">
      <alignment horizontal="center"/>
    </xf>
    <xf numFmtId="0" fontId="33" fillId="6" borderId="0">
      <alignment horizontal="center" vertical="center"/>
    </xf>
    <xf numFmtId="0" fontId="1" fillId="0" borderId="0"/>
    <xf numFmtId="0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117" fillId="6" borderId="0">
      <alignment horizontal="right"/>
    </xf>
    <xf numFmtId="0" fontId="33" fillId="68" borderId="0">
      <alignment horizontal="center"/>
    </xf>
    <xf numFmtId="183" fontId="33" fillId="68" borderId="0">
      <alignment horizontal="center"/>
    </xf>
    <xf numFmtId="0" fontId="117" fillId="6" borderId="0">
      <alignment horizontal="right"/>
    </xf>
    <xf numFmtId="0" fontId="117" fillId="6" borderId="0">
      <alignment horizontal="right"/>
    </xf>
    <xf numFmtId="0" fontId="33" fillId="6" borderId="0">
      <alignment horizontal="center" vertical="center"/>
    </xf>
    <xf numFmtId="0" fontId="33" fillId="6" borderId="0">
      <alignment horizontal="center" vertical="center"/>
    </xf>
    <xf numFmtId="178" fontId="33" fillId="6" borderId="0">
      <alignment horizontal="center" vertical="center"/>
    </xf>
    <xf numFmtId="178" fontId="33" fillId="6" borderId="0">
      <alignment horizontal="center" vertical="center"/>
    </xf>
    <xf numFmtId="0" fontId="117" fillId="6" borderId="0">
      <alignment horizontal="right"/>
    </xf>
    <xf numFmtId="0" fontId="27" fillId="69" borderId="0"/>
    <xf numFmtId="0" fontId="27" fillId="69" borderId="0"/>
    <xf numFmtId="183" fontId="27" fillId="69" borderId="0"/>
    <xf numFmtId="0" fontId="31" fillId="6" borderId="1"/>
    <xf numFmtId="0" fontId="31" fillId="6" borderId="1"/>
    <xf numFmtId="181" fontId="118" fillId="6" borderId="1"/>
    <xf numFmtId="0" fontId="31" fillId="6" borderId="1"/>
    <xf numFmtId="0" fontId="1" fillId="0" borderId="0"/>
    <xf numFmtId="0" fontId="27" fillId="69" borderId="0"/>
    <xf numFmtId="0" fontId="118" fillId="6" borderId="1"/>
    <xf numFmtId="0" fontId="118" fillId="6" borderId="1"/>
    <xf numFmtId="0" fontId="118" fillId="6" borderId="1"/>
    <xf numFmtId="0" fontId="118" fillId="6" borderId="1"/>
    <xf numFmtId="0" fontId="118" fillId="6" borderId="1"/>
    <xf numFmtId="0" fontId="27" fillId="69" borderId="0"/>
    <xf numFmtId="181" fontId="118" fillId="6" borderId="1"/>
    <xf numFmtId="0" fontId="118" fillId="6" borderId="1"/>
    <xf numFmtId="0" fontId="118" fillId="6" borderId="1"/>
    <xf numFmtId="0" fontId="31" fillId="6" borderId="1"/>
    <xf numFmtId="178" fontId="31" fillId="6" borderId="1"/>
    <xf numFmtId="178" fontId="31" fillId="6" borderId="1"/>
    <xf numFmtId="0" fontId="118" fillId="6" borderId="1"/>
    <xf numFmtId="0" fontId="119" fillId="4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33" fillId="6" borderId="0" applyBorder="0">
      <alignment horizontal="centerContinuous"/>
    </xf>
    <xf numFmtId="0" fontId="1" fillId="0" borderId="0"/>
    <xf numFmtId="0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9" fillId="4" borderId="0" applyBorder="0">
      <alignment horizontal="centerContinuous"/>
    </xf>
    <xf numFmtId="183" fontId="119" fillId="4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33" fillId="6" borderId="0" applyBorder="0">
      <alignment horizontal="centerContinuous"/>
    </xf>
    <xf numFmtId="0" fontId="33" fillId="6" borderId="0" applyBorder="0">
      <alignment horizontal="centerContinuous"/>
    </xf>
    <xf numFmtId="178" fontId="33" fillId="6" borderId="0" applyBorder="0">
      <alignment horizontal="centerContinuous"/>
    </xf>
    <xf numFmtId="178" fontId="33" fillId="6" borderId="0" applyBorder="0">
      <alignment horizontal="centerContinuous"/>
    </xf>
    <xf numFmtId="0" fontId="118" fillId="0" borderId="0" applyBorder="0">
      <alignment horizontal="centerContinuous"/>
    </xf>
    <xf numFmtId="0" fontId="120" fillId="69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1" fillId="69" borderId="0" applyBorder="0">
      <alignment horizontal="centerContinuous"/>
    </xf>
    <xf numFmtId="0" fontId="34" fillId="6" borderId="0" applyBorder="0">
      <alignment horizontal="centerContinuous"/>
    </xf>
    <xf numFmtId="0" fontId="1" fillId="0" borderId="0"/>
    <xf numFmtId="0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120" fillId="69" borderId="0" applyBorder="0">
      <alignment horizontal="centerContinuous"/>
    </xf>
    <xf numFmtId="183" fontId="120" fillId="69" borderId="0" applyBorder="0">
      <alignment horizontal="centerContinuous"/>
    </xf>
    <xf numFmtId="0" fontId="122" fillId="0" borderId="0" applyBorder="0">
      <alignment horizontal="centerContinuous"/>
    </xf>
    <xf numFmtId="0" fontId="122" fillId="0" borderId="0" applyBorder="0">
      <alignment horizontal="centerContinuous"/>
    </xf>
    <xf numFmtId="0" fontId="34" fillId="6" borderId="0" applyBorder="0">
      <alignment horizontal="centerContinuous"/>
    </xf>
    <xf numFmtId="0" fontId="34" fillId="6" borderId="0" applyBorder="0">
      <alignment horizontal="centerContinuous"/>
    </xf>
    <xf numFmtId="178" fontId="34" fillId="6" borderId="0" applyBorder="0">
      <alignment horizontal="centerContinuous"/>
    </xf>
    <xf numFmtId="178" fontId="34" fillId="6" borderId="0" applyBorder="0">
      <alignment horizontal="centerContinuous"/>
    </xf>
    <xf numFmtId="0" fontId="122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0" fontId="123" fillId="70" borderId="49">
      <alignment horizontal="left"/>
    </xf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124" fillId="0" borderId="3">
      <alignment horizontal="center"/>
    </xf>
    <xf numFmtId="3" fontId="92" fillId="0" borderId="0" applyFont="0" applyFill="0" applyBorder="0" applyAlignment="0" applyProtection="0"/>
    <xf numFmtId="0" fontId="92" fillId="71" borderId="0" applyNumberFormat="0" applyFont="0" applyBorder="0" applyAlignment="0" applyProtection="0"/>
    <xf numFmtId="183" fontId="31" fillId="3" borderId="0">
      <alignment horizontal="center"/>
    </xf>
    <xf numFmtId="0" fontId="31" fillId="3" borderId="0">
      <alignment horizontal="center"/>
    </xf>
    <xf numFmtId="0" fontId="31" fillId="3" borderId="0">
      <alignment horizontal="center"/>
    </xf>
    <xf numFmtId="183" fontId="31" fillId="3" borderId="0">
      <alignment horizontal="center"/>
    </xf>
    <xf numFmtId="0" fontId="31" fillId="3" borderId="0">
      <alignment horizontal="center"/>
    </xf>
    <xf numFmtId="0" fontId="1" fillId="0" borderId="0"/>
    <xf numFmtId="0" fontId="1" fillId="0" borderId="0"/>
    <xf numFmtId="49" fontId="35" fillId="4" borderId="0">
      <alignment horizontal="center"/>
    </xf>
    <xf numFmtId="0" fontId="108" fillId="0" borderId="0"/>
    <xf numFmtId="183" fontId="28" fillId="5" borderId="0">
      <alignment horizontal="center"/>
    </xf>
    <xf numFmtId="0" fontId="28" fillId="5" borderId="0">
      <alignment horizontal="center"/>
    </xf>
    <xf numFmtId="0" fontId="28" fillId="5" borderId="0">
      <alignment horizontal="center"/>
    </xf>
    <xf numFmtId="183" fontId="28" fillId="5" borderId="0">
      <alignment horizontal="center"/>
    </xf>
    <xf numFmtId="0" fontId="1" fillId="0" borderId="0"/>
    <xf numFmtId="183" fontId="28" fillId="5" borderId="0">
      <alignment horizontal="centerContinuous"/>
    </xf>
    <xf numFmtId="0" fontId="28" fillId="5" borderId="0">
      <alignment horizontal="centerContinuous"/>
    </xf>
    <xf numFmtId="0" fontId="28" fillId="5" borderId="0">
      <alignment horizontal="centerContinuous"/>
    </xf>
    <xf numFmtId="183" fontId="28" fillId="5" borderId="0">
      <alignment horizontal="centerContinuous"/>
    </xf>
    <xf numFmtId="0" fontId="1" fillId="0" borderId="0"/>
    <xf numFmtId="183" fontId="36" fillId="4" borderId="0">
      <alignment horizontal="left"/>
    </xf>
    <xf numFmtId="0" fontId="36" fillId="4" borderId="0">
      <alignment horizontal="left"/>
    </xf>
    <xf numFmtId="0" fontId="36" fillId="4" borderId="0">
      <alignment horizontal="left"/>
    </xf>
    <xf numFmtId="183" fontId="36" fillId="4" borderId="0">
      <alignment horizontal="left"/>
    </xf>
    <xf numFmtId="0" fontId="1" fillId="0" borderId="0"/>
    <xf numFmtId="0" fontId="1" fillId="0" borderId="0"/>
    <xf numFmtId="49" fontId="36" fillId="4" borderId="0">
      <alignment horizontal="center"/>
    </xf>
    <xf numFmtId="183" fontId="27" fillId="5" borderId="0">
      <alignment horizontal="left"/>
    </xf>
    <xf numFmtId="0" fontId="27" fillId="5" borderId="0">
      <alignment horizontal="left"/>
    </xf>
    <xf numFmtId="0" fontId="27" fillId="5" borderId="0">
      <alignment horizontal="left"/>
    </xf>
    <xf numFmtId="183" fontId="27" fillId="5" borderId="0">
      <alignment horizontal="left"/>
    </xf>
    <xf numFmtId="0" fontId="1" fillId="0" borderId="0"/>
    <xf numFmtId="0" fontId="1" fillId="0" borderId="0"/>
    <xf numFmtId="49" fontId="36" fillId="4" borderId="0">
      <alignment horizontal="left"/>
    </xf>
    <xf numFmtId="183" fontId="27" fillId="5" borderId="0">
      <alignment horizontal="centerContinuous"/>
    </xf>
    <xf numFmtId="0" fontId="27" fillId="5" borderId="0">
      <alignment horizontal="centerContinuous"/>
    </xf>
    <xf numFmtId="0" fontId="27" fillId="5" borderId="0">
      <alignment horizontal="centerContinuous"/>
    </xf>
    <xf numFmtId="183" fontId="27" fillId="5" borderId="0">
      <alignment horizontal="centerContinuous"/>
    </xf>
    <xf numFmtId="0" fontId="1" fillId="0" borderId="0"/>
    <xf numFmtId="183" fontId="27" fillId="5" borderId="0">
      <alignment horizontal="right"/>
    </xf>
    <xf numFmtId="0" fontId="27" fillId="5" borderId="0">
      <alignment horizontal="right"/>
    </xf>
    <xf numFmtId="0" fontId="27" fillId="5" borderId="0">
      <alignment horizontal="right"/>
    </xf>
    <xf numFmtId="183" fontId="27" fillId="5" borderId="0">
      <alignment horizontal="right"/>
    </xf>
    <xf numFmtId="0" fontId="1" fillId="0" borderId="0"/>
    <xf numFmtId="49" fontId="31" fillId="4" borderId="0">
      <alignment horizontal="left"/>
    </xf>
    <xf numFmtId="49" fontId="31" fillId="4" borderId="0">
      <alignment horizontal="left"/>
    </xf>
    <xf numFmtId="0" fontId="1" fillId="0" borderId="0"/>
    <xf numFmtId="183" fontId="28" fillId="5" borderId="0">
      <alignment horizontal="right"/>
    </xf>
    <xf numFmtId="0" fontId="28" fillId="5" borderId="0">
      <alignment horizontal="right"/>
    </xf>
    <xf numFmtId="0" fontId="28" fillId="5" borderId="0">
      <alignment horizontal="right"/>
    </xf>
    <xf numFmtId="183" fontId="28" fillId="5" borderId="0">
      <alignment horizontal="right"/>
    </xf>
    <xf numFmtId="0" fontId="1" fillId="0" borderId="0"/>
    <xf numFmtId="183" fontId="36" fillId="2" borderId="0">
      <alignment horizontal="center"/>
    </xf>
    <xf numFmtId="0" fontId="36" fillId="2" borderId="0">
      <alignment horizontal="center"/>
    </xf>
    <xf numFmtId="0" fontId="36" fillId="2" borderId="0">
      <alignment horizontal="center"/>
    </xf>
    <xf numFmtId="183" fontId="36" fillId="2" borderId="0">
      <alignment horizontal="center"/>
    </xf>
    <xf numFmtId="0" fontId="1" fillId="0" borderId="0"/>
    <xf numFmtId="183" fontId="37" fillId="2" borderId="0">
      <alignment horizontal="center"/>
    </xf>
    <xf numFmtId="0" fontId="37" fillId="2" borderId="0">
      <alignment horizontal="center"/>
    </xf>
    <xf numFmtId="0" fontId="37" fillId="2" borderId="0">
      <alignment horizontal="center"/>
    </xf>
    <xf numFmtId="183" fontId="37" fillId="2" borderId="0">
      <alignment horizontal="center"/>
    </xf>
    <xf numFmtId="0" fontId="1" fillId="0" borderId="0"/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8" fillId="72" borderId="50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125" fillId="72" borderId="51" applyNumberFormat="0" applyProtection="0">
      <alignment vertical="center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4" fontId="8" fillId="72" borderId="50" applyNumberFormat="0" applyProtection="0">
      <alignment horizontal="left" vertical="center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0" fontId="8" fillId="73" borderId="51" applyNumberFormat="0" applyProtection="0">
      <alignment horizontal="left" vertical="top" indent="1"/>
    </xf>
    <xf numFmtId="4" fontId="8" fillId="69" borderId="0" applyNumberFormat="0" applyProtection="0">
      <alignment horizontal="left" vertical="center" indent="1"/>
    </xf>
    <xf numFmtId="4" fontId="8" fillId="69" borderId="0" applyNumberFormat="0" applyProtection="0">
      <alignment horizontal="left" vertical="center" indent="1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7" fillId="72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4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126" fillId="75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3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4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7" fillId="45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60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126" fillId="57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7" fillId="56" borderId="51" applyNumberFormat="0" applyProtection="0">
      <alignment horizontal="right" vertical="center"/>
    </xf>
    <xf numFmtId="4" fontId="8" fillId="76" borderId="0" applyNumberFormat="0" applyProtection="0">
      <alignment horizontal="left" vertical="center" indent="1"/>
    </xf>
    <xf numFmtId="4" fontId="8" fillId="76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35" fillId="77" borderId="0" applyNumberFormat="0" applyProtection="0">
      <alignment horizontal="left" vertical="center" indent="1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50" applyNumberFormat="0" applyProtection="0">
      <alignment horizontal="right" vertical="center"/>
    </xf>
    <xf numFmtId="4" fontId="7" fillId="54" borderId="0" applyNumberFormat="0" applyProtection="0">
      <alignment horizontal="left" vertical="center" indent="1"/>
    </xf>
    <xf numFmtId="4" fontId="7" fillId="54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4" fontId="7" fillId="73" borderId="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32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127" fillId="78" borderId="51" applyNumberFormat="0" applyProtection="0">
      <alignment vertical="center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4" fontId="7" fillId="54" borderId="51" applyNumberFormat="0" applyProtection="0">
      <alignment horizontal="left" vertical="center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0" fontId="7" fillId="54" borderId="51" applyNumberFormat="0" applyProtection="0">
      <alignment horizontal="left" vertical="top" indent="1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7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8" fillId="79" borderId="50" applyNumberFormat="0" applyProtection="0">
      <alignment horizontal="right" vertical="center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4" fontId="7" fillId="54" borderId="50" applyNumberFormat="0" applyProtection="0">
      <alignment horizontal="left" vertical="center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0" fontId="7" fillId="54" borderId="50" applyNumberFormat="0" applyProtection="0">
      <alignment horizontal="left" vertical="top" indent="1"/>
    </xf>
    <xf numFmtId="4" fontId="128" fillId="0" borderId="0" applyNumberFormat="0" applyProtection="0">
      <alignment horizontal="left" vertical="center" indent="1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4" fontId="7" fillId="0" borderId="51" applyNumberFormat="0" applyProtection="0">
      <alignment horizontal="right" vertical="center"/>
    </xf>
    <xf numFmtId="192" fontId="129" fillId="0" borderId="52" applyNumberFormat="0" applyProtection="0">
      <alignment horizontal="right" vertical="center"/>
    </xf>
    <xf numFmtId="192" fontId="130" fillId="0" borderId="53" applyNumberFormat="0" applyProtection="0">
      <alignment horizontal="right" vertical="center"/>
    </xf>
    <xf numFmtId="0" fontId="130" fillId="80" borderId="54" applyNumberFormat="0" applyAlignment="0" applyProtection="0">
      <alignment horizontal="left" vertical="center" indent="1"/>
    </xf>
    <xf numFmtId="0" fontId="131" fillId="0" borderId="55" applyNumberFormat="0" applyFill="0" applyBorder="0" applyAlignment="0" applyProtection="0"/>
    <xf numFmtId="0" fontId="132" fillId="81" borderId="54" applyNumberFormat="0" applyAlignment="0" applyProtection="0">
      <alignment horizontal="left" vertical="center" indent="1"/>
    </xf>
    <xf numFmtId="0" fontId="132" fillId="82" borderId="54" applyNumberFormat="0" applyAlignment="0" applyProtection="0">
      <alignment horizontal="left" vertical="center" indent="1"/>
    </xf>
    <xf numFmtId="0" fontId="132" fillId="83" borderId="54" applyNumberFormat="0" applyAlignment="0" applyProtection="0">
      <alignment horizontal="left" vertical="center" indent="1"/>
    </xf>
    <xf numFmtId="0" fontId="132" fillId="84" borderId="54" applyNumberFormat="0" applyAlignment="0" applyProtection="0">
      <alignment horizontal="left" vertical="center" indent="1"/>
    </xf>
    <xf numFmtId="0" fontId="132" fillId="85" borderId="53" applyNumberFormat="0" applyAlignment="0" applyProtection="0">
      <alignment horizontal="left" vertical="center" indent="1"/>
    </xf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0" fontId="7" fillId="0" borderId="56" applyNumberFormat="0" applyFont="0" applyFill="0" applyBorder="0" applyAlignment="0" applyProtection="0"/>
    <xf numFmtId="192" fontId="129" fillId="86" borderId="54" applyNumberFormat="0" applyAlignment="0" applyProtection="0">
      <alignment horizontal="left" vertical="center" indent="1"/>
    </xf>
    <xf numFmtId="0" fontId="130" fillId="80" borderId="53" applyNumberFormat="0" applyAlignment="0" applyProtection="0">
      <alignment horizontal="left" vertical="center" indent="1"/>
    </xf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8" fillId="0" borderId="45"/>
    <xf numFmtId="49" fontId="7" fillId="0" borderId="44">
      <alignment horizontal="center" vertical="center"/>
      <protection locked="0"/>
    </xf>
    <xf numFmtId="0" fontId="133" fillId="5" borderId="0"/>
    <xf numFmtId="181" fontId="96" fillId="0" borderId="0" applyNumberFormat="0" applyFill="0" applyBorder="0" applyAlignment="0" applyProtection="0"/>
    <xf numFmtId="0" fontId="7" fillId="0" borderId="2" applyNumberFormat="0" applyFont="0" applyFill="0" applyAlignment="0" applyProtection="0"/>
    <xf numFmtId="183" fontId="107" fillId="0" borderId="57" applyNumberFormat="0" applyFont="0" applyBorder="0" applyAlignment="0" applyProtection="0"/>
    <xf numFmtId="0" fontId="98" fillId="0" borderId="41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98" fillId="0" borderId="42" applyNumberFormat="0" applyFill="0" applyAlignment="0" applyProtection="0"/>
    <xf numFmtId="0" fontId="1" fillId="0" borderId="0"/>
    <xf numFmtId="0" fontId="7" fillId="0" borderId="2" applyNumberFormat="0" applyFont="0" applyFill="0" applyAlignment="0" applyProtection="0"/>
    <xf numFmtId="0" fontId="1" fillId="0" borderId="0"/>
    <xf numFmtId="183" fontId="107" fillId="0" borderId="57" applyNumberFormat="0" applyFont="0" applyBorder="0" applyAlignment="0" applyProtection="0"/>
    <xf numFmtId="0" fontId="114" fillId="0" borderId="58"/>
    <xf numFmtId="0" fontId="114" fillId="0" borderId="45"/>
    <xf numFmtId="0" fontId="115" fillId="0" borderId="0"/>
    <xf numFmtId="0" fontId="115" fillId="0" borderId="0"/>
    <xf numFmtId="183" fontId="38" fillId="4" borderId="0">
      <alignment horizontal="center"/>
    </xf>
    <xf numFmtId="0" fontId="38" fillId="4" borderId="0">
      <alignment horizontal="center"/>
    </xf>
    <xf numFmtId="183" fontId="38" fillId="4" borderId="0">
      <alignment horizontal="center"/>
    </xf>
    <xf numFmtId="0" fontId="1" fillId="0" borderId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5" fillId="0" borderId="0" xfId="0" applyFont="1"/>
    <xf numFmtId="0" fontId="4" fillId="0" borderId="0" xfId="0" applyFont="1"/>
    <xf numFmtId="165" fontId="0" fillId="0" borderId="0" xfId="0" applyNumberFormat="1"/>
    <xf numFmtId="170" fontId="0" fillId="0" borderId="0" xfId="6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6" applyFont="1" applyAlignment="1">
      <alignment horizontal="right"/>
    </xf>
    <xf numFmtId="0" fontId="5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5" fillId="0" borderId="0" xfId="6" applyFont="1" applyBorder="1" applyAlignment="1">
      <alignment horizontal="right"/>
    </xf>
    <xf numFmtId="170" fontId="5" fillId="0" borderId="0" xfId="6" applyNumberFormat="1" applyFont="1" applyBorder="1" applyAlignment="1">
      <alignment horizontal="right" wrapText="1"/>
    </xf>
    <xf numFmtId="165" fontId="5" fillId="0" borderId="0" xfId="6" applyNumberFormat="1" applyFont="1" applyBorder="1" applyAlignment="1">
      <alignment horizontal="right"/>
    </xf>
    <xf numFmtId="43" fontId="5" fillId="0" borderId="0" xfId="6" applyFont="1" applyBorder="1" applyAlignment="1">
      <alignment horizontal="right" wrapText="1"/>
    </xf>
    <xf numFmtId="0" fontId="5" fillId="0" borderId="3" xfId="0" applyFont="1" applyBorder="1" applyAlignment="1"/>
    <xf numFmtId="0" fontId="5" fillId="0" borderId="3" xfId="0" applyFont="1" applyBorder="1" applyAlignment="1">
      <alignment horizontal="left" wrapText="1"/>
    </xf>
    <xf numFmtId="0" fontId="9" fillId="0" borderId="0" xfId="0" applyFont="1"/>
    <xf numFmtId="43" fontId="5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5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5" fillId="0" borderId="0" xfId="6" applyNumberFormat="1" applyFont="1" applyAlignment="1">
      <alignment horizontal="right"/>
    </xf>
    <xf numFmtId="43" fontId="6" fillId="0" borderId="0" xfId="6" applyFont="1"/>
    <xf numFmtId="165" fontId="4" fillId="0" borderId="0" xfId="6" applyNumberFormat="1" applyFont="1"/>
    <xf numFmtId="43" fontId="4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3" xfId="0" applyFont="1" applyBorder="1"/>
    <xf numFmtId="0" fontId="0" fillId="0" borderId="13" xfId="0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3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3" fillId="0" borderId="0" xfId="0" applyFont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3" fillId="0" borderId="1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2" xfId="0" applyFont="1" applyFill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3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5" fillId="0" borderId="3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0" fontId="2" fillId="0" borderId="3" xfId="0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3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5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5" fillId="0" borderId="18" xfId="0" applyFont="1" applyBorder="1" applyAlignment="1">
      <alignment horizontal="center"/>
    </xf>
    <xf numFmtId="0" fontId="3" fillId="0" borderId="10" xfId="0" applyFont="1" applyBorder="1"/>
    <xf numFmtId="0" fontId="3" fillId="0" borderId="13" xfId="0" applyFont="1" applyBorder="1"/>
    <xf numFmtId="0" fontId="14" fillId="0" borderId="15" xfId="0" applyFont="1" applyBorder="1" applyAlignment="1">
      <alignment horizontal="center"/>
    </xf>
    <xf numFmtId="165" fontId="3" fillId="0" borderId="11" xfId="6" applyNumberFormat="1" applyFont="1" applyFill="1" applyBorder="1"/>
    <xf numFmtId="0" fontId="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44" fontId="3" fillId="0" borderId="11" xfId="8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3" fillId="0" borderId="0" xfId="6" applyNumberFormat="1" applyFont="1" applyFill="1" applyAlignment="1">
      <alignment horizontal="right"/>
    </xf>
    <xf numFmtId="165" fontId="5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5" fillId="0" borderId="0" xfId="6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0" fontId="5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5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4" fontId="0" fillId="0" borderId="0" xfId="8" applyFont="1" applyBorder="1"/>
    <xf numFmtId="43" fontId="13" fillId="0" borderId="0" xfId="6" applyNumberFormat="1" applyFont="1" applyFill="1"/>
    <xf numFmtId="173" fontId="0" fillId="0" borderId="0" xfId="0" applyNumberFormat="1"/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0" fontId="4" fillId="0" borderId="0" xfId="0" applyFont="1" applyFill="1" applyAlignment="1">
      <alignment horizontal="center"/>
    </xf>
    <xf numFmtId="165" fontId="25" fillId="0" borderId="0" xfId="6" applyNumberFormat="1" applyFont="1" applyFill="1" applyBorder="1"/>
    <xf numFmtId="165" fontId="25" fillId="0" borderId="0" xfId="6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7" fontId="25" fillId="0" borderId="0" xfId="6" applyNumberFormat="1" applyFont="1" applyFill="1" applyBorder="1" applyAlignment="1">
      <alignment horizontal="right"/>
    </xf>
    <xf numFmtId="44" fontId="25" fillId="0" borderId="0" xfId="8" applyFont="1" applyFill="1"/>
    <xf numFmtId="164" fontId="25" fillId="0" borderId="0" xfId="8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72" fontId="25" fillId="0" borderId="0" xfId="8" applyNumberFormat="1" applyFont="1" applyFill="1"/>
    <xf numFmtId="1" fontId="25" fillId="0" borderId="0" xfId="0" applyNumberFormat="1" applyFont="1" applyFill="1"/>
    <xf numFmtId="165" fontId="4" fillId="0" borderId="0" xfId="6" applyNumberFormat="1" applyFont="1" applyFill="1" applyAlignment="1">
      <alignment horizontal="right"/>
    </xf>
    <xf numFmtId="0" fontId="25" fillId="0" borderId="0" xfId="0" applyFont="1" applyFill="1" applyBorder="1" applyAlignment="1">
      <alignment horizontal="right"/>
    </xf>
    <xf numFmtId="44" fontId="25" fillId="0" borderId="0" xfId="8" applyFont="1" applyFill="1" applyBorder="1" applyAlignment="1">
      <alignment horizontal="right"/>
    </xf>
    <xf numFmtId="10" fontId="25" fillId="0" borderId="0" xfId="30" applyNumberFormat="1" applyFont="1" applyFill="1" applyAlignment="1">
      <alignment horizontal="right"/>
    </xf>
    <xf numFmtId="165" fontId="4" fillId="0" borderId="0" xfId="6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4" fillId="0" borderId="4" xfId="0" applyFont="1" applyFill="1" applyBorder="1"/>
    <xf numFmtId="165" fontId="25" fillId="0" borderId="4" xfId="6" applyNumberFormat="1" applyFont="1" applyFill="1" applyBorder="1" applyAlignment="1">
      <alignment horizontal="right"/>
    </xf>
    <xf numFmtId="165" fontId="25" fillId="0" borderId="4" xfId="0" applyNumberFormat="1" applyFont="1" applyFill="1" applyBorder="1" applyAlignment="1">
      <alignment horizontal="right"/>
    </xf>
    <xf numFmtId="164" fontId="3" fillId="0" borderId="0" xfId="8" applyNumberFormat="1" applyFont="1" applyFill="1" applyAlignment="1">
      <alignment horizontal="right"/>
    </xf>
    <xf numFmtId="165" fontId="25" fillId="0" borderId="19" xfId="6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5" fillId="0" borderId="4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9" fontId="0" fillId="0" borderId="0" xfId="0" applyNumberFormat="1" applyBorder="1"/>
    <xf numFmtId="0" fontId="14" fillId="0" borderId="6" xfId="0" applyFont="1" applyBorder="1" applyAlignment="1">
      <alignment horizontal="right" wrapText="1"/>
    </xf>
    <xf numFmtId="0" fontId="13" fillId="0" borderId="0" xfId="0" applyFont="1" applyBorder="1" applyAlignment="1"/>
    <xf numFmtId="0" fontId="2" fillId="0" borderId="0" xfId="0" applyFont="1" applyFill="1" applyAlignment="1">
      <alignment wrapText="1"/>
    </xf>
    <xf numFmtId="164" fontId="13" fillId="0" borderId="0" xfId="0" applyNumberFormat="1" applyFont="1" applyFill="1" applyBorder="1" applyAlignment="1">
      <alignment horizontal="center"/>
    </xf>
    <xf numFmtId="10" fontId="13" fillId="0" borderId="11" xfId="30" applyNumberFormat="1" applyFont="1" applyFill="1" applyBorder="1" applyAlignment="1">
      <alignment horizontal="right"/>
    </xf>
    <xf numFmtId="10" fontId="13" fillId="0" borderId="0" xfId="30" applyNumberFormat="1" applyFont="1" applyBorder="1" applyAlignment="1">
      <alignment horizontal="right"/>
    </xf>
    <xf numFmtId="165" fontId="13" fillId="0" borderId="11" xfId="6" applyNumberFormat="1" applyFont="1" applyFill="1" applyBorder="1" applyAlignment="1">
      <alignment horizontal="center"/>
    </xf>
    <xf numFmtId="165" fontId="13" fillId="0" borderId="11" xfId="6" applyNumberFormat="1" applyFont="1" applyFill="1" applyBorder="1"/>
    <xf numFmtId="0" fontId="3" fillId="0" borderId="0" xfId="0" applyFont="1" applyFill="1" applyBorder="1"/>
    <xf numFmtId="168" fontId="0" fillId="0" borderId="0" xfId="6" applyNumberFormat="1" applyFont="1"/>
    <xf numFmtId="0" fontId="7" fillId="0" borderId="0" xfId="0" applyFont="1" applyBorder="1" applyAlignment="1">
      <alignment horizontal="center"/>
    </xf>
    <xf numFmtId="169" fontId="0" fillId="0" borderId="0" xfId="0" applyNumberFormat="1"/>
    <xf numFmtId="193" fontId="0" fillId="0" borderId="0" xfId="0" applyNumberFormat="1"/>
    <xf numFmtId="0" fontId="12" fillId="0" borderId="0" xfId="0" applyFont="1" applyBorder="1" applyAlignment="1">
      <alignment horizontal="center"/>
    </xf>
    <xf numFmtId="165" fontId="3" fillId="0" borderId="0" xfId="6" applyNumberFormat="1" applyFont="1" applyBorder="1" applyAlignment="1">
      <alignment horizontal="center"/>
    </xf>
    <xf numFmtId="165" fontId="13" fillId="0" borderId="0" xfId="6" applyNumberFormat="1" applyFont="1" applyBorder="1" applyAlignment="1">
      <alignment horizontal="center"/>
    </xf>
    <xf numFmtId="165" fontId="13" fillId="0" borderId="0" xfId="6" applyNumberFormat="1" applyFont="1" applyBorder="1"/>
    <xf numFmtId="173" fontId="13" fillId="0" borderId="3" xfId="8" applyNumberFormat="1" applyFont="1" applyBorder="1"/>
    <xf numFmtId="44" fontId="13" fillId="0" borderId="3" xfId="8" applyFont="1" applyBorder="1"/>
    <xf numFmtId="164" fontId="13" fillId="0" borderId="0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17" xfId="0" applyFont="1" applyBorder="1"/>
    <xf numFmtId="0" fontId="3" fillId="0" borderId="9" xfId="0" applyFont="1" applyBorder="1"/>
    <xf numFmtId="0" fontId="10" fillId="0" borderId="12" xfId="0" applyFont="1" applyFill="1" applyBorder="1"/>
    <xf numFmtId="0" fontId="3" fillId="0" borderId="17" xfId="0" applyFont="1" applyBorder="1"/>
    <xf numFmtId="44" fontId="13" fillId="0" borderId="7" xfId="8" applyFont="1" applyBorder="1"/>
    <xf numFmtId="44" fontId="0" fillId="0" borderId="0" xfId="0" applyNumberFormat="1"/>
    <xf numFmtId="44" fontId="0" fillId="0" borderId="0" xfId="8" applyFont="1"/>
    <xf numFmtId="0" fontId="3" fillId="0" borderId="18" xfId="0" applyFont="1" applyBorder="1"/>
    <xf numFmtId="2" fontId="0" fillId="0" borderId="6" xfId="0" applyNumberFormat="1" applyBorder="1"/>
    <xf numFmtId="169" fontId="0" fillId="0" borderId="6" xfId="6" applyNumberFormat="1" applyFont="1" applyBorder="1"/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0" xfId="6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99" fontId="134" fillId="0" borderId="0" xfId="30" applyNumberFormat="1" applyFont="1" applyFill="1"/>
  </cellXfs>
  <cellStyles count="15164">
    <cellStyle name="_Row1" xfId="2161"/>
    <cellStyle name="_Row1 2" xfId="2162"/>
    <cellStyle name="=C:\WINNT\SYSTEM32\COMMAND.COM" xfId="2163"/>
    <cellStyle name="=C:\WINNT\SYSTEM32\COMMAND.COM 2" xfId="2164"/>
    <cellStyle name="=C:\WINNT\SYSTEM32\COMMAND.COM 2 2" xfId="2165"/>
    <cellStyle name="=C:\WINNT\SYSTEM32\COMMAND.COM 3" xfId="2166"/>
    <cellStyle name="=C:\WINNT35\SYSTEM32\COMMAND.COM" xfId="2167"/>
    <cellStyle name="20% - Accent1 10" xfId="66"/>
    <cellStyle name="20% - Accent1 10 2" xfId="2168"/>
    <cellStyle name="20% - Accent1 10 2 2" xfId="2169"/>
    <cellStyle name="20% - Accent1 10 3" xfId="2170"/>
    <cellStyle name="20% - Accent1 10 4" xfId="2171"/>
    <cellStyle name="20% - Accent1 11" xfId="67"/>
    <cellStyle name="20% - Accent1 11 2" xfId="2172"/>
    <cellStyle name="20% - Accent1 11 2 2" xfId="2173"/>
    <cellStyle name="20% - Accent1 11 3" xfId="2174"/>
    <cellStyle name="20% - Accent1 11 4" xfId="2175"/>
    <cellStyle name="20% - Accent1 12" xfId="68"/>
    <cellStyle name="20% - Accent1 12 2" xfId="2176"/>
    <cellStyle name="20% - Accent1 12 3" xfId="2177"/>
    <cellStyle name="20% - Accent1 13" xfId="69"/>
    <cellStyle name="20% - Accent1 13 2" xfId="2178"/>
    <cellStyle name="20% - Accent1 14" xfId="70"/>
    <cellStyle name="20% - Accent1 15" xfId="71"/>
    <cellStyle name="20% - Accent1 15 2" xfId="72"/>
    <cellStyle name="20% - Accent1 15 3" xfId="73"/>
    <cellStyle name="20% - Accent1 15 4" xfId="74"/>
    <cellStyle name="20% - Accent1 15 5" xfId="75"/>
    <cellStyle name="20% - Accent1 16" xfId="76"/>
    <cellStyle name="20% - Accent1 16 2" xfId="77"/>
    <cellStyle name="20% - Accent1 16 3" xfId="78"/>
    <cellStyle name="20% - Accent1 16 4" xfId="79"/>
    <cellStyle name="20% - Accent1 16 5" xfId="80"/>
    <cellStyle name="20% - Accent1 17" xfId="81"/>
    <cellStyle name="20% - Accent1 17 2" xfId="82"/>
    <cellStyle name="20% - Accent1 17 3" xfId="83"/>
    <cellStyle name="20% - Accent1 17 4" xfId="84"/>
    <cellStyle name="20% - Accent1 17 5" xfId="85"/>
    <cellStyle name="20% - Accent1 18" xfId="86"/>
    <cellStyle name="20% - Accent1 19" xfId="87"/>
    <cellStyle name="20% - Accent1 2" xfId="88"/>
    <cellStyle name="20% - Accent1 2 2" xfId="89"/>
    <cellStyle name="20% - Accent1 2 2 2" xfId="90"/>
    <cellStyle name="20% - Accent1 2 2 2 2" xfId="91"/>
    <cellStyle name="20% - Accent1 2 2 2 2 2" xfId="2179"/>
    <cellStyle name="20% - Accent1 2 2 2 2 2 2" xfId="2180"/>
    <cellStyle name="20% - Accent1 2 2 2 2 2 2 2" xfId="2181"/>
    <cellStyle name="20% - Accent1 2 2 2 2 2 3" xfId="2182"/>
    <cellStyle name="20% - Accent1 2 2 2 2 3" xfId="2183"/>
    <cellStyle name="20% - Accent1 2 2 2 2 3 2" xfId="2184"/>
    <cellStyle name="20% - Accent1 2 2 2 2 4" xfId="2185"/>
    <cellStyle name="20% - Accent1 2 2 2 2 5" xfId="2186"/>
    <cellStyle name="20% - Accent1 2 2 2 3" xfId="92"/>
    <cellStyle name="20% - Accent1 2 2 2 3 2" xfId="2187"/>
    <cellStyle name="20% - Accent1 2 2 2 3 2 2" xfId="2188"/>
    <cellStyle name="20% - Accent1 2 2 2 3 3" xfId="2189"/>
    <cellStyle name="20% - Accent1 2 2 2 4" xfId="93"/>
    <cellStyle name="20% - Accent1 2 2 2 4 2" xfId="2190"/>
    <cellStyle name="20% - Accent1 2 2 2 5" xfId="94"/>
    <cellStyle name="20% - Accent1 2 2 2 6" xfId="2191"/>
    <cellStyle name="20% - Accent1 2 2 3" xfId="95"/>
    <cellStyle name="20% - Accent1 2 2 3 2" xfId="2192"/>
    <cellStyle name="20% - Accent1 2 2 3 2 2" xfId="2193"/>
    <cellStyle name="20% - Accent1 2 2 3 2 2 2" xfId="2194"/>
    <cellStyle name="20% - Accent1 2 2 3 2 3" xfId="2195"/>
    <cellStyle name="20% - Accent1 2 2 3 3" xfId="2196"/>
    <cellStyle name="20% - Accent1 2 2 3 3 2" xfId="2197"/>
    <cellStyle name="20% - Accent1 2 2 3 4" xfId="2198"/>
    <cellStyle name="20% - Accent1 2 2 3 5" xfId="2199"/>
    <cellStyle name="20% - Accent1 2 2 4" xfId="96"/>
    <cellStyle name="20% - Accent1 2 2 4 2" xfId="2200"/>
    <cellStyle name="20% - Accent1 2 2 4 2 2" xfId="2201"/>
    <cellStyle name="20% - Accent1 2 2 4 3" xfId="2202"/>
    <cellStyle name="20% - Accent1 2 2 5" xfId="97"/>
    <cellStyle name="20% - Accent1 2 2 5 2" xfId="2203"/>
    <cellStyle name="20% - Accent1 2 2 6" xfId="2204"/>
    <cellStyle name="20% - Accent1 2 2 7" xfId="2205"/>
    <cellStyle name="20% - Accent1 2 3" xfId="98"/>
    <cellStyle name="20% - Accent1 2 3 2" xfId="2206"/>
    <cellStyle name="20% - Accent1 2 3 2 2" xfId="2207"/>
    <cellStyle name="20% - Accent1 2 3 2 2 2" xfId="2208"/>
    <cellStyle name="20% - Accent1 2 3 2 2 2 2" xfId="2209"/>
    <cellStyle name="20% - Accent1 2 3 2 2 3" xfId="2210"/>
    <cellStyle name="20% - Accent1 2 3 2 3" xfId="2211"/>
    <cellStyle name="20% - Accent1 2 3 2 3 2" xfId="2212"/>
    <cellStyle name="20% - Accent1 2 3 2 4" xfId="2213"/>
    <cellStyle name="20% - Accent1 2 3 3" xfId="2214"/>
    <cellStyle name="20% - Accent1 2 3 3 2" xfId="2215"/>
    <cellStyle name="20% - Accent1 2 3 3 2 2" xfId="2216"/>
    <cellStyle name="20% - Accent1 2 3 3 3" xfId="2217"/>
    <cellStyle name="20% - Accent1 2 3 4" xfId="2218"/>
    <cellStyle name="20% - Accent1 2 3 4 2" xfId="2219"/>
    <cellStyle name="20% - Accent1 2 3 5" xfId="2220"/>
    <cellStyle name="20% - Accent1 2 3 6" xfId="2221"/>
    <cellStyle name="20% - Accent1 2 4" xfId="99"/>
    <cellStyle name="20% - Accent1 2 4 2" xfId="2222"/>
    <cellStyle name="20% - Accent1 2 4 2 2" xfId="2223"/>
    <cellStyle name="20% - Accent1 2 4 2 2 2" xfId="2224"/>
    <cellStyle name="20% - Accent1 2 4 2 3" xfId="2225"/>
    <cellStyle name="20% - Accent1 2 4 3" xfId="2226"/>
    <cellStyle name="20% - Accent1 2 4 3 2" xfId="2227"/>
    <cellStyle name="20% - Accent1 2 4 4" xfId="2228"/>
    <cellStyle name="20% - Accent1 2 4 5" xfId="2229"/>
    <cellStyle name="20% - Accent1 2 5" xfId="100"/>
    <cellStyle name="20% - Accent1 2 5 2" xfId="2230"/>
    <cellStyle name="20% - Accent1 2 5 2 2" xfId="2231"/>
    <cellStyle name="20% - Accent1 2 5 3" xfId="2232"/>
    <cellStyle name="20% - Accent1 2 5 4" xfId="2233"/>
    <cellStyle name="20% - Accent1 2 6" xfId="101"/>
    <cellStyle name="20% - Accent1 2 6 2" xfId="2234"/>
    <cellStyle name="20% - Accent1 2 6 3" xfId="2235"/>
    <cellStyle name="20% - Accent1 2 7" xfId="102"/>
    <cellStyle name="20% - Accent1 2 8" xfId="103"/>
    <cellStyle name="20% - Accent1 2 9" xfId="104"/>
    <cellStyle name="20% - Accent1 20" xfId="105"/>
    <cellStyle name="20% - Accent1 21" xfId="106"/>
    <cellStyle name="20% - Accent1 22" xfId="107"/>
    <cellStyle name="20% - Accent1 23" xfId="108"/>
    <cellStyle name="20% - Accent1 24" xfId="109"/>
    <cellStyle name="20% - Accent1 25" xfId="110"/>
    <cellStyle name="20% - Accent1 26" xfId="111"/>
    <cellStyle name="20% - Accent1 27" xfId="112"/>
    <cellStyle name="20% - Accent1 28" xfId="113"/>
    <cellStyle name="20% - Accent1 29" xfId="114"/>
    <cellStyle name="20% - Accent1 3" xfId="115"/>
    <cellStyle name="20% - Accent1 3 2" xfId="2236"/>
    <cellStyle name="20% - Accent1 3 2 2" xfId="2237"/>
    <cellStyle name="20% - Accent1 3 2 2 2" xfId="2238"/>
    <cellStyle name="20% - Accent1 3 2 2 2 2" xfId="2239"/>
    <cellStyle name="20% - Accent1 3 2 2 2 2 2" xfId="2240"/>
    <cellStyle name="20% - Accent1 3 2 2 2 2 2 2" xfId="2241"/>
    <cellStyle name="20% - Accent1 3 2 2 2 2 3" xfId="2242"/>
    <cellStyle name="20% - Accent1 3 2 2 2 3" xfId="2243"/>
    <cellStyle name="20% - Accent1 3 2 2 2 3 2" xfId="2244"/>
    <cellStyle name="20% - Accent1 3 2 2 2 4" xfId="2245"/>
    <cellStyle name="20% - Accent1 3 2 2 3" xfId="2246"/>
    <cellStyle name="20% - Accent1 3 2 2 3 2" xfId="2247"/>
    <cellStyle name="20% - Accent1 3 2 2 3 2 2" xfId="2248"/>
    <cellStyle name="20% - Accent1 3 2 2 3 3" xfId="2249"/>
    <cellStyle name="20% - Accent1 3 2 2 4" xfId="2250"/>
    <cellStyle name="20% - Accent1 3 2 2 4 2" xfId="2251"/>
    <cellStyle name="20% - Accent1 3 2 2 5" xfId="2252"/>
    <cellStyle name="20% - Accent1 3 2 2 6" xfId="2253"/>
    <cellStyle name="20% - Accent1 3 2 3" xfId="2254"/>
    <cellStyle name="20% - Accent1 3 2 3 2" xfId="2255"/>
    <cellStyle name="20% - Accent1 3 2 3 2 2" xfId="2256"/>
    <cellStyle name="20% - Accent1 3 2 3 2 2 2" xfId="2257"/>
    <cellStyle name="20% - Accent1 3 2 3 2 3" xfId="2258"/>
    <cellStyle name="20% - Accent1 3 2 3 3" xfId="2259"/>
    <cellStyle name="20% - Accent1 3 2 3 3 2" xfId="2260"/>
    <cellStyle name="20% - Accent1 3 2 3 4" xfId="2261"/>
    <cellStyle name="20% - Accent1 3 2 4" xfId="2262"/>
    <cellStyle name="20% - Accent1 3 2 4 2" xfId="2263"/>
    <cellStyle name="20% - Accent1 3 2 4 2 2" xfId="2264"/>
    <cellStyle name="20% - Accent1 3 2 4 3" xfId="2265"/>
    <cellStyle name="20% - Accent1 3 2 5" xfId="2266"/>
    <cellStyle name="20% - Accent1 3 2 5 2" xfId="2267"/>
    <cellStyle name="20% - Accent1 3 2 6" xfId="2268"/>
    <cellStyle name="20% - Accent1 3 2 7" xfId="2269"/>
    <cellStyle name="20% - Accent1 3 3" xfId="2270"/>
    <cellStyle name="20% - Accent1 3 3 2" xfId="2271"/>
    <cellStyle name="20% - Accent1 3 3 2 2" xfId="2272"/>
    <cellStyle name="20% - Accent1 3 3 2 2 2" xfId="2273"/>
    <cellStyle name="20% - Accent1 3 3 2 2 2 2" xfId="2274"/>
    <cellStyle name="20% - Accent1 3 3 2 2 3" xfId="2275"/>
    <cellStyle name="20% - Accent1 3 3 2 3" xfId="2276"/>
    <cellStyle name="20% - Accent1 3 3 2 3 2" xfId="2277"/>
    <cellStyle name="20% - Accent1 3 3 2 4" xfId="2278"/>
    <cellStyle name="20% - Accent1 3 3 3" xfId="2279"/>
    <cellStyle name="20% - Accent1 3 3 3 2" xfId="2280"/>
    <cellStyle name="20% - Accent1 3 3 3 2 2" xfId="2281"/>
    <cellStyle name="20% - Accent1 3 3 3 3" xfId="2282"/>
    <cellStyle name="20% - Accent1 3 3 4" xfId="2283"/>
    <cellStyle name="20% - Accent1 3 3 4 2" xfId="2284"/>
    <cellStyle name="20% - Accent1 3 3 5" xfId="2285"/>
    <cellStyle name="20% - Accent1 3 3 6" xfId="2286"/>
    <cellStyle name="20% - Accent1 3 4" xfId="2287"/>
    <cellStyle name="20% - Accent1 3 4 2" xfId="2288"/>
    <cellStyle name="20% - Accent1 3 4 2 2" xfId="2289"/>
    <cellStyle name="20% - Accent1 3 4 2 2 2" xfId="2290"/>
    <cellStyle name="20% - Accent1 3 4 2 3" xfId="2291"/>
    <cellStyle name="20% - Accent1 3 4 3" xfId="2292"/>
    <cellStyle name="20% - Accent1 3 4 3 2" xfId="2293"/>
    <cellStyle name="20% - Accent1 3 4 4" xfId="2294"/>
    <cellStyle name="20% - Accent1 3 4 5" xfId="2295"/>
    <cellStyle name="20% - Accent1 3 5" xfId="2296"/>
    <cellStyle name="20% - Accent1 3 5 2" xfId="2297"/>
    <cellStyle name="20% - Accent1 3 5 2 2" xfId="2298"/>
    <cellStyle name="20% - Accent1 3 5 3" xfId="2299"/>
    <cellStyle name="20% - Accent1 3 6" xfId="2300"/>
    <cellStyle name="20% - Accent1 3 6 2" xfId="2301"/>
    <cellStyle name="20% - Accent1 3 7" xfId="2302"/>
    <cellStyle name="20% - Accent1 3 8" xfId="2303"/>
    <cellStyle name="20% - Accent1 3 9" xfId="2304"/>
    <cellStyle name="20% - Accent1 30" xfId="116"/>
    <cellStyle name="20% - Accent1 31" xfId="117"/>
    <cellStyle name="20% - Accent1 32" xfId="118"/>
    <cellStyle name="20% - Accent1 33" xfId="119"/>
    <cellStyle name="20% - Accent1 34" xfId="120"/>
    <cellStyle name="20% - Accent1 35" xfId="121"/>
    <cellStyle name="20% - Accent1 4" xfId="122"/>
    <cellStyle name="20% - Accent1 4 2" xfId="2305"/>
    <cellStyle name="20% - Accent1 4 2 2" xfId="2306"/>
    <cellStyle name="20% - Accent1 4 2 2 2" xfId="2307"/>
    <cellStyle name="20% - Accent1 4 2 2 2 2" xfId="2308"/>
    <cellStyle name="20% - Accent1 4 2 2 2 2 2" xfId="2309"/>
    <cellStyle name="20% - Accent1 4 2 2 2 3" xfId="2310"/>
    <cellStyle name="20% - Accent1 4 2 2 3" xfId="2311"/>
    <cellStyle name="20% - Accent1 4 2 2 3 2" xfId="2312"/>
    <cellStyle name="20% - Accent1 4 2 2 4" xfId="2313"/>
    <cellStyle name="20% - Accent1 4 2 3" xfId="2314"/>
    <cellStyle name="20% - Accent1 4 2 3 2" xfId="2315"/>
    <cellStyle name="20% - Accent1 4 2 3 2 2" xfId="2316"/>
    <cellStyle name="20% - Accent1 4 2 3 3" xfId="2317"/>
    <cellStyle name="20% - Accent1 4 2 4" xfId="2318"/>
    <cellStyle name="20% - Accent1 4 2 4 2" xfId="2319"/>
    <cellStyle name="20% - Accent1 4 2 5" xfId="2320"/>
    <cellStyle name="20% - Accent1 4 2 6" xfId="2321"/>
    <cellStyle name="20% - Accent1 4 3" xfId="2322"/>
    <cellStyle name="20% - Accent1 4 3 2" xfId="2323"/>
    <cellStyle name="20% - Accent1 4 3 2 2" xfId="2324"/>
    <cellStyle name="20% - Accent1 4 3 2 2 2" xfId="2325"/>
    <cellStyle name="20% - Accent1 4 3 2 3" xfId="2326"/>
    <cellStyle name="20% - Accent1 4 3 3" xfId="2327"/>
    <cellStyle name="20% - Accent1 4 3 3 2" xfId="2328"/>
    <cellStyle name="20% - Accent1 4 3 4" xfId="2329"/>
    <cellStyle name="20% - Accent1 4 3 5" xfId="2330"/>
    <cellStyle name="20% - Accent1 4 4" xfId="2331"/>
    <cellStyle name="20% - Accent1 4 4 2" xfId="2332"/>
    <cellStyle name="20% - Accent1 4 4 2 2" xfId="2333"/>
    <cellStyle name="20% - Accent1 4 4 3" xfId="2334"/>
    <cellStyle name="20% - Accent1 4 5" xfId="2335"/>
    <cellStyle name="20% - Accent1 4 5 2" xfId="2336"/>
    <cellStyle name="20% - Accent1 4 6" xfId="2337"/>
    <cellStyle name="20% - Accent1 4 7" xfId="2338"/>
    <cellStyle name="20% - Accent1 5" xfId="123"/>
    <cellStyle name="20% - Accent1 5 2" xfId="2339"/>
    <cellStyle name="20% - Accent1 5 2 2" xfId="2340"/>
    <cellStyle name="20% - Accent1 5 2 2 2" xfId="2341"/>
    <cellStyle name="20% - Accent1 5 2 2 2 2" xfId="2342"/>
    <cellStyle name="20% - Accent1 5 2 2 3" xfId="2343"/>
    <cellStyle name="20% - Accent1 5 2 3" xfId="2344"/>
    <cellStyle name="20% - Accent1 5 2 3 2" xfId="2345"/>
    <cellStyle name="20% - Accent1 5 2 4" xfId="2346"/>
    <cellStyle name="20% - Accent1 5 2 5" xfId="2347"/>
    <cellStyle name="20% - Accent1 5 3" xfId="2348"/>
    <cellStyle name="20% - Accent1 5 3 2" xfId="2349"/>
    <cellStyle name="20% - Accent1 5 3 2 2" xfId="2350"/>
    <cellStyle name="20% - Accent1 5 3 3" xfId="2351"/>
    <cellStyle name="20% - Accent1 5 4" xfId="2352"/>
    <cellStyle name="20% - Accent1 5 4 2" xfId="2353"/>
    <cellStyle name="20% - Accent1 5 5" xfId="2354"/>
    <cellStyle name="20% - Accent1 5 6" xfId="2355"/>
    <cellStyle name="20% - Accent1 6" xfId="124"/>
    <cellStyle name="20% - Accent1 6 2" xfId="2356"/>
    <cellStyle name="20% - Accent1 6 2 2" xfId="2357"/>
    <cellStyle name="20% - Accent1 6 2 2 2" xfId="2358"/>
    <cellStyle name="20% - Accent1 6 2 3" xfId="2359"/>
    <cellStyle name="20% - Accent1 6 2 4" xfId="2360"/>
    <cellStyle name="20% - Accent1 6 2 5" xfId="2361"/>
    <cellStyle name="20% - Accent1 6 3" xfId="2362"/>
    <cellStyle name="20% - Accent1 6 3 2" xfId="2363"/>
    <cellStyle name="20% - Accent1 6 4" xfId="2364"/>
    <cellStyle name="20% - Accent1 6 5" xfId="2365"/>
    <cellStyle name="20% - Accent1 7" xfId="125"/>
    <cellStyle name="20% - Accent1 7 2" xfId="2366"/>
    <cellStyle name="20% - Accent1 7 2 2" xfId="2367"/>
    <cellStyle name="20% - Accent1 7 2 2 2" xfId="2368"/>
    <cellStyle name="20% - Accent1 7 2 3" xfId="2369"/>
    <cellStyle name="20% - Accent1 7 3" xfId="2370"/>
    <cellStyle name="20% - Accent1 7 3 2" xfId="2371"/>
    <cellStyle name="20% - Accent1 7 4" xfId="2372"/>
    <cellStyle name="20% - Accent1 7 5" xfId="2373"/>
    <cellStyle name="20% - Accent1 8" xfId="126"/>
    <cellStyle name="20% - Accent1 8 2" xfId="2374"/>
    <cellStyle name="20% - Accent1 8 2 2" xfId="2375"/>
    <cellStyle name="20% - Accent1 8 2 2 2" xfId="2376"/>
    <cellStyle name="20% - Accent1 8 2 3" xfId="2377"/>
    <cellStyle name="20% - Accent1 8 3" xfId="2378"/>
    <cellStyle name="20% - Accent1 8 3 2" xfId="2379"/>
    <cellStyle name="20% - Accent1 8 4" xfId="2380"/>
    <cellStyle name="20% - Accent1 8 5" xfId="2381"/>
    <cellStyle name="20% - Accent1 9" xfId="127"/>
    <cellStyle name="20% - Accent1 9 2" xfId="2382"/>
    <cellStyle name="20% - Accent1 9 2 2" xfId="2383"/>
    <cellStyle name="20% - Accent1 9 3" xfId="2384"/>
    <cellStyle name="20% - Accent1 9 4" xfId="2385"/>
    <cellStyle name="20% - Accent2 10" xfId="128"/>
    <cellStyle name="20% - Accent2 10 2" xfId="2386"/>
    <cellStyle name="20% - Accent2 10 2 2" xfId="2387"/>
    <cellStyle name="20% - Accent2 10 3" xfId="2388"/>
    <cellStyle name="20% - Accent2 10 4" xfId="2389"/>
    <cellStyle name="20% - Accent2 11" xfId="129"/>
    <cellStyle name="20% - Accent2 11 2" xfId="2390"/>
    <cellStyle name="20% - Accent2 11 2 2" xfId="2391"/>
    <cellStyle name="20% - Accent2 11 3" xfId="2392"/>
    <cellStyle name="20% - Accent2 11 4" xfId="2393"/>
    <cellStyle name="20% - Accent2 12" xfId="130"/>
    <cellStyle name="20% - Accent2 12 2" xfId="2394"/>
    <cellStyle name="20% - Accent2 12 3" xfId="2395"/>
    <cellStyle name="20% - Accent2 13" xfId="131"/>
    <cellStyle name="20% - Accent2 13 2" xfId="2396"/>
    <cellStyle name="20% - Accent2 14" xfId="132"/>
    <cellStyle name="20% - Accent2 15" xfId="133"/>
    <cellStyle name="20% - Accent2 15 2" xfId="134"/>
    <cellStyle name="20% - Accent2 15 3" xfId="135"/>
    <cellStyle name="20% - Accent2 15 4" xfId="136"/>
    <cellStyle name="20% - Accent2 15 5" xfId="137"/>
    <cellStyle name="20% - Accent2 16" xfId="138"/>
    <cellStyle name="20% - Accent2 16 2" xfId="139"/>
    <cellStyle name="20% - Accent2 16 3" xfId="140"/>
    <cellStyle name="20% - Accent2 16 4" xfId="141"/>
    <cellStyle name="20% - Accent2 16 5" xfId="142"/>
    <cellStyle name="20% - Accent2 17" xfId="143"/>
    <cellStyle name="20% - Accent2 17 2" xfId="144"/>
    <cellStyle name="20% - Accent2 17 3" xfId="145"/>
    <cellStyle name="20% - Accent2 17 4" xfId="146"/>
    <cellStyle name="20% - Accent2 17 5" xfId="147"/>
    <cellStyle name="20% - Accent2 18" xfId="148"/>
    <cellStyle name="20% - Accent2 19" xfId="149"/>
    <cellStyle name="20% - Accent2 2" xfId="150"/>
    <cellStyle name="20% - Accent2 2 2" xfId="151"/>
    <cellStyle name="20% - Accent2 2 2 2" xfId="152"/>
    <cellStyle name="20% - Accent2 2 2 2 2" xfId="153"/>
    <cellStyle name="20% - Accent2 2 2 2 2 2" xfId="2397"/>
    <cellStyle name="20% - Accent2 2 2 2 2 2 2" xfId="2398"/>
    <cellStyle name="20% - Accent2 2 2 2 2 2 2 2" xfId="2399"/>
    <cellStyle name="20% - Accent2 2 2 2 2 2 3" xfId="2400"/>
    <cellStyle name="20% - Accent2 2 2 2 2 3" xfId="2401"/>
    <cellStyle name="20% - Accent2 2 2 2 2 3 2" xfId="2402"/>
    <cellStyle name="20% - Accent2 2 2 2 2 4" xfId="2403"/>
    <cellStyle name="20% - Accent2 2 2 2 2 5" xfId="2404"/>
    <cellStyle name="20% - Accent2 2 2 2 3" xfId="154"/>
    <cellStyle name="20% - Accent2 2 2 2 3 2" xfId="2405"/>
    <cellStyle name="20% - Accent2 2 2 2 3 2 2" xfId="2406"/>
    <cellStyle name="20% - Accent2 2 2 2 3 3" xfId="2407"/>
    <cellStyle name="20% - Accent2 2 2 2 4" xfId="155"/>
    <cellStyle name="20% - Accent2 2 2 2 4 2" xfId="2408"/>
    <cellStyle name="20% - Accent2 2 2 2 5" xfId="156"/>
    <cellStyle name="20% - Accent2 2 2 2 6" xfId="2409"/>
    <cellStyle name="20% - Accent2 2 2 3" xfId="157"/>
    <cellStyle name="20% - Accent2 2 2 3 2" xfId="2410"/>
    <cellStyle name="20% - Accent2 2 2 3 2 2" xfId="2411"/>
    <cellStyle name="20% - Accent2 2 2 3 2 2 2" xfId="2412"/>
    <cellStyle name="20% - Accent2 2 2 3 2 3" xfId="2413"/>
    <cellStyle name="20% - Accent2 2 2 3 3" xfId="2414"/>
    <cellStyle name="20% - Accent2 2 2 3 3 2" xfId="2415"/>
    <cellStyle name="20% - Accent2 2 2 3 4" xfId="2416"/>
    <cellStyle name="20% - Accent2 2 2 3 5" xfId="2417"/>
    <cellStyle name="20% - Accent2 2 2 4" xfId="158"/>
    <cellStyle name="20% - Accent2 2 2 4 2" xfId="2418"/>
    <cellStyle name="20% - Accent2 2 2 4 2 2" xfId="2419"/>
    <cellStyle name="20% - Accent2 2 2 4 3" xfId="2420"/>
    <cellStyle name="20% - Accent2 2 2 5" xfId="159"/>
    <cellStyle name="20% - Accent2 2 2 5 2" xfId="2421"/>
    <cellStyle name="20% - Accent2 2 2 6" xfId="2422"/>
    <cellStyle name="20% - Accent2 2 2 7" xfId="2423"/>
    <cellStyle name="20% - Accent2 2 3" xfId="160"/>
    <cellStyle name="20% - Accent2 2 3 2" xfId="2424"/>
    <cellStyle name="20% - Accent2 2 3 2 2" xfId="2425"/>
    <cellStyle name="20% - Accent2 2 3 2 2 2" xfId="2426"/>
    <cellStyle name="20% - Accent2 2 3 2 2 2 2" xfId="2427"/>
    <cellStyle name="20% - Accent2 2 3 2 2 3" xfId="2428"/>
    <cellStyle name="20% - Accent2 2 3 2 3" xfId="2429"/>
    <cellStyle name="20% - Accent2 2 3 2 3 2" xfId="2430"/>
    <cellStyle name="20% - Accent2 2 3 2 4" xfId="2431"/>
    <cellStyle name="20% - Accent2 2 3 3" xfId="2432"/>
    <cellStyle name="20% - Accent2 2 3 3 2" xfId="2433"/>
    <cellStyle name="20% - Accent2 2 3 3 2 2" xfId="2434"/>
    <cellStyle name="20% - Accent2 2 3 3 3" xfId="2435"/>
    <cellStyle name="20% - Accent2 2 3 4" xfId="2436"/>
    <cellStyle name="20% - Accent2 2 3 4 2" xfId="2437"/>
    <cellStyle name="20% - Accent2 2 3 5" xfId="2438"/>
    <cellStyle name="20% - Accent2 2 3 6" xfId="2439"/>
    <cellStyle name="20% - Accent2 2 4" xfId="161"/>
    <cellStyle name="20% - Accent2 2 4 2" xfId="2440"/>
    <cellStyle name="20% - Accent2 2 4 2 2" xfId="2441"/>
    <cellStyle name="20% - Accent2 2 4 2 2 2" xfId="2442"/>
    <cellStyle name="20% - Accent2 2 4 2 3" xfId="2443"/>
    <cellStyle name="20% - Accent2 2 4 3" xfId="2444"/>
    <cellStyle name="20% - Accent2 2 4 3 2" xfId="2445"/>
    <cellStyle name="20% - Accent2 2 4 4" xfId="2446"/>
    <cellStyle name="20% - Accent2 2 4 5" xfId="2447"/>
    <cellStyle name="20% - Accent2 2 5" xfId="162"/>
    <cellStyle name="20% - Accent2 2 5 2" xfId="2448"/>
    <cellStyle name="20% - Accent2 2 5 2 2" xfId="2449"/>
    <cellStyle name="20% - Accent2 2 5 3" xfId="2450"/>
    <cellStyle name="20% - Accent2 2 5 4" xfId="2451"/>
    <cellStyle name="20% - Accent2 2 6" xfId="163"/>
    <cellStyle name="20% - Accent2 2 6 2" xfId="2452"/>
    <cellStyle name="20% - Accent2 2 6 3" xfId="2453"/>
    <cellStyle name="20% - Accent2 2 7" xfId="164"/>
    <cellStyle name="20% - Accent2 2 8" xfId="165"/>
    <cellStyle name="20% - Accent2 2 9" xfId="166"/>
    <cellStyle name="20% - Accent2 20" xfId="167"/>
    <cellStyle name="20% - Accent2 21" xfId="168"/>
    <cellStyle name="20% - Accent2 22" xfId="169"/>
    <cellStyle name="20% - Accent2 23" xfId="170"/>
    <cellStyle name="20% - Accent2 24" xfId="171"/>
    <cellStyle name="20% - Accent2 25" xfId="172"/>
    <cellStyle name="20% - Accent2 26" xfId="173"/>
    <cellStyle name="20% - Accent2 27" xfId="174"/>
    <cellStyle name="20% - Accent2 28" xfId="175"/>
    <cellStyle name="20% - Accent2 29" xfId="176"/>
    <cellStyle name="20% - Accent2 3" xfId="177"/>
    <cellStyle name="20% - Accent2 3 2" xfId="2454"/>
    <cellStyle name="20% - Accent2 3 2 2" xfId="2455"/>
    <cellStyle name="20% - Accent2 3 2 2 2" xfId="2456"/>
    <cellStyle name="20% - Accent2 3 2 2 2 2" xfId="2457"/>
    <cellStyle name="20% - Accent2 3 2 2 2 2 2" xfId="2458"/>
    <cellStyle name="20% - Accent2 3 2 2 2 2 2 2" xfId="2459"/>
    <cellStyle name="20% - Accent2 3 2 2 2 2 3" xfId="2460"/>
    <cellStyle name="20% - Accent2 3 2 2 2 3" xfId="2461"/>
    <cellStyle name="20% - Accent2 3 2 2 2 3 2" xfId="2462"/>
    <cellStyle name="20% - Accent2 3 2 2 2 4" xfId="2463"/>
    <cellStyle name="20% - Accent2 3 2 2 3" xfId="2464"/>
    <cellStyle name="20% - Accent2 3 2 2 3 2" xfId="2465"/>
    <cellStyle name="20% - Accent2 3 2 2 3 2 2" xfId="2466"/>
    <cellStyle name="20% - Accent2 3 2 2 3 3" xfId="2467"/>
    <cellStyle name="20% - Accent2 3 2 2 4" xfId="2468"/>
    <cellStyle name="20% - Accent2 3 2 2 4 2" xfId="2469"/>
    <cellStyle name="20% - Accent2 3 2 2 5" xfId="2470"/>
    <cellStyle name="20% - Accent2 3 2 2 6" xfId="2471"/>
    <cellStyle name="20% - Accent2 3 2 3" xfId="2472"/>
    <cellStyle name="20% - Accent2 3 2 3 2" xfId="2473"/>
    <cellStyle name="20% - Accent2 3 2 3 2 2" xfId="2474"/>
    <cellStyle name="20% - Accent2 3 2 3 2 2 2" xfId="2475"/>
    <cellStyle name="20% - Accent2 3 2 3 2 3" xfId="2476"/>
    <cellStyle name="20% - Accent2 3 2 3 3" xfId="2477"/>
    <cellStyle name="20% - Accent2 3 2 3 3 2" xfId="2478"/>
    <cellStyle name="20% - Accent2 3 2 3 4" xfId="2479"/>
    <cellStyle name="20% - Accent2 3 2 4" xfId="2480"/>
    <cellStyle name="20% - Accent2 3 2 4 2" xfId="2481"/>
    <cellStyle name="20% - Accent2 3 2 4 2 2" xfId="2482"/>
    <cellStyle name="20% - Accent2 3 2 4 3" xfId="2483"/>
    <cellStyle name="20% - Accent2 3 2 5" xfId="2484"/>
    <cellStyle name="20% - Accent2 3 2 5 2" xfId="2485"/>
    <cellStyle name="20% - Accent2 3 2 6" xfId="2486"/>
    <cellStyle name="20% - Accent2 3 2 7" xfId="2487"/>
    <cellStyle name="20% - Accent2 3 3" xfId="2488"/>
    <cellStyle name="20% - Accent2 3 3 2" xfId="2489"/>
    <cellStyle name="20% - Accent2 3 3 2 2" xfId="2490"/>
    <cellStyle name="20% - Accent2 3 3 2 2 2" xfId="2491"/>
    <cellStyle name="20% - Accent2 3 3 2 2 2 2" xfId="2492"/>
    <cellStyle name="20% - Accent2 3 3 2 2 3" xfId="2493"/>
    <cellStyle name="20% - Accent2 3 3 2 3" xfId="2494"/>
    <cellStyle name="20% - Accent2 3 3 2 3 2" xfId="2495"/>
    <cellStyle name="20% - Accent2 3 3 2 4" xfId="2496"/>
    <cellStyle name="20% - Accent2 3 3 3" xfId="2497"/>
    <cellStyle name="20% - Accent2 3 3 3 2" xfId="2498"/>
    <cellStyle name="20% - Accent2 3 3 3 2 2" xfId="2499"/>
    <cellStyle name="20% - Accent2 3 3 3 3" xfId="2500"/>
    <cellStyle name="20% - Accent2 3 3 4" xfId="2501"/>
    <cellStyle name="20% - Accent2 3 3 4 2" xfId="2502"/>
    <cellStyle name="20% - Accent2 3 3 5" xfId="2503"/>
    <cellStyle name="20% - Accent2 3 3 6" xfId="2504"/>
    <cellStyle name="20% - Accent2 3 4" xfId="2505"/>
    <cellStyle name="20% - Accent2 3 4 2" xfId="2506"/>
    <cellStyle name="20% - Accent2 3 4 2 2" xfId="2507"/>
    <cellStyle name="20% - Accent2 3 4 2 2 2" xfId="2508"/>
    <cellStyle name="20% - Accent2 3 4 2 3" xfId="2509"/>
    <cellStyle name="20% - Accent2 3 4 3" xfId="2510"/>
    <cellStyle name="20% - Accent2 3 4 3 2" xfId="2511"/>
    <cellStyle name="20% - Accent2 3 4 4" xfId="2512"/>
    <cellStyle name="20% - Accent2 3 4 5" xfId="2513"/>
    <cellStyle name="20% - Accent2 3 5" xfId="2514"/>
    <cellStyle name="20% - Accent2 3 5 2" xfId="2515"/>
    <cellStyle name="20% - Accent2 3 5 2 2" xfId="2516"/>
    <cellStyle name="20% - Accent2 3 5 3" xfId="2517"/>
    <cellStyle name="20% - Accent2 3 6" xfId="2518"/>
    <cellStyle name="20% - Accent2 3 6 2" xfId="2519"/>
    <cellStyle name="20% - Accent2 3 7" xfId="2520"/>
    <cellStyle name="20% - Accent2 3 8" xfId="2521"/>
    <cellStyle name="20% - Accent2 3 9" xfId="2522"/>
    <cellStyle name="20% - Accent2 30" xfId="178"/>
    <cellStyle name="20% - Accent2 31" xfId="179"/>
    <cellStyle name="20% - Accent2 32" xfId="180"/>
    <cellStyle name="20% - Accent2 33" xfId="181"/>
    <cellStyle name="20% - Accent2 34" xfId="182"/>
    <cellStyle name="20% - Accent2 35" xfId="183"/>
    <cellStyle name="20% - Accent2 4" xfId="184"/>
    <cellStyle name="20% - Accent2 4 2" xfId="2523"/>
    <cellStyle name="20% - Accent2 4 2 2" xfId="2524"/>
    <cellStyle name="20% - Accent2 4 2 2 2" xfId="2525"/>
    <cellStyle name="20% - Accent2 4 2 2 2 2" xfId="2526"/>
    <cellStyle name="20% - Accent2 4 2 2 2 2 2" xfId="2527"/>
    <cellStyle name="20% - Accent2 4 2 2 2 3" xfId="2528"/>
    <cellStyle name="20% - Accent2 4 2 2 3" xfId="2529"/>
    <cellStyle name="20% - Accent2 4 2 2 3 2" xfId="2530"/>
    <cellStyle name="20% - Accent2 4 2 2 4" xfId="2531"/>
    <cellStyle name="20% - Accent2 4 2 3" xfId="2532"/>
    <cellStyle name="20% - Accent2 4 2 3 2" xfId="2533"/>
    <cellStyle name="20% - Accent2 4 2 3 2 2" xfId="2534"/>
    <cellStyle name="20% - Accent2 4 2 3 3" xfId="2535"/>
    <cellStyle name="20% - Accent2 4 2 4" xfId="2536"/>
    <cellStyle name="20% - Accent2 4 2 4 2" xfId="2537"/>
    <cellStyle name="20% - Accent2 4 2 5" xfId="2538"/>
    <cellStyle name="20% - Accent2 4 2 6" xfId="2539"/>
    <cellStyle name="20% - Accent2 4 3" xfId="2540"/>
    <cellStyle name="20% - Accent2 4 3 2" xfId="2541"/>
    <cellStyle name="20% - Accent2 4 3 2 2" xfId="2542"/>
    <cellStyle name="20% - Accent2 4 3 2 2 2" xfId="2543"/>
    <cellStyle name="20% - Accent2 4 3 2 3" xfId="2544"/>
    <cellStyle name="20% - Accent2 4 3 3" xfId="2545"/>
    <cellStyle name="20% - Accent2 4 3 3 2" xfId="2546"/>
    <cellStyle name="20% - Accent2 4 3 4" xfId="2547"/>
    <cellStyle name="20% - Accent2 4 3 5" xfId="2548"/>
    <cellStyle name="20% - Accent2 4 4" xfId="2549"/>
    <cellStyle name="20% - Accent2 4 4 2" xfId="2550"/>
    <cellStyle name="20% - Accent2 4 4 2 2" xfId="2551"/>
    <cellStyle name="20% - Accent2 4 4 3" xfId="2552"/>
    <cellStyle name="20% - Accent2 4 5" xfId="2553"/>
    <cellStyle name="20% - Accent2 4 5 2" xfId="2554"/>
    <cellStyle name="20% - Accent2 4 6" xfId="2555"/>
    <cellStyle name="20% - Accent2 4 7" xfId="2556"/>
    <cellStyle name="20% - Accent2 5" xfId="185"/>
    <cellStyle name="20% - Accent2 5 2" xfId="2557"/>
    <cellStyle name="20% - Accent2 5 2 2" xfId="2558"/>
    <cellStyle name="20% - Accent2 5 2 2 2" xfId="2559"/>
    <cellStyle name="20% - Accent2 5 2 2 2 2" xfId="2560"/>
    <cellStyle name="20% - Accent2 5 2 2 3" xfId="2561"/>
    <cellStyle name="20% - Accent2 5 2 3" xfId="2562"/>
    <cellStyle name="20% - Accent2 5 2 3 2" xfId="2563"/>
    <cellStyle name="20% - Accent2 5 2 4" xfId="2564"/>
    <cellStyle name="20% - Accent2 5 2 5" xfId="2565"/>
    <cellStyle name="20% - Accent2 5 3" xfId="2566"/>
    <cellStyle name="20% - Accent2 5 3 2" xfId="2567"/>
    <cellStyle name="20% - Accent2 5 3 2 2" xfId="2568"/>
    <cellStyle name="20% - Accent2 5 3 3" xfId="2569"/>
    <cellStyle name="20% - Accent2 5 4" xfId="2570"/>
    <cellStyle name="20% - Accent2 5 4 2" xfId="2571"/>
    <cellStyle name="20% - Accent2 5 5" xfId="2572"/>
    <cellStyle name="20% - Accent2 5 6" xfId="2573"/>
    <cellStyle name="20% - Accent2 6" xfId="186"/>
    <cellStyle name="20% - Accent2 6 2" xfId="2574"/>
    <cellStyle name="20% - Accent2 6 2 2" xfId="2575"/>
    <cellStyle name="20% - Accent2 6 2 2 2" xfId="2576"/>
    <cellStyle name="20% - Accent2 6 2 3" xfId="2577"/>
    <cellStyle name="20% - Accent2 6 2 4" xfId="2578"/>
    <cellStyle name="20% - Accent2 6 2 5" xfId="2579"/>
    <cellStyle name="20% - Accent2 6 3" xfId="2580"/>
    <cellStyle name="20% - Accent2 6 3 2" xfId="2581"/>
    <cellStyle name="20% - Accent2 6 4" xfId="2582"/>
    <cellStyle name="20% - Accent2 6 5" xfId="2583"/>
    <cellStyle name="20% - Accent2 7" xfId="187"/>
    <cellStyle name="20% - Accent2 7 2" xfId="2584"/>
    <cellStyle name="20% - Accent2 7 2 2" xfId="2585"/>
    <cellStyle name="20% - Accent2 7 2 2 2" xfId="2586"/>
    <cellStyle name="20% - Accent2 7 2 3" xfId="2587"/>
    <cellStyle name="20% - Accent2 7 3" xfId="2588"/>
    <cellStyle name="20% - Accent2 7 3 2" xfId="2589"/>
    <cellStyle name="20% - Accent2 7 4" xfId="2590"/>
    <cellStyle name="20% - Accent2 7 5" xfId="2591"/>
    <cellStyle name="20% - Accent2 8" xfId="188"/>
    <cellStyle name="20% - Accent2 8 2" xfId="2592"/>
    <cellStyle name="20% - Accent2 8 2 2" xfId="2593"/>
    <cellStyle name="20% - Accent2 8 2 2 2" xfId="2594"/>
    <cellStyle name="20% - Accent2 8 2 3" xfId="2595"/>
    <cellStyle name="20% - Accent2 8 3" xfId="2596"/>
    <cellStyle name="20% - Accent2 8 3 2" xfId="2597"/>
    <cellStyle name="20% - Accent2 8 4" xfId="2598"/>
    <cellStyle name="20% - Accent2 8 5" xfId="2599"/>
    <cellStyle name="20% - Accent2 9" xfId="189"/>
    <cellStyle name="20% - Accent2 9 2" xfId="2600"/>
    <cellStyle name="20% - Accent2 9 2 2" xfId="2601"/>
    <cellStyle name="20% - Accent2 9 3" xfId="2602"/>
    <cellStyle name="20% - Accent2 9 4" xfId="2603"/>
    <cellStyle name="20% - Accent3 10" xfId="190"/>
    <cellStyle name="20% - Accent3 10 2" xfId="2604"/>
    <cellStyle name="20% - Accent3 10 2 2" xfId="2605"/>
    <cellStyle name="20% - Accent3 10 3" xfId="2606"/>
    <cellStyle name="20% - Accent3 10 4" xfId="2607"/>
    <cellStyle name="20% - Accent3 11" xfId="191"/>
    <cellStyle name="20% - Accent3 11 2" xfId="2608"/>
    <cellStyle name="20% - Accent3 11 2 2" xfId="2609"/>
    <cellStyle name="20% - Accent3 11 3" xfId="2610"/>
    <cellStyle name="20% - Accent3 11 4" xfId="2611"/>
    <cellStyle name="20% - Accent3 12" xfId="192"/>
    <cellStyle name="20% - Accent3 12 2" xfId="2612"/>
    <cellStyle name="20% - Accent3 12 3" xfId="2613"/>
    <cellStyle name="20% - Accent3 13" xfId="193"/>
    <cellStyle name="20% - Accent3 13 2" xfId="2614"/>
    <cellStyle name="20% - Accent3 14" xfId="194"/>
    <cellStyle name="20% - Accent3 15" xfId="195"/>
    <cellStyle name="20% - Accent3 15 2" xfId="196"/>
    <cellStyle name="20% - Accent3 15 3" xfId="197"/>
    <cellStyle name="20% - Accent3 15 4" xfId="198"/>
    <cellStyle name="20% - Accent3 15 5" xfId="199"/>
    <cellStyle name="20% - Accent3 16" xfId="200"/>
    <cellStyle name="20% - Accent3 16 2" xfId="201"/>
    <cellStyle name="20% - Accent3 16 3" xfId="202"/>
    <cellStyle name="20% - Accent3 16 4" xfId="203"/>
    <cellStyle name="20% - Accent3 16 5" xfId="204"/>
    <cellStyle name="20% - Accent3 17" xfId="205"/>
    <cellStyle name="20% - Accent3 17 2" xfId="206"/>
    <cellStyle name="20% - Accent3 17 3" xfId="207"/>
    <cellStyle name="20% - Accent3 17 4" xfId="208"/>
    <cellStyle name="20% - Accent3 17 5" xfId="209"/>
    <cellStyle name="20% - Accent3 18" xfId="210"/>
    <cellStyle name="20% - Accent3 19" xfId="211"/>
    <cellStyle name="20% - Accent3 2" xfId="212"/>
    <cellStyle name="20% - Accent3 2 2" xfId="213"/>
    <cellStyle name="20% - Accent3 2 2 2" xfId="214"/>
    <cellStyle name="20% - Accent3 2 2 2 2" xfId="215"/>
    <cellStyle name="20% - Accent3 2 2 2 2 2" xfId="2615"/>
    <cellStyle name="20% - Accent3 2 2 2 2 2 2" xfId="2616"/>
    <cellStyle name="20% - Accent3 2 2 2 2 2 2 2" xfId="2617"/>
    <cellStyle name="20% - Accent3 2 2 2 2 2 3" xfId="2618"/>
    <cellStyle name="20% - Accent3 2 2 2 2 3" xfId="2619"/>
    <cellStyle name="20% - Accent3 2 2 2 2 3 2" xfId="2620"/>
    <cellStyle name="20% - Accent3 2 2 2 2 4" xfId="2621"/>
    <cellStyle name="20% - Accent3 2 2 2 2 5" xfId="2622"/>
    <cellStyle name="20% - Accent3 2 2 2 3" xfId="216"/>
    <cellStyle name="20% - Accent3 2 2 2 3 2" xfId="2623"/>
    <cellStyle name="20% - Accent3 2 2 2 3 2 2" xfId="2624"/>
    <cellStyle name="20% - Accent3 2 2 2 3 3" xfId="2625"/>
    <cellStyle name="20% - Accent3 2 2 2 4" xfId="217"/>
    <cellStyle name="20% - Accent3 2 2 2 4 2" xfId="2626"/>
    <cellStyle name="20% - Accent3 2 2 2 5" xfId="218"/>
    <cellStyle name="20% - Accent3 2 2 2 6" xfId="2627"/>
    <cellStyle name="20% - Accent3 2 2 3" xfId="219"/>
    <cellStyle name="20% - Accent3 2 2 3 2" xfId="2628"/>
    <cellStyle name="20% - Accent3 2 2 3 2 2" xfId="2629"/>
    <cellStyle name="20% - Accent3 2 2 3 2 2 2" xfId="2630"/>
    <cellStyle name="20% - Accent3 2 2 3 2 3" xfId="2631"/>
    <cellStyle name="20% - Accent3 2 2 3 3" xfId="2632"/>
    <cellStyle name="20% - Accent3 2 2 3 3 2" xfId="2633"/>
    <cellStyle name="20% - Accent3 2 2 3 4" xfId="2634"/>
    <cellStyle name="20% - Accent3 2 2 3 5" xfId="2635"/>
    <cellStyle name="20% - Accent3 2 2 4" xfId="220"/>
    <cellStyle name="20% - Accent3 2 2 4 2" xfId="2636"/>
    <cellStyle name="20% - Accent3 2 2 4 2 2" xfId="2637"/>
    <cellStyle name="20% - Accent3 2 2 4 3" xfId="2638"/>
    <cellStyle name="20% - Accent3 2 2 5" xfId="221"/>
    <cellStyle name="20% - Accent3 2 2 5 2" xfId="2639"/>
    <cellStyle name="20% - Accent3 2 2 6" xfId="2640"/>
    <cellStyle name="20% - Accent3 2 2 7" xfId="2641"/>
    <cellStyle name="20% - Accent3 2 3" xfId="222"/>
    <cellStyle name="20% - Accent3 2 3 2" xfId="2642"/>
    <cellStyle name="20% - Accent3 2 3 2 2" xfId="2643"/>
    <cellStyle name="20% - Accent3 2 3 2 2 2" xfId="2644"/>
    <cellStyle name="20% - Accent3 2 3 2 2 2 2" xfId="2645"/>
    <cellStyle name="20% - Accent3 2 3 2 2 3" xfId="2646"/>
    <cellStyle name="20% - Accent3 2 3 2 3" xfId="2647"/>
    <cellStyle name="20% - Accent3 2 3 2 3 2" xfId="2648"/>
    <cellStyle name="20% - Accent3 2 3 2 4" xfId="2649"/>
    <cellStyle name="20% - Accent3 2 3 3" xfId="2650"/>
    <cellStyle name="20% - Accent3 2 3 3 2" xfId="2651"/>
    <cellStyle name="20% - Accent3 2 3 3 2 2" xfId="2652"/>
    <cellStyle name="20% - Accent3 2 3 3 3" xfId="2653"/>
    <cellStyle name="20% - Accent3 2 3 4" xfId="2654"/>
    <cellStyle name="20% - Accent3 2 3 4 2" xfId="2655"/>
    <cellStyle name="20% - Accent3 2 3 5" xfId="2656"/>
    <cellStyle name="20% - Accent3 2 3 6" xfId="2657"/>
    <cellStyle name="20% - Accent3 2 4" xfId="223"/>
    <cellStyle name="20% - Accent3 2 4 2" xfId="2658"/>
    <cellStyle name="20% - Accent3 2 4 2 2" xfId="2659"/>
    <cellStyle name="20% - Accent3 2 4 2 2 2" xfId="2660"/>
    <cellStyle name="20% - Accent3 2 4 2 3" xfId="2661"/>
    <cellStyle name="20% - Accent3 2 4 3" xfId="2662"/>
    <cellStyle name="20% - Accent3 2 4 3 2" xfId="2663"/>
    <cellStyle name="20% - Accent3 2 4 4" xfId="2664"/>
    <cellStyle name="20% - Accent3 2 4 5" xfId="2665"/>
    <cellStyle name="20% - Accent3 2 5" xfId="224"/>
    <cellStyle name="20% - Accent3 2 5 2" xfId="2666"/>
    <cellStyle name="20% - Accent3 2 5 2 2" xfId="2667"/>
    <cellStyle name="20% - Accent3 2 5 3" xfId="2668"/>
    <cellStyle name="20% - Accent3 2 5 4" xfId="2669"/>
    <cellStyle name="20% - Accent3 2 6" xfId="225"/>
    <cellStyle name="20% - Accent3 2 6 2" xfId="2670"/>
    <cellStyle name="20% - Accent3 2 6 3" xfId="2671"/>
    <cellStyle name="20% - Accent3 2 7" xfId="226"/>
    <cellStyle name="20% - Accent3 2 8" xfId="227"/>
    <cellStyle name="20% - Accent3 2 9" xfId="228"/>
    <cellStyle name="20% - Accent3 20" xfId="229"/>
    <cellStyle name="20% - Accent3 21" xfId="230"/>
    <cellStyle name="20% - Accent3 22" xfId="231"/>
    <cellStyle name="20% - Accent3 23" xfId="232"/>
    <cellStyle name="20% - Accent3 24" xfId="233"/>
    <cellStyle name="20% - Accent3 25" xfId="234"/>
    <cellStyle name="20% - Accent3 26" xfId="235"/>
    <cellStyle name="20% - Accent3 27" xfId="236"/>
    <cellStyle name="20% - Accent3 28" xfId="237"/>
    <cellStyle name="20% - Accent3 29" xfId="238"/>
    <cellStyle name="20% - Accent3 3" xfId="239"/>
    <cellStyle name="20% - Accent3 3 2" xfId="2672"/>
    <cellStyle name="20% - Accent3 3 2 2" xfId="2673"/>
    <cellStyle name="20% - Accent3 3 2 2 2" xfId="2674"/>
    <cellStyle name="20% - Accent3 3 2 2 2 2" xfId="2675"/>
    <cellStyle name="20% - Accent3 3 2 2 2 2 2" xfId="2676"/>
    <cellStyle name="20% - Accent3 3 2 2 2 2 2 2" xfId="2677"/>
    <cellStyle name="20% - Accent3 3 2 2 2 2 3" xfId="2678"/>
    <cellStyle name="20% - Accent3 3 2 2 2 3" xfId="2679"/>
    <cellStyle name="20% - Accent3 3 2 2 2 3 2" xfId="2680"/>
    <cellStyle name="20% - Accent3 3 2 2 2 4" xfId="2681"/>
    <cellStyle name="20% - Accent3 3 2 2 3" xfId="2682"/>
    <cellStyle name="20% - Accent3 3 2 2 3 2" xfId="2683"/>
    <cellStyle name="20% - Accent3 3 2 2 3 2 2" xfId="2684"/>
    <cellStyle name="20% - Accent3 3 2 2 3 3" xfId="2685"/>
    <cellStyle name="20% - Accent3 3 2 2 4" xfId="2686"/>
    <cellStyle name="20% - Accent3 3 2 2 4 2" xfId="2687"/>
    <cellStyle name="20% - Accent3 3 2 2 5" xfId="2688"/>
    <cellStyle name="20% - Accent3 3 2 2 6" xfId="2689"/>
    <cellStyle name="20% - Accent3 3 2 3" xfId="2690"/>
    <cellStyle name="20% - Accent3 3 2 3 2" xfId="2691"/>
    <cellStyle name="20% - Accent3 3 2 3 2 2" xfId="2692"/>
    <cellStyle name="20% - Accent3 3 2 3 2 2 2" xfId="2693"/>
    <cellStyle name="20% - Accent3 3 2 3 2 3" xfId="2694"/>
    <cellStyle name="20% - Accent3 3 2 3 3" xfId="2695"/>
    <cellStyle name="20% - Accent3 3 2 3 3 2" xfId="2696"/>
    <cellStyle name="20% - Accent3 3 2 3 4" xfId="2697"/>
    <cellStyle name="20% - Accent3 3 2 4" xfId="2698"/>
    <cellStyle name="20% - Accent3 3 2 4 2" xfId="2699"/>
    <cellStyle name="20% - Accent3 3 2 4 2 2" xfId="2700"/>
    <cellStyle name="20% - Accent3 3 2 4 3" xfId="2701"/>
    <cellStyle name="20% - Accent3 3 2 5" xfId="2702"/>
    <cellStyle name="20% - Accent3 3 2 5 2" xfId="2703"/>
    <cellStyle name="20% - Accent3 3 2 6" xfId="2704"/>
    <cellStyle name="20% - Accent3 3 2 7" xfId="2705"/>
    <cellStyle name="20% - Accent3 3 3" xfId="2706"/>
    <cellStyle name="20% - Accent3 3 3 2" xfId="2707"/>
    <cellStyle name="20% - Accent3 3 3 2 2" xfId="2708"/>
    <cellStyle name="20% - Accent3 3 3 2 2 2" xfId="2709"/>
    <cellStyle name="20% - Accent3 3 3 2 2 2 2" xfId="2710"/>
    <cellStyle name="20% - Accent3 3 3 2 2 3" xfId="2711"/>
    <cellStyle name="20% - Accent3 3 3 2 3" xfId="2712"/>
    <cellStyle name="20% - Accent3 3 3 2 3 2" xfId="2713"/>
    <cellStyle name="20% - Accent3 3 3 2 4" xfId="2714"/>
    <cellStyle name="20% - Accent3 3 3 3" xfId="2715"/>
    <cellStyle name="20% - Accent3 3 3 3 2" xfId="2716"/>
    <cellStyle name="20% - Accent3 3 3 3 2 2" xfId="2717"/>
    <cellStyle name="20% - Accent3 3 3 3 3" xfId="2718"/>
    <cellStyle name="20% - Accent3 3 3 4" xfId="2719"/>
    <cellStyle name="20% - Accent3 3 3 4 2" xfId="2720"/>
    <cellStyle name="20% - Accent3 3 3 5" xfId="2721"/>
    <cellStyle name="20% - Accent3 3 3 6" xfId="2722"/>
    <cellStyle name="20% - Accent3 3 4" xfId="2723"/>
    <cellStyle name="20% - Accent3 3 4 2" xfId="2724"/>
    <cellStyle name="20% - Accent3 3 4 2 2" xfId="2725"/>
    <cellStyle name="20% - Accent3 3 4 2 2 2" xfId="2726"/>
    <cellStyle name="20% - Accent3 3 4 2 3" xfId="2727"/>
    <cellStyle name="20% - Accent3 3 4 3" xfId="2728"/>
    <cellStyle name="20% - Accent3 3 4 3 2" xfId="2729"/>
    <cellStyle name="20% - Accent3 3 4 4" xfId="2730"/>
    <cellStyle name="20% - Accent3 3 4 5" xfId="2731"/>
    <cellStyle name="20% - Accent3 3 5" xfId="2732"/>
    <cellStyle name="20% - Accent3 3 5 2" xfId="2733"/>
    <cellStyle name="20% - Accent3 3 5 2 2" xfId="2734"/>
    <cellStyle name="20% - Accent3 3 5 3" xfId="2735"/>
    <cellStyle name="20% - Accent3 3 6" xfId="2736"/>
    <cellStyle name="20% - Accent3 3 6 2" xfId="2737"/>
    <cellStyle name="20% - Accent3 3 7" xfId="2738"/>
    <cellStyle name="20% - Accent3 3 8" xfId="2739"/>
    <cellStyle name="20% - Accent3 3 9" xfId="2740"/>
    <cellStyle name="20% - Accent3 30" xfId="240"/>
    <cellStyle name="20% - Accent3 31" xfId="241"/>
    <cellStyle name="20% - Accent3 32" xfId="242"/>
    <cellStyle name="20% - Accent3 33" xfId="243"/>
    <cellStyle name="20% - Accent3 34" xfId="244"/>
    <cellStyle name="20% - Accent3 35" xfId="245"/>
    <cellStyle name="20% - Accent3 4" xfId="246"/>
    <cellStyle name="20% - Accent3 4 2" xfId="2741"/>
    <cellStyle name="20% - Accent3 4 2 2" xfId="2742"/>
    <cellStyle name="20% - Accent3 4 2 2 2" xfId="2743"/>
    <cellStyle name="20% - Accent3 4 2 2 2 2" xfId="2744"/>
    <cellStyle name="20% - Accent3 4 2 2 2 2 2" xfId="2745"/>
    <cellStyle name="20% - Accent3 4 2 2 2 3" xfId="2746"/>
    <cellStyle name="20% - Accent3 4 2 2 3" xfId="2747"/>
    <cellStyle name="20% - Accent3 4 2 2 3 2" xfId="2748"/>
    <cellStyle name="20% - Accent3 4 2 2 4" xfId="2749"/>
    <cellStyle name="20% - Accent3 4 2 3" xfId="2750"/>
    <cellStyle name="20% - Accent3 4 2 3 2" xfId="2751"/>
    <cellStyle name="20% - Accent3 4 2 3 2 2" xfId="2752"/>
    <cellStyle name="20% - Accent3 4 2 3 3" xfId="2753"/>
    <cellStyle name="20% - Accent3 4 2 4" xfId="2754"/>
    <cellStyle name="20% - Accent3 4 2 4 2" xfId="2755"/>
    <cellStyle name="20% - Accent3 4 2 5" xfId="2756"/>
    <cellStyle name="20% - Accent3 4 2 6" xfId="2757"/>
    <cellStyle name="20% - Accent3 4 3" xfId="2758"/>
    <cellStyle name="20% - Accent3 4 3 2" xfId="2759"/>
    <cellStyle name="20% - Accent3 4 3 2 2" xfId="2760"/>
    <cellStyle name="20% - Accent3 4 3 2 2 2" xfId="2761"/>
    <cellStyle name="20% - Accent3 4 3 2 3" xfId="2762"/>
    <cellStyle name="20% - Accent3 4 3 3" xfId="2763"/>
    <cellStyle name="20% - Accent3 4 3 3 2" xfId="2764"/>
    <cellStyle name="20% - Accent3 4 3 4" xfId="2765"/>
    <cellStyle name="20% - Accent3 4 3 5" xfId="2766"/>
    <cellStyle name="20% - Accent3 4 4" xfId="2767"/>
    <cellStyle name="20% - Accent3 4 4 2" xfId="2768"/>
    <cellStyle name="20% - Accent3 4 4 2 2" xfId="2769"/>
    <cellStyle name="20% - Accent3 4 4 3" xfId="2770"/>
    <cellStyle name="20% - Accent3 4 5" xfId="2771"/>
    <cellStyle name="20% - Accent3 4 5 2" xfId="2772"/>
    <cellStyle name="20% - Accent3 4 6" xfId="2773"/>
    <cellStyle name="20% - Accent3 4 7" xfId="2774"/>
    <cellStyle name="20% - Accent3 5" xfId="247"/>
    <cellStyle name="20% - Accent3 5 2" xfId="2775"/>
    <cellStyle name="20% - Accent3 5 2 2" xfId="2776"/>
    <cellStyle name="20% - Accent3 5 2 2 2" xfId="2777"/>
    <cellStyle name="20% - Accent3 5 2 2 2 2" xfId="2778"/>
    <cellStyle name="20% - Accent3 5 2 2 3" xfId="2779"/>
    <cellStyle name="20% - Accent3 5 2 3" xfId="2780"/>
    <cellStyle name="20% - Accent3 5 2 3 2" xfId="2781"/>
    <cellStyle name="20% - Accent3 5 2 4" xfId="2782"/>
    <cellStyle name="20% - Accent3 5 2 5" xfId="2783"/>
    <cellStyle name="20% - Accent3 5 3" xfId="2784"/>
    <cellStyle name="20% - Accent3 5 3 2" xfId="2785"/>
    <cellStyle name="20% - Accent3 5 3 2 2" xfId="2786"/>
    <cellStyle name="20% - Accent3 5 3 3" xfId="2787"/>
    <cellStyle name="20% - Accent3 5 4" xfId="2788"/>
    <cellStyle name="20% - Accent3 5 4 2" xfId="2789"/>
    <cellStyle name="20% - Accent3 5 5" xfId="2790"/>
    <cellStyle name="20% - Accent3 5 6" xfId="2791"/>
    <cellStyle name="20% - Accent3 6" xfId="248"/>
    <cellStyle name="20% - Accent3 6 2" xfId="2792"/>
    <cellStyle name="20% - Accent3 6 2 2" xfId="2793"/>
    <cellStyle name="20% - Accent3 6 2 2 2" xfId="2794"/>
    <cellStyle name="20% - Accent3 6 2 3" xfId="2795"/>
    <cellStyle name="20% - Accent3 6 2 4" xfId="2796"/>
    <cellStyle name="20% - Accent3 6 2 5" xfId="2797"/>
    <cellStyle name="20% - Accent3 6 3" xfId="2798"/>
    <cellStyle name="20% - Accent3 6 3 2" xfId="2799"/>
    <cellStyle name="20% - Accent3 6 4" xfId="2800"/>
    <cellStyle name="20% - Accent3 6 5" xfId="2801"/>
    <cellStyle name="20% - Accent3 7" xfId="249"/>
    <cellStyle name="20% - Accent3 7 2" xfId="2802"/>
    <cellStyle name="20% - Accent3 7 2 2" xfId="2803"/>
    <cellStyle name="20% - Accent3 7 2 2 2" xfId="2804"/>
    <cellStyle name="20% - Accent3 7 2 3" xfId="2805"/>
    <cellStyle name="20% - Accent3 7 3" xfId="2806"/>
    <cellStyle name="20% - Accent3 7 3 2" xfId="2807"/>
    <cellStyle name="20% - Accent3 7 4" xfId="2808"/>
    <cellStyle name="20% - Accent3 7 5" xfId="2809"/>
    <cellStyle name="20% - Accent3 8" xfId="250"/>
    <cellStyle name="20% - Accent3 8 2" xfId="2810"/>
    <cellStyle name="20% - Accent3 8 2 2" xfId="2811"/>
    <cellStyle name="20% - Accent3 8 2 2 2" xfId="2812"/>
    <cellStyle name="20% - Accent3 8 2 3" xfId="2813"/>
    <cellStyle name="20% - Accent3 8 3" xfId="2814"/>
    <cellStyle name="20% - Accent3 8 3 2" xfId="2815"/>
    <cellStyle name="20% - Accent3 8 4" xfId="2816"/>
    <cellStyle name="20% - Accent3 8 5" xfId="2817"/>
    <cellStyle name="20% - Accent3 9" xfId="251"/>
    <cellStyle name="20% - Accent3 9 2" xfId="2818"/>
    <cellStyle name="20% - Accent3 9 2 2" xfId="2819"/>
    <cellStyle name="20% - Accent3 9 3" xfId="2820"/>
    <cellStyle name="20% - Accent3 9 4" xfId="2821"/>
    <cellStyle name="20% - Accent4 10" xfId="252"/>
    <cellStyle name="20% - Accent4 10 2" xfId="2822"/>
    <cellStyle name="20% - Accent4 10 2 2" xfId="2823"/>
    <cellStyle name="20% - Accent4 10 3" xfId="2824"/>
    <cellStyle name="20% - Accent4 10 4" xfId="2825"/>
    <cellStyle name="20% - Accent4 11" xfId="253"/>
    <cellStyle name="20% - Accent4 11 2" xfId="2826"/>
    <cellStyle name="20% - Accent4 11 2 2" xfId="2827"/>
    <cellStyle name="20% - Accent4 11 3" xfId="2828"/>
    <cellStyle name="20% - Accent4 11 4" xfId="2829"/>
    <cellStyle name="20% - Accent4 12" xfId="254"/>
    <cellStyle name="20% - Accent4 12 2" xfId="2830"/>
    <cellStyle name="20% - Accent4 12 2 2" xfId="2831"/>
    <cellStyle name="20% - Accent4 12 3" xfId="2832"/>
    <cellStyle name="20% - Accent4 12 4" xfId="2833"/>
    <cellStyle name="20% - Accent4 13" xfId="255"/>
    <cellStyle name="20% - Accent4 13 2" xfId="2834"/>
    <cellStyle name="20% - Accent4 13 3" xfId="2835"/>
    <cellStyle name="20% - Accent4 14" xfId="256"/>
    <cellStyle name="20% - Accent4 14 2" xfId="2836"/>
    <cellStyle name="20% - Accent4 15" xfId="257"/>
    <cellStyle name="20% - Accent4 15 2" xfId="258"/>
    <cellStyle name="20% - Accent4 15 3" xfId="259"/>
    <cellStyle name="20% - Accent4 15 4" xfId="260"/>
    <cellStyle name="20% - Accent4 15 5" xfId="261"/>
    <cellStyle name="20% - Accent4 16" xfId="262"/>
    <cellStyle name="20% - Accent4 16 2" xfId="263"/>
    <cellStyle name="20% - Accent4 16 3" xfId="264"/>
    <cellStyle name="20% - Accent4 16 4" xfId="265"/>
    <cellStyle name="20% - Accent4 16 5" xfId="266"/>
    <cellStyle name="20% - Accent4 17" xfId="267"/>
    <cellStyle name="20% - Accent4 17 2" xfId="268"/>
    <cellStyle name="20% - Accent4 17 3" xfId="269"/>
    <cellStyle name="20% - Accent4 17 4" xfId="270"/>
    <cellStyle name="20% - Accent4 17 5" xfId="271"/>
    <cellStyle name="20% - Accent4 18" xfId="272"/>
    <cellStyle name="20% - Accent4 19" xfId="273"/>
    <cellStyle name="20% - Accent4 2" xfId="274"/>
    <cellStyle name="20% - Accent4 2 10" xfId="2837"/>
    <cellStyle name="20% - Accent4 2 11" xfId="2838"/>
    <cellStyle name="20% - Accent4 2 12" xfId="2839"/>
    <cellStyle name="20% - Accent4 2 13" xfId="2840"/>
    <cellStyle name="20% - Accent4 2 2" xfId="275"/>
    <cellStyle name="20% - Accent4 2 2 10" xfId="2841"/>
    <cellStyle name="20% - Accent4 2 2 2" xfId="276"/>
    <cellStyle name="20% - Accent4 2 2 2 2" xfId="277"/>
    <cellStyle name="20% - Accent4 2 2 2 2 2" xfId="2842"/>
    <cellStyle name="20% - Accent4 2 2 2 2 2 2" xfId="2843"/>
    <cellStyle name="20% - Accent4 2 2 2 2 2 2 2" xfId="2844"/>
    <cellStyle name="20% - Accent4 2 2 2 2 2 3" xfId="2845"/>
    <cellStyle name="20% - Accent4 2 2 2 2 3" xfId="2846"/>
    <cellStyle name="20% - Accent4 2 2 2 2 3 2" xfId="2847"/>
    <cellStyle name="20% - Accent4 2 2 2 2 4" xfId="2848"/>
    <cellStyle name="20% - Accent4 2 2 2 2 5" xfId="2849"/>
    <cellStyle name="20% - Accent4 2 2 2 2 6" xfId="2850"/>
    <cellStyle name="20% - Accent4 2 2 2 3" xfId="278"/>
    <cellStyle name="20% - Accent4 2 2 2 3 2" xfId="2851"/>
    <cellStyle name="20% - Accent4 2 2 2 3 2 2" xfId="2852"/>
    <cellStyle name="20% - Accent4 2 2 2 3 3" xfId="2853"/>
    <cellStyle name="20% - Accent4 2 2 2 4" xfId="279"/>
    <cellStyle name="20% - Accent4 2 2 2 4 2" xfId="2854"/>
    <cellStyle name="20% - Accent4 2 2 2 5" xfId="280"/>
    <cellStyle name="20% - Accent4 2 2 2 6" xfId="2855"/>
    <cellStyle name="20% - Accent4 2 2 2 7" xfId="2856"/>
    <cellStyle name="20% - Accent4 2 2 3" xfId="281"/>
    <cellStyle name="20% - Accent4 2 2 3 2" xfId="2857"/>
    <cellStyle name="20% - Accent4 2 2 3 2 2" xfId="2858"/>
    <cellStyle name="20% - Accent4 2 2 3 2 2 2" xfId="2859"/>
    <cellStyle name="20% - Accent4 2 2 3 2 3" xfId="2860"/>
    <cellStyle name="20% - Accent4 2 2 3 3" xfId="2861"/>
    <cellStyle name="20% - Accent4 2 2 3 3 2" xfId="2862"/>
    <cellStyle name="20% - Accent4 2 2 3 4" xfId="2863"/>
    <cellStyle name="20% - Accent4 2 2 3 5" xfId="2864"/>
    <cellStyle name="20% - Accent4 2 2 3 6" xfId="2865"/>
    <cellStyle name="20% - Accent4 2 2 4" xfId="282"/>
    <cellStyle name="20% - Accent4 2 2 4 2" xfId="2866"/>
    <cellStyle name="20% - Accent4 2 2 4 2 2" xfId="2867"/>
    <cellStyle name="20% - Accent4 2 2 4 3" xfId="2868"/>
    <cellStyle name="20% - Accent4 2 2 4 4" xfId="2869"/>
    <cellStyle name="20% - Accent4 2 2 5" xfId="283"/>
    <cellStyle name="20% - Accent4 2 2 5 2" xfId="2870"/>
    <cellStyle name="20% - Accent4 2 2 5 3" xfId="2871"/>
    <cellStyle name="20% - Accent4 2 2 6" xfId="2872"/>
    <cellStyle name="20% - Accent4 2 2 6 2" xfId="2873"/>
    <cellStyle name="20% - Accent4 2 2 7" xfId="2874"/>
    <cellStyle name="20% - Accent4 2 2 8" xfId="2875"/>
    <cellStyle name="20% - Accent4 2 2 9" xfId="2876"/>
    <cellStyle name="20% - Accent4 2 3" xfId="284"/>
    <cellStyle name="20% - Accent4 2 3 2" xfId="2877"/>
    <cellStyle name="20% - Accent4 2 3 2 2" xfId="2878"/>
    <cellStyle name="20% - Accent4 2 3 2 2 2" xfId="2879"/>
    <cellStyle name="20% - Accent4 2 3 2 2 2 2" xfId="2880"/>
    <cellStyle name="20% - Accent4 2 3 2 2 3" xfId="2881"/>
    <cellStyle name="20% - Accent4 2 3 2 2 4" xfId="2882"/>
    <cellStyle name="20% - Accent4 2 3 2 3" xfId="2883"/>
    <cellStyle name="20% - Accent4 2 3 2 3 2" xfId="2884"/>
    <cellStyle name="20% - Accent4 2 3 2 4" xfId="2885"/>
    <cellStyle name="20% - Accent4 2 3 2 5" xfId="2886"/>
    <cellStyle name="20% - Accent4 2 3 3" xfId="2887"/>
    <cellStyle name="20% - Accent4 2 3 3 2" xfId="2888"/>
    <cellStyle name="20% - Accent4 2 3 3 2 2" xfId="2889"/>
    <cellStyle name="20% - Accent4 2 3 3 3" xfId="2890"/>
    <cellStyle name="20% - Accent4 2 3 3 4" xfId="2891"/>
    <cellStyle name="20% - Accent4 2 3 4" xfId="2892"/>
    <cellStyle name="20% - Accent4 2 3 4 2" xfId="2893"/>
    <cellStyle name="20% - Accent4 2 3 5" xfId="2894"/>
    <cellStyle name="20% - Accent4 2 3 6" xfId="2895"/>
    <cellStyle name="20% - Accent4 2 3 7" xfId="2896"/>
    <cellStyle name="20% - Accent4 2 4" xfId="285"/>
    <cellStyle name="20% - Accent4 2 4 2" xfId="2897"/>
    <cellStyle name="20% - Accent4 2 4 2 2" xfId="2898"/>
    <cellStyle name="20% - Accent4 2 4 2 2 2" xfId="2899"/>
    <cellStyle name="20% - Accent4 2 4 2 2 2 2" xfId="2900"/>
    <cellStyle name="20% - Accent4 2 4 2 2 3" xfId="2901"/>
    <cellStyle name="20% - Accent4 2 4 2 2 4" xfId="2902"/>
    <cellStyle name="20% - Accent4 2 4 2 3" xfId="2903"/>
    <cellStyle name="20% - Accent4 2 4 2 3 2" xfId="2904"/>
    <cellStyle name="20% - Accent4 2 4 2 4" xfId="2905"/>
    <cellStyle name="20% - Accent4 2 4 2 5" xfId="2906"/>
    <cellStyle name="20% - Accent4 2 4 3" xfId="2907"/>
    <cellStyle name="20% - Accent4 2 4 3 2" xfId="2908"/>
    <cellStyle name="20% - Accent4 2 4 3 2 2" xfId="2909"/>
    <cellStyle name="20% - Accent4 2 4 3 3" xfId="2910"/>
    <cellStyle name="20% - Accent4 2 4 3 4" xfId="2911"/>
    <cellStyle name="20% - Accent4 2 4 4" xfId="2912"/>
    <cellStyle name="20% - Accent4 2 4 4 2" xfId="2913"/>
    <cellStyle name="20% - Accent4 2 4 5" xfId="2914"/>
    <cellStyle name="20% - Accent4 2 4 6" xfId="2915"/>
    <cellStyle name="20% - Accent4 2 4 7" xfId="2916"/>
    <cellStyle name="20% - Accent4 2 5" xfId="286"/>
    <cellStyle name="20% - Accent4 2 5 2" xfId="2917"/>
    <cellStyle name="20% - Accent4 2 5 2 2" xfId="2918"/>
    <cellStyle name="20% - Accent4 2 5 2 2 2" xfId="2919"/>
    <cellStyle name="20% - Accent4 2 5 2 3" xfId="2920"/>
    <cellStyle name="20% - Accent4 2 5 2 4" xfId="2921"/>
    <cellStyle name="20% - Accent4 2 5 3" xfId="2922"/>
    <cellStyle name="20% - Accent4 2 5 3 2" xfId="2923"/>
    <cellStyle name="20% - Accent4 2 5 4" xfId="2924"/>
    <cellStyle name="20% - Accent4 2 5 5" xfId="2925"/>
    <cellStyle name="20% - Accent4 2 5 6" xfId="2926"/>
    <cellStyle name="20% - Accent4 2 6" xfId="287"/>
    <cellStyle name="20% - Accent4 2 6 2" xfId="2927"/>
    <cellStyle name="20% - Accent4 2 6 2 2" xfId="2928"/>
    <cellStyle name="20% - Accent4 2 6 3" xfId="2929"/>
    <cellStyle name="20% - Accent4 2 6 4" xfId="2930"/>
    <cellStyle name="20% - Accent4 2 6 5" xfId="2931"/>
    <cellStyle name="20% - Accent4 2 7" xfId="288"/>
    <cellStyle name="20% - Accent4 2 7 2" xfId="2932"/>
    <cellStyle name="20% - Accent4 2 7 3" xfId="2933"/>
    <cellStyle name="20% - Accent4 2 7 4" xfId="2934"/>
    <cellStyle name="20% - Accent4 2 8" xfId="289"/>
    <cellStyle name="20% - Accent4 2 8 2" xfId="2935"/>
    <cellStyle name="20% - Accent4 2 8 3" xfId="2936"/>
    <cellStyle name="20% - Accent4 2 9" xfId="290"/>
    <cellStyle name="20% - Accent4 2 9 2" xfId="2937"/>
    <cellStyle name="20% - Accent4 20" xfId="291"/>
    <cellStyle name="20% - Accent4 21" xfId="292"/>
    <cellStyle name="20% - Accent4 22" xfId="293"/>
    <cellStyle name="20% - Accent4 23" xfId="294"/>
    <cellStyle name="20% - Accent4 24" xfId="295"/>
    <cellStyle name="20% - Accent4 25" xfId="296"/>
    <cellStyle name="20% - Accent4 26" xfId="297"/>
    <cellStyle name="20% - Accent4 27" xfId="298"/>
    <cellStyle name="20% - Accent4 28" xfId="299"/>
    <cellStyle name="20% - Accent4 29" xfId="300"/>
    <cellStyle name="20% - Accent4 3" xfId="301"/>
    <cellStyle name="20% - Accent4 3 2" xfId="2938"/>
    <cellStyle name="20% - Accent4 3 2 2" xfId="2939"/>
    <cellStyle name="20% - Accent4 3 2 2 2" xfId="2940"/>
    <cellStyle name="20% - Accent4 3 2 2 2 2" xfId="2941"/>
    <cellStyle name="20% - Accent4 3 2 2 2 2 2" xfId="2942"/>
    <cellStyle name="20% - Accent4 3 2 2 2 2 2 2" xfId="2943"/>
    <cellStyle name="20% - Accent4 3 2 2 2 2 3" xfId="2944"/>
    <cellStyle name="20% - Accent4 3 2 2 2 3" xfId="2945"/>
    <cellStyle name="20% - Accent4 3 2 2 2 3 2" xfId="2946"/>
    <cellStyle name="20% - Accent4 3 2 2 2 4" xfId="2947"/>
    <cellStyle name="20% - Accent4 3 2 2 2 5" xfId="2948"/>
    <cellStyle name="20% - Accent4 3 2 2 3" xfId="2949"/>
    <cellStyle name="20% - Accent4 3 2 2 3 2" xfId="2950"/>
    <cellStyle name="20% - Accent4 3 2 2 3 2 2" xfId="2951"/>
    <cellStyle name="20% - Accent4 3 2 2 3 3" xfId="2952"/>
    <cellStyle name="20% - Accent4 3 2 2 4" xfId="2953"/>
    <cellStyle name="20% - Accent4 3 2 2 4 2" xfId="2954"/>
    <cellStyle name="20% - Accent4 3 2 2 5" xfId="2955"/>
    <cellStyle name="20% - Accent4 3 2 2 6" xfId="2956"/>
    <cellStyle name="20% - Accent4 3 2 2 7" xfId="2957"/>
    <cellStyle name="20% - Accent4 3 2 3" xfId="2958"/>
    <cellStyle name="20% - Accent4 3 2 3 2" xfId="2959"/>
    <cellStyle name="20% - Accent4 3 2 3 2 2" xfId="2960"/>
    <cellStyle name="20% - Accent4 3 2 3 2 2 2" xfId="2961"/>
    <cellStyle name="20% - Accent4 3 2 3 2 3" xfId="2962"/>
    <cellStyle name="20% - Accent4 3 2 3 3" xfId="2963"/>
    <cellStyle name="20% - Accent4 3 2 3 3 2" xfId="2964"/>
    <cellStyle name="20% - Accent4 3 2 3 4" xfId="2965"/>
    <cellStyle name="20% - Accent4 3 2 3 5" xfId="2966"/>
    <cellStyle name="20% - Accent4 3 2 4" xfId="2967"/>
    <cellStyle name="20% - Accent4 3 2 4 2" xfId="2968"/>
    <cellStyle name="20% - Accent4 3 2 4 2 2" xfId="2969"/>
    <cellStyle name="20% - Accent4 3 2 4 3" xfId="2970"/>
    <cellStyle name="20% - Accent4 3 2 4 4" xfId="2971"/>
    <cellStyle name="20% - Accent4 3 2 5" xfId="2972"/>
    <cellStyle name="20% - Accent4 3 2 5 2" xfId="2973"/>
    <cellStyle name="20% - Accent4 3 2 6" xfId="2974"/>
    <cellStyle name="20% - Accent4 3 2 7" xfId="2975"/>
    <cellStyle name="20% - Accent4 3 2 8" xfId="2976"/>
    <cellStyle name="20% - Accent4 3 2 9" xfId="2977"/>
    <cellStyle name="20% - Accent4 3 3" xfId="2978"/>
    <cellStyle name="20% - Accent4 3 3 2" xfId="2979"/>
    <cellStyle name="20% - Accent4 3 3 2 2" xfId="2980"/>
    <cellStyle name="20% - Accent4 3 3 2 2 2" xfId="2981"/>
    <cellStyle name="20% - Accent4 3 3 2 2 2 2" xfId="2982"/>
    <cellStyle name="20% - Accent4 3 3 2 2 3" xfId="2983"/>
    <cellStyle name="20% - Accent4 3 3 2 2 4" xfId="2984"/>
    <cellStyle name="20% - Accent4 3 3 2 3" xfId="2985"/>
    <cellStyle name="20% - Accent4 3 3 2 3 2" xfId="2986"/>
    <cellStyle name="20% - Accent4 3 3 2 4" xfId="2987"/>
    <cellStyle name="20% - Accent4 3 3 2 5" xfId="2988"/>
    <cellStyle name="20% - Accent4 3 3 3" xfId="2989"/>
    <cellStyle name="20% - Accent4 3 3 3 2" xfId="2990"/>
    <cellStyle name="20% - Accent4 3 3 3 2 2" xfId="2991"/>
    <cellStyle name="20% - Accent4 3 3 3 3" xfId="2992"/>
    <cellStyle name="20% - Accent4 3 3 3 4" xfId="2993"/>
    <cellStyle name="20% - Accent4 3 3 4" xfId="2994"/>
    <cellStyle name="20% - Accent4 3 3 4 2" xfId="2995"/>
    <cellStyle name="20% - Accent4 3 3 4 3" xfId="2996"/>
    <cellStyle name="20% - Accent4 3 3 4 4" xfId="2997"/>
    <cellStyle name="20% - Accent4 3 3 5" xfId="2998"/>
    <cellStyle name="20% - Accent4 3 3 5 2" xfId="2999"/>
    <cellStyle name="20% - Accent4 3 3 6" xfId="3000"/>
    <cellStyle name="20% - Accent4 3 3 7" xfId="3001"/>
    <cellStyle name="20% - Accent4 3 3 8" xfId="3002"/>
    <cellStyle name="20% - Accent4 3 3 9" xfId="3003"/>
    <cellStyle name="20% - Accent4 3 4" xfId="3004"/>
    <cellStyle name="20% - Accent4 3 4 2" xfId="3005"/>
    <cellStyle name="20% - Accent4 3 4 2 2" xfId="3006"/>
    <cellStyle name="20% - Accent4 3 4 2 2 2" xfId="3007"/>
    <cellStyle name="20% - Accent4 3 4 2 2 2 2" xfId="3008"/>
    <cellStyle name="20% - Accent4 3 4 2 2 3" xfId="3009"/>
    <cellStyle name="20% - Accent4 3 4 2 2 4" xfId="3010"/>
    <cellStyle name="20% - Accent4 3 4 2 3" xfId="3011"/>
    <cellStyle name="20% - Accent4 3 4 2 3 2" xfId="3012"/>
    <cellStyle name="20% - Accent4 3 4 2 4" xfId="3013"/>
    <cellStyle name="20% - Accent4 3 4 2 5" xfId="3014"/>
    <cellStyle name="20% - Accent4 3 4 3" xfId="3015"/>
    <cellStyle name="20% - Accent4 3 4 3 2" xfId="3016"/>
    <cellStyle name="20% - Accent4 3 4 3 2 2" xfId="3017"/>
    <cellStyle name="20% - Accent4 3 4 3 3" xfId="3018"/>
    <cellStyle name="20% - Accent4 3 4 3 4" xfId="3019"/>
    <cellStyle name="20% - Accent4 3 4 4" xfId="3020"/>
    <cellStyle name="20% - Accent4 3 4 4 2" xfId="3021"/>
    <cellStyle name="20% - Accent4 3 4 4 3" xfId="3022"/>
    <cellStyle name="20% - Accent4 3 4 4 4" xfId="3023"/>
    <cellStyle name="20% - Accent4 3 4 5" xfId="3024"/>
    <cellStyle name="20% - Accent4 3 4 5 2" xfId="3025"/>
    <cellStyle name="20% - Accent4 3 4 6" xfId="3026"/>
    <cellStyle name="20% - Accent4 3 4 7" xfId="3027"/>
    <cellStyle name="20% - Accent4 3 4 8" xfId="3028"/>
    <cellStyle name="20% - Accent4 3 4 9" xfId="3029"/>
    <cellStyle name="20% - Accent4 3 5" xfId="3030"/>
    <cellStyle name="20% - Accent4 3 5 2" xfId="3031"/>
    <cellStyle name="20% - Accent4 3 5 2 2" xfId="3032"/>
    <cellStyle name="20% - Accent4 3 5 2 2 2" xfId="3033"/>
    <cellStyle name="20% - Accent4 3 5 2 3" xfId="3034"/>
    <cellStyle name="20% - Accent4 3 5 2 4" xfId="3035"/>
    <cellStyle name="20% - Accent4 3 5 3" xfId="3036"/>
    <cellStyle name="20% - Accent4 3 5 3 2" xfId="3037"/>
    <cellStyle name="20% - Accent4 3 5 4" xfId="3038"/>
    <cellStyle name="20% - Accent4 3 5 5" xfId="3039"/>
    <cellStyle name="20% - Accent4 3 6" xfId="3040"/>
    <cellStyle name="20% - Accent4 3 6 2" xfId="3041"/>
    <cellStyle name="20% - Accent4 3 6 2 2" xfId="3042"/>
    <cellStyle name="20% - Accent4 3 6 3" xfId="3043"/>
    <cellStyle name="20% - Accent4 3 6 4" xfId="3044"/>
    <cellStyle name="20% - Accent4 3 7" xfId="3045"/>
    <cellStyle name="20% - Accent4 3 7 2" xfId="3046"/>
    <cellStyle name="20% - Accent4 3 7 3" xfId="3047"/>
    <cellStyle name="20% - Accent4 3 7 4" xfId="3048"/>
    <cellStyle name="20% - Accent4 3 8" xfId="3049"/>
    <cellStyle name="20% - Accent4 3 9" xfId="3050"/>
    <cellStyle name="20% - Accent4 30" xfId="302"/>
    <cellStyle name="20% - Accent4 31" xfId="303"/>
    <cellStyle name="20% - Accent4 32" xfId="304"/>
    <cellStyle name="20% - Accent4 33" xfId="305"/>
    <cellStyle name="20% - Accent4 34" xfId="306"/>
    <cellStyle name="20% - Accent4 35" xfId="307"/>
    <cellStyle name="20% - Accent4 4" xfId="308"/>
    <cellStyle name="20% - Accent4 4 2" xfId="3051"/>
    <cellStyle name="20% - Accent4 4 2 2" xfId="3052"/>
    <cellStyle name="20% - Accent4 4 2 2 2" xfId="3053"/>
    <cellStyle name="20% - Accent4 4 2 2 2 2" xfId="3054"/>
    <cellStyle name="20% - Accent4 4 2 2 2 2 2" xfId="3055"/>
    <cellStyle name="20% - Accent4 4 2 2 2 2 2 2" xfId="3056"/>
    <cellStyle name="20% - Accent4 4 2 2 2 2 3" xfId="3057"/>
    <cellStyle name="20% - Accent4 4 2 2 2 3" xfId="3058"/>
    <cellStyle name="20% - Accent4 4 2 2 2 3 2" xfId="3059"/>
    <cellStyle name="20% - Accent4 4 2 2 2 4" xfId="3060"/>
    <cellStyle name="20% - Accent4 4 2 2 2 5" xfId="3061"/>
    <cellStyle name="20% - Accent4 4 2 2 3" xfId="3062"/>
    <cellStyle name="20% - Accent4 4 2 2 3 2" xfId="3063"/>
    <cellStyle name="20% - Accent4 4 2 2 3 2 2" xfId="3064"/>
    <cellStyle name="20% - Accent4 4 2 2 3 3" xfId="3065"/>
    <cellStyle name="20% - Accent4 4 2 2 4" xfId="3066"/>
    <cellStyle name="20% - Accent4 4 2 2 4 2" xfId="3067"/>
    <cellStyle name="20% - Accent4 4 2 2 5" xfId="3068"/>
    <cellStyle name="20% - Accent4 4 2 2 6" xfId="3069"/>
    <cellStyle name="20% - Accent4 4 2 3" xfId="3070"/>
    <cellStyle name="20% - Accent4 4 2 3 2" xfId="3071"/>
    <cellStyle name="20% - Accent4 4 2 3 2 2" xfId="3072"/>
    <cellStyle name="20% - Accent4 4 2 3 2 2 2" xfId="3073"/>
    <cellStyle name="20% - Accent4 4 2 3 2 3" xfId="3074"/>
    <cellStyle name="20% - Accent4 4 2 3 3" xfId="3075"/>
    <cellStyle name="20% - Accent4 4 2 3 3 2" xfId="3076"/>
    <cellStyle name="20% - Accent4 4 2 3 4" xfId="3077"/>
    <cellStyle name="20% - Accent4 4 2 3 5" xfId="3078"/>
    <cellStyle name="20% - Accent4 4 2 4" xfId="3079"/>
    <cellStyle name="20% - Accent4 4 2 4 2" xfId="3080"/>
    <cellStyle name="20% - Accent4 4 2 4 2 2" xfId="3081"/>
    <cellStyle name="20% - Accent4 4 2 4 3" xfId="3082"/>
    <cellStyle name="20% - Accent4 4 2 4 4" xfId="3083"/>
    <cellStyle name="20% - Accent4 4 2 5" xfId="3084"/>
    <cellStyle name="20% - Accent4 4 2 5 2" xfId="3085"/>
    <cellStyle name="20% - Accent4 4 2 6" xfId="3086"/>
    <cellStyle name="20% - Accent4 4 2 7" xfId="3087"/>
    <cellStyle name="20% - Accent4 4 2 8" xfId="3088"/>
    <cellStyle name="20% - Accent4 4 2 9" xfId="3089"/>
    <cellStyle name="20% - Accent4 4 3" xfId="3090"/>
    <cellStyle name="20% - Accent4 4 3 2" xfId="3091"/>
    <cellStyle name="20% - Accent4 4 3 2 2" xfId="3092"/>
    <cellStyle name="20% - Accent4 4 3 2 2 2" xfId="3093"/>
    <cellStyle name="20% - Accent4 4 3 2 2 2 2" xfId="3094"/>
    <cellStyle name="20% - Accent4 4 3 2 2 3" xfId="3095"/>
    <cellStyle name="20% - Accent4 4 3 2 2 4" xfId="3096"/>
    <cellStyle name="20% - Accent4 4 3 2 3" xfId="3097"/>
    <cellStyle name="20% - Accent4 4 3 2 3 2" xfId="3098"/>
    <cellStyle name="20% - Accent4 4 3 2 4" xfId="3099"/>
    <cellStyle name="20% - Accent4 4 3 2 5" xfId="3100"/>
    <cellStyle name="20% - Accent4 4 3 3" xfId="3101"/>
    <cellStyle name="20% - Accent4 4 3 3 2" xfId="3102"/>
    <cellStyle name="20% - Accent4 4 3 3 2 2" xfId="3103"/>
    <cellStyle name="20% - Accent4 4 3 3 3" xfId="3104"/>
    <cellStyle name="20% - Accent4 4 3 3 4" xfId="3105"/>
    <cellStyle name="20% - Accent4 4 3 4" xfId="3106"/>
    <cellStyle name="20% - Accent4 4 3 4 2" xfId="3107"/>
    <cellStyle name="20% - Accent4 4 3 4 3" xfId="3108"/>
    <cellStyle name="20% - Accent4 4 3 4 4" xfId="3109"/>
    <cellStyle name="20% - Accent4 4 3 5" xfId="3110"/>
    <cellStyle name="20% - Accent4 4 3 5 2" xfId="3111"/>
    <cellStyle name="20% - Accent4 4 3 6" xfId="3112"/>
    <cellStyle name="20% - Accent4 4 3 7" xfId="3113"/>
    <cellStyle name="20% - Accent4 4 3 8" xfId="3114"/>
    <cellStyle name="20% - Accent4 4 3 9" xfId="3115"/>
    <cellStyle name="20% - Accent4 4 4" xfId="3116"/>
    <cellStyle name="20% - Accent4 4 4 2" xfId="3117"/>
    <cellStyle name="20% - Accent4 4 4 2 2" xfId="3118"/>
    <cellStyle name="20% - Accent4 4 4 2 2 2" xfId="3119"/>
    <cellStyle name="20% - Accent4 4 4 2 2 2 2" xfId="3120"/>
    <cellStyle name="20% - Accent4 4 4 2 2 3" xfId="3121"/>
    <cellStyle name="20% - Accent4 4 4 2 2 4" xfId="3122"/>
    <cellStyle name="20% - Accent4 4 4 2 3" xfId="3123"/>
    <cellStyle name="20% - Accent4 4 4 2 3 2" xfId="3124"/>
    <cellStyle name="20% - Accent4 4 4 2 4" xfId="3125"/>
    <cellStyle name="20% - Accent4 4 4 2 5" xfId="3126"/>
    <cellStyle name="20% - Accent4 4 4 3" xfId="3127"/>
    <cellStyle name="20% - Accent4 4 4 3 2" xfId="3128"/>
    <cellStyle name="20% - Accent4 4 4 3 2 2" xfId="3129"/>
    <cellStyle name="20% - Accent4 4 4 3 3" xfId="3130"/>
    <cellStyle name="20% - Accent4 4 4 3 4" xfId="3131"/>
    <cellStyle name="20% - Accent4 4 4 4" xfId="3132"/>
    <cellStyle name="20% - Accent4 4 4 4 2" xfId="3133"/>
    <cellStyle name="20% - Accent4 4 4 5" xfId="3134"/>
    <cellStyle name="20% - Accent4 4 4 6" xfId="3135"/>
    <cellStyle name="20% - Accent4 4 5" xfId="3136"/>
    <cellStyle name="20% - Accent4 4 5 2" xfId="3137"/>
    <cellStyle name="20% - Accent4 4 5 2 2" xfId="3138"/>
    <cellStyle name="20% - Accent4 4 5 2 2 2" xfId="3139"/>
    <cellStyle name="20% - Accent4 4 5 2 3" xfId="3140"/>
    <cellStyle name="20% - Accent4 4 5 2 4" xfId="3141"/>
    <cellStyle name="20% - Accent4 4 5 3" xfId="3142"/>
    <cellStyle name="20% - Accent4 4 5 3 2" xfId="3143"/>
    <cellStyle name="20% - Accent4 4 5 4" xfId="3144"/>
    <cellStyle name="20% - Accent4 4 5 5" xfId="3145"/>
    <cellStyle name="20% - Accent4 4 6" xfId="3146"/>
    <cellStyle name="20% - Accent4 4 6 2" xfId="3147"/>
    <cellStyle name="20% - Accent4 4 6 2 2" xfId="3148"/>
    <cellStyle name="20% - Accent4 4 6 3" xfId="3149"/>
    <cellStyle name="20% - Accent4 4 6 4" xfId="3150"/>
    <cellStyle name="20% - Accent4 4 7" xfId="3151"/>
    <cellStyle name="20% - Accent4 4 7 2" xfId="3152"/>
    <cellStyle name="20% - Accent4 4 7 3" xfId="3153"/>
    <cellStyle name="20% - Accent4 4 7 4" xfId="3154"/>
    <cellStyle name="20% - Accent4 4 8" xfId="3155"/>
    <cellStyle name="20% - Accent4 4 9" xfId="3156"/>
    <cellStyle name="20% - Accent4 5" xfId="309"/>
    <cellStyle name="20% - Accent4 5 2" xfId="3157"/>
    <cellStyle name="20% - Accent4 5 2 2" xfId="3158"/>
    <cellStyle name="20% - Accent4 5 2 2 2" xfId="3159"/>
    <cellStyle name="20% - Accent4 5 2 2 2 2" xfId="3160"/>
    <cellStyle name="20% - Accent4 5 2 2 2 2 2" xfId="3161"/>
    <cellStyle name="20% - Accent4 5 2 2 2 3" xfId="3162"/>
    <cellStyle name="20% - Accent4 5 2 2 3" xfId="3163"/>
    <cellStyle name="20% - Accent4 5 2 2 3 2" xfId="3164"/>
    <cellStyle name="20% - Accent4 5 2 2 4" xfId="3165"/>
    <cellStyle name="20% - Accent4 5 2 3" xfId="3166"/>
    <cellStyle name="20% - Accent4 5 2 3 2" xfId="3167"/>
    <cellStyle name="20% - Accent4 5 2 3 2 2" xfId="3168"/>
    <cellStyle name="20% - Accent4 5 2 3 3" xfId="3169"/>
    <cellStyle name="20% - Accent4 5 2 4" xfId="3170"/>
    <cellStyle name="20% - Accent4 5 2 4 2" xfId="3171"/>
    <cellStyle name="20% - Accent4 5 2 5" xfId="3172"/>
    <cellStyle name="20% - Accent4 5 2 6" xfId="3173"/>
    <cellStyle name="20% - Accent4 5 3" xfId="3174"/>
    <cellStyle name="20% - Accent4 5 3 2" xfId="3175"/>
    <cellStyle name="20% - Accent4 5 3 2 2" xfId="3176"/>
    <cellStyle name="20% - Accent4 5 3 2 2 2" xfId="3177"/>
    <cellStyle name="20% - Accent4 5 3 2 3" xfId="3178"/>
    <cellStyle name="20% - Accent4 5 3 3" xfId="3179"/>
    <cellStyle name="20% - Accent4 5 3 3 2" xfId="3180"/>
    <cellStyle name="20% - Accent4 5 3 4" xfId="3181"/>
    <cellStyle name="20% - Accent4 5 4" xfId="3182"/>
    <cellStyle name="20% - Accent4 5 4 2" xfId="3183"/>
    <cellStyle name="20% - Accent4 5 4 2 2" xfId="3184"/>
    <cellStyle name="20% - Accent4 5 4 3" xfId="3185"/>
    <cellStyle name="20% - Accent4 5 5" xfId="3186"/>
    <cellStyle name="20% - Accent4 5 5 2" xfId="3187"/>
    <cellStyle name="20% - Accent4 5 6" xfId="3188"/>
    <cellStyle name="20% - Accent4 5 7" xfId="3189"/>
    <cellStyle name="20% - Accent4 5 8" xfId="3190"/>
    <cellStyle name="20% - Accent4 6" xfId="310"/>
    <cellStyle name="20% - Accent4 6 2" xfId="3191"/>
    <cellStyle name="20% - Accent4 6 2 2" xfId="3192"/>
    <cellStyle name="20% - Accent4 6 2 2 2" xfId="3193"/>
    <cellStyle name="20% - Accent4 6 2 2 2 2" xfId="3194"/>
    <cellStyle name="20% - Accent4 6 2 2 3" xfId="3195"/>
    <cellStyle name="20% - Accent4 6 2 3" xfId="3196"/>
    <cellStyle name="20% - Accent4 6 2 3 2" xfId="3197"/>
    <cellStyle name="20% - Accent4 6 2 4" xfId="3198"/>
    <cellStyle name="20% - Accent4 6 2 5" xfId="3199"/>
    <cellStyle name="20% - Accent4 6 3" xfId="3200"/>
    <cellStyle name="20% - Accent4 6 3 2" xfId="3201"/>
    <cellStyle name="20% - Accent4 6 3 2 2" xfId="3202"/>
    <cellStyle name="20% - Accent4 6 3 3" xfId="3203"/>
    <cellStyle name="20% - Accent4 6 4" xfId="3204"/>
    <cellStyle name="20% - Accent4 6 4 2" xfId="3205"/>
    <cellStyle name="20% - Accent4 6 5" xfId="3206"/>
    <cellStyle name="20% - Accent4 6 6" xfId="3207"/>
    <cellStyle name="20% - Accent4 7" xfId="311"/>
    <cellStyle name="20% - Accent4 7 2" xfId="3208"/>
    <cellStyle name="20% - Accent4 7 2 2" xfId="3209"/>
    <cellStyle name="20% - Accent4 7 2 2 2" xfId="3210"/>
    <cellStyle name="20% - Accent4 7 2 3" xfId="3211"/>
    <cellStyle name="20% - Accent4 7 3" xfId="3212"/>
    <cellStyle name="20% - Accent4 7 3 2" xfId="3213"/>
    <cellStyle name="20% - Accent4 7 4" xfId="3214"/>
    <cellStyle name="20% - Accent4 7 5" xfId="3215"/>
    <cellStyle name="20% - Accent4 8" xfId="312"/>
    <cellStyle name="20% - Accent4 8 2" xfId="3216"/>
    <cellStyle name="20% - Accent4 8 2 2" xfId="3217"/>
    <cellStyle name="20% - Accent4 8 2 2 2" xfId="3218"/>
    <cellStyle name="20% - Accent4 8 2 3" xfId="3219"/>
    <cellStyle name="20% - Accent4 8 3" xfId="3220"/>
    <cellStyle name="20% - Accent4 8 3 2" xfId="3221"/>
    <cellStyle name="20% - Accent4 8 4" xfId="3222"/>
    <cellStyle name="20% - Accent4 8 5" xfId="3223"/>
    <cellStyle name="20% - Accent4 9" xfId="313"/>
    <cellStyle name="20% - Accent4 9 2" xfId="3224"/>
    <cellStyle name="20% - Accent4 9 2 2" xfId="3225"/>
    <cellStyle name="20% - Accent4 9 2 2 2" xfId="3226"/>
    <cellStyle name="20% - Accent4 9 2 3" xfId="3227"/>
    <cellStyle name="20% - Accent4 9 3" xfId="3228"/>
    <cellStyle name="20% - Accent4 9 3 2" xfId="3229"/>
    <cellStyle name="20% - Accent4 9 4" xfId="3230"/>
    <cellStyle name="20% - Accent4 9 5" xfId="3231"/>
    <cellStyle name="20% - Accent5 10" xfId="314"/>
    <cellStyle name="20% - Accent5 10 2" xfId="3232"/>
    <cellStyle name="20% - Accent5 10 2 2" xfId="3233"/>
    <cellStyle name="20% - Accent5 10 3" xfId="3234"/>
    <cellStyle name="20% - Accent5 10 4" xfId="3235"/>
    <cellStyle name="20% - Accent5 11" xfId="315"/>
    <cellStyle name="20% - Accent5 11 2" xfId="3236"/>
    <cellStyle name="20% - Accent5 11 2 2" xfId="3237"/>
    <cellStyle name="20% - Accent5 11 3" xfId="3238"/>
    <cellStyle name="20% - Accent5 11 4" xfId="3239"/>
    <cellStyle name="20% - Accent5 12" xfId="316"/>
    <cellStyle name="20% - Accent5 12 2" xfId="3240"/>
    <cellStyle name="20% - Accent5 12 3" xfId="3241"/>
    <cellStyle name="20% - Accent5 13" xfId="317"/>
    <cellStyle name="20% - Accent5 13 2" xfId="3242"/>
    <cellStyle name="20% - Accent5 14" xfId="318"/>
    <cellStyle name="20% - Accent5 15" xfId="319"/>
    <cellStyle name="20% - Accent5 15 2" xfId="320"/>
    <cellStyle name="20% - Accent5 15 3" xfId="321"/>
    <cellStyle name="20% - Accent5 15 4" xfId="322"/>
    <cellStyle name="20% - Accent5 15 5" xfId="323"/>
    <cellStyle name="20% - Accent5 16" xfId="324"/>
    <cellStyle name="20% - Accent5 16 2" xfId="325"/>
    <cellStyle name="20% - Accent5 16 3" xfId="326"/>
    <cellStyle name="20% - Accent5 16 4" xfId="327"/>
    <cellStyle name="20% - Accent5 16 5" xfId="328"/>
    <cellStyle name="20% - Accent5 17" xfId="329"/>
    <cellStyle name="20% - Accent5 17 2" xfId="330"/>
    <cellStyle name="20% - Accent5 17 3" xfId="331"/>
    <cellStyle name="20% - Accent5 17 4" xfId="332"/>
    <cellStyle name="20% - Accent5 17 5" xfId="333"/>
    <cellStyle name="20% - Accent5 18" xfId="334"/>
    <cellStyle name="20% - Accent5 19" xfId="335"/>
    <cellStyle name="20% - Accent5 2" xfId="336"/>
    <cellStyle name="20% - Accent5 2 2" xfId="337"/>
    <cellStyle name="20% - Accent5 2 2 2" xfId="338"/>
    <cellStyle name="20% - Accent5 2 2 2 2" xfId="339"/>
    <cellStyle name="20% - Accent5 2 2 2 2 2" xfId="3243"/>
    <cellStyle name="20% - Accent5 2 2 2 2 2 2" xfId="3244"/>
    <cellStyle name="20% - Accent5 2 2 2 2 2 2 2" xfId="3245"/>
    <cellStyle name="20% - Accent5 2 2 2 2 2 3" xfId="3246"/>
    <cellStyle name="20% - Accent5 2 2 2 2 3" xfId="3247"/>
    <cellStyle name="20% - Accent5 2 2 2 2 3 2" xfId="3248"/>
    <cellStyle name="20% - Accent5 2 2 2 2 4" xfId="3249"/>
    <cellStyle name="20% - Accent5 2 2 2 2 5" xfId="3250"/>
    <cellStyle name="20% - Accent5 2 2 2 3" xfId="340"/>
    <cellStyle name="20% - Accent5 2 2 2 3 2" xfId="3251"/>
    <cellStyle name="20% - Accent5 2 2 2 3 2 2" xfId="3252"/>
    <cellStyle name="20% - Accent5 2 2 2 3 3" xfId="3253"/>
    <cellStyle name="20% - Accent5 2 2 2 4" xfId="341"/>
    <cellStyle name="20% - Accent5 2 2 2 4 2" xfId="3254"/>
    <cellStyle name="20% - Accent5 2 2 2 5" xfId="342"/>
    <cellStyle name="20% - Accent5 2 2 2 6" xfId="3255"/>
    <cellStyle name="20% - Accent5 2 2 3" xfId="343"/>
    <cellStyle name="20% - Accent5 2 2 3 2" xfId="3256"/>
    <cellStyle name="20% - Accent5 2 2 3 2 2" xfId="3257"/>
    <cellStyle name="20% - Accent5 2 2 3 2 2 2" xfId="3258"/>
    <cellStyle name="20% - Accent5 2 2 3 2 3" xfId="3259"/>
    <cellStyle name="20% - Accent5 2 2 3 3" xfId="3260"/>
    <cellStyle name="20% - Accent5 2 2 3 3 2" xfId="3261"/>
    <cellStyle name="20% - Accent5 2 2 3 4" xfId="3262"/>
    <cellStyle name="20% - Accent5 2 2 3 5" xfId="3263"/>
    <cellStyle name="20% - Accent5 2 2 4" xfId="344"/>
    <cellStyle name="20% - Accent5 2 2 4 2" xfId="3264"/>
    <cellStyle name="20% - Accent5 2 2 4 2 2" xfId="3265"/>
    <cellStyle name="20% - Accent5 2 2 4 3" xfId="3266"/>
    <cellStyle name="20% - Accent5 2 2 5" xfId="345"/>
    <cellStyle name="20% - Accent5 2 2 5 2" xfId="3267"/>
    <cellStyle name="20% - Accent5 2 2 6" xfId="3268"/>
    <cellStyle name="20% - Accent5 2 2 7" xfId="3269"/>
    <cellStyle name="20% - Accent5 2 3" xfId="346"/>
    <cellStyle name="20% - Accent5 2 3 2" xfId="3270"/>
    <cellStyle name="20% - Accent5 2 3 2 2" xfId="3271"/>
    <cellStyle name="20% - Accent5 2 3 2 2 2" xfId="3272"/>
    <cellStyle name="20% - Accent5 2 3 2 2 2 2" xfId="3273"/>
    <cellStyle name="20% - Accent5 2 3 2 2 3" xfId="3274"/>
    <cellStyle name="20% - Accent5 2 3 2 3" xfId="3275"/>
    <cellStyle name="20% - Accent5 2 3 2 3 2" xfId="3276"/>
    <cellStyle name="20% - Accent5 2 3 2 4" xfId="3277"/>
    <cellStyle name="20% - Accent5 2 3 3" xfId="3278"/>
    <cellStyle name="20% - Accent5 2 3 3 2" xfId="3279"/>
    <cellStyle name="20% - Accent5 2 3 3 2 2" xfId="3280"/>
    <cellStyle name="20% - Accent5 2 3 3 3" xfId="3281"/>
    <cellStyle name="20% - Accent5 2 3 4" xfId="3282"/>
    <cellStyle name="20% - Accent5 2 3 4 2" xfId="3283"/>
    <cellStyle name="20% - Accent5 2 3 5" xfId="3284"/>
    <cellStyle name="20% - Accent5 2 3 6" xfId="3285"/>
    <cellStyle name="20% - Accent5 2 4" xfId="347"/>
    <cellStyle name="20% - Accent5 2 4 2" xfId="3286"/>
    <cellStyle name="20% - Accent5 2 4 2 2" xfId="3287"/>
    <cellStyle name="20% - Accent5 2 4 2 2 2" xfId="3288"/>
    <cellStyle name="20% - Accent5 2 4 2 3" xfId="3289"/>
    <cellStyle name="20% - Accent5 2 4 3" xfId="3290"/>
    <cellStyle name="20% - Accent5 2 4 3 2" xfId="3291"/>
    <cellStyle name="20% - Accent5 2 4 4" xfId="3292"/>
    <cellStyle name="20% - Accent5 2 4 5" xfId="3293"/>
    <cellStyle name="20% - Accent5 2 5" xfId="348"/>
    <cellStyle name="20% - Accent5 2 5 2" xfId="3294"/>
    <cellStyle name="20% - Accent5 2 5 2 2" xfId="3295"/>
    <cellStyle name="20% - Accent5 2 5 3" xfId="3296"/>
    <cellStyle name="20% - Accent5 2 5 4" xfId="3297"/>
    <cellStyle name="20% - Accent5 2 6" xfId="349"/>
    <cellStyle name="20% - Accent5 2 6 2" xfId="3298"/>
    <cellStyle name="20% - Accent5 2 6 3" xfId="3299"/>
    <cellStyle name="20% - Accent5 2 7" xfId="350"/>
    <cellStyle name="20% - Accent5 2 8" xfId="351"/>
    <cellStyle name="20% - Accent5 2 9" xfId="352"/>
    <cellStyle name="20% - Accent5 20" xfId="353"/>
    <cellStyle name="20% - Accent5 21" xfId="354"/>
    <cellStyle name="20% - Accent5 22" xfId="355"/>
    <cellStyle name="20% - Accent5 23" xfId="356"/>
    <cellStyle name="20% - Accent5 24" xfId="357"/>
    <cellStyle name="20% - Accent5 25" xfId="358"/>
    <cellStyle name="20% - Accent5 26" xfId="359"/>
    <cellStyle name="20% - Accent5 27" xfId="360"/>
    <cellStyle name="20% - Accent5 28" xfId="361"/>
    <cellStyle name="20% - Accent5 29" xfId="362"/>
    <cellStyle name="20% - Accent5 3" xfId="363"/>
    <cellStyle name="20% - Accent5 3 2" xfId="3300"/>
    <cellStyle name="20% - Accent5 3 2 2" xfId="3301"/>
    <cellStyle name="20% - Accent5 3 2 2 2" xfId="3302"/>
    <cellStyle name="20% - Accent5 3 2 2 2 2" xfId="3303"/>
    <cellStyle name="20% - Accent5 3 2 2 2 2 2" xfId="3304"/>
    <cellStyle name="20% - Accent5 3 2 2 2 2 2 2" xfId="3305"/>
    <cellStyle name="20% - Accent5 3 2 2 2 2 3" xfId="3306"/>
    <cellStyle name="20% - Accent5 3 2 2 2 3" xfId="3307"/>
    <cellStyle name="20% - Accent5 3 2 2 2 3 2" xfId="3308"/>
    <cellStyle name="20% - Accent5 3 2 2 2 4" xfId="3309"/>
    <cellStyle name="20% - Accent5 3 2 2 3" xfId="3310"/>
    <cellStyle name="20% - Accent5 3 2 2 3 2" xfId="3311"/>
    <cellStyle name="20% - Accent5 3 2 2 3 2 2" xfId="3312"/>
    <cellStyle name="20% - Accent5 3 2 2 3 3" xfId="3313"/>
    <cellStyle name="20% - Accent5 3 2 2 4" xfId="3314"/>
    <cellStyle name="20% - Accent5 3 2 2 4 2" xfId="3315"/>
    <cellStyle name="20% - Accent5 3 2 2 5" xfId="3316"/>
    <cellStyle name="20% - Accent5 3 2 2 6" xfId="3317"/>
    <cellStyle name="20% - Accent5 3 2 3" xfId="3318"/>
    <cellStyle name="20% - Accent5 3 2 3 2" xfId="3319"/>
    <cellStyle name="20% - Accent5 3 2 3 2 2" xfId="3320"/>
    <cellStyle name="20% - Accent5 3 2 3 2 2 2" xfId="3321"/>
    <cellStyle name="20% - Accent5 3 2 3 2 3" xfId="3322"/>
    <cellStyle name="20% - Accent5 3 2 3 3" xfId="3323"/>
    <cellStyle name="20% - Accent5 3 2 3 3 2" xfId="3324"/>
    <cellStyle name="20% - Accent5 3 2 3 4" xfId="3325"/>
    <cellStyle name="20% - Accent5 3 2 4" xfId="3326"/>
    <cellStyle name="20% - Accent5 3 2 4 2" xfId="3327"/>
    <cellStyle name="20% - Accent5 3 2 4 2 2" xfId="3328"/>
    <cellStyle name="20% - Accent5 3 2 4 3" xfId="3329"/>
    <cellStyle name="20% - Accent5 3 2 5" xfId="3330"/>
    <cellStyle name="20% - Accent5 3 2 5 2" xfId="3331"/>
    <cellStyle name="20% - Accent5 3 2 6" xfId="3332"/>
    <cellStyle name="20% - Accent5 3 2 7" xfId="3333"/>
    <cellStyle name="20% - Accent5 3 3" xfId="3334"/>
    <cellStyle name="20% - Accent5 3 3 2" xfId="3335"/>
    <cellStyle name="20% - Accent5 3 3 2 2" xfId="3336"/>
    <cellStyle name="20% - Accent5 3 3 2 2 2" xfId="3337"/>
    <cellStyle name="20% - Accent5 3 3 2 2 2 2" xfId="3338"/>
    <cellStyle name="20% - Accent5 3 3 2 2 3" xfId="3339"/>
    <cellStyle name="20% - Accent5 3 3 2 3" xfId="3340"/>
    <cellStyle name="20% - Accent5 3 3 2 3 2" xfId="3341"/>
    <cellStyle name="20% - Accent5 3 3 2 4" xfId="3342"/>
    <cellStyle name="20% - Accent5 3 3 3" xfId="3343"/>
    <cellStyle name="20% - Accent5 3 3 3 2" xfId="3344"/>
    <cellStyle name="20% - Accent5 3 3 3 2 2" xfId="3345"/>
    <cellStyle name="20% - Accent5 3 3 3 3" xfId="3346"/>
    <cellStyle name="20% - Accent5 3 3 4" xfId="3347"/>
    <cellStyle name="20% - Accent5 3 3 4 2" xfId="3348"/>
    <cellStyle name="20% - Accent5 3 3 5" xfId="3349"/>
    <cellStyle name="20% - Accent5 3 3 6" xfId="3350"/>
    <cellStyle name="20% - Accent5 3 4" xfId="3351"/>
    <cellStyle name="20% - Accent5 3 4 2" xfId="3352"/>
    <cellStyle name="20% - Accent5 3 4 2 2" xfId="3353"/>
    <cellStyle name="20% - Accent5 3 4 2 2 2" xfId="3354"/>
    <cellStyle name="20% - Accent5 3 4 2 3" xfId="3355"/>
    <cellStyle name="20% - Accent5 3 4 3" xfId="3356"/>
    <cellStyle name="20% - Accent5 3 4 3 2" xfId="3357"/>
    <cellStyle name="20% - Accent5 3 4 4" xfId="3358"/>
    <cellStyle name="20% - Accent5 3 4 5" xfId="3359"/>
    <cellStyle name="20% - Accent5 3 5" xfId="3360"/>
    <cellStyle name="20% - Accent5 3 5 2" xfId="3361"/>
    <cellStyle name="20% - Accent5 3 5 2 2" xfId="3362"/>
    <cellStyle name="20% - Accent5 3 5 3" xfId="3363"/>
    <cellStyle name="20% - Accent5 3 6" xfId="3364"/>
    <cellStyle name="20% - Accent5 3 6 2" xfId="3365"/>
    <cellStyle name="20% - Accent5 3 7" xfId="3366"/>
    <cellStyle name="20% - Accent5 3 8" xfId="3367"/>
    <cellStyle name="20% - Accent5 3 9" xfId="3368"/>
    <cellStyle name="20% - Accent5 30" xfId="364"/>
    <cellStyle name="20% - Accent5 31" xfId="365"/>
    <cellStyle name="20% - Accent5 32" xfId="366"/>
    <cellStyle name="20% - Accent5 33" xfId="367"/>
    <cellStyle name="20% - Accent5 34" xfId="368"/>
    <cellStyle name="20% - Accent5 35" xfId="369"/>
    <cellStyle name="20% - Accent5 4" xfId="370"/>
    <cellStyle name="20% - Accent5 4 2" xfId="3369"/>
    <cellStyle name="20% - Accent5 4 2 2" xfId="3370"/>
    <cellStyle name="20% - Accent5 4 2 2 2" xfId="3371"/>
    <cellStyle name="20% - Accent5 4 2 2 2 2" xfId="3372"/>
    <cellStyle name="20% - Accent5 4 2 2 2 2 2" xfId="3373"/>
    <cellStyle name="20% - Accent5 4 2 2 2 3" xfId="3374"/>
    <cellStyle name="20% - Accent5 4 2 2 3" xfId="3375"/>
    <cellStyle name="20% - Accent5 4 2 2 3 2" xfId="3376"/>
    <cellStyle name="20% - Accent5 4 2 2 4" xfId="3377"/>
    <cellStyle name="20% - Accent5 4 2 3" xfId="3378"/>
    <cellStyle name="20% - Accent5 4 2 3 2" xfId="3379"/>
    <cellStyle name="20% - Accent5 4 2 3 2 2" xfId="3380"/>
    <cellStyle name="20% - Accent5 4 2 3 3" xfId="3381"/>
    <cellStyle name="20% - Accent5 4 2 4" xfId="3382"/>
    <cellStyle name="20% - Accent5 4 2 4 2" xfId="3383"/>
    <cellStyle name="20% - Accent5 4 2 5" xfId="3384"/>
    <cellStyle name="20% - Accent5 4 2 6" xfId="3385"/>
    <cellStyle name="20% - Accent5 4 3" xfId="3386"/>
    <cellStyle name="20% - Accent5 4 3 2" xfId="3387"/>
    <cellStyle name="20% - Accent5 4 3 2 2" xfId="3388"/>
    <cellStyle name="20% - Accent5 4 3 2 2 2" xfId="3389"/>
    <cellStyle name="20% - Accent5 4 3 2 3" xfId="3390"/>
    <cellStyle name="20% - Accent5 4 3 3" xfId="3391"/>
    <cellStyle name="20% - Accent5 4 3 3 2" xfId="3392"/>
    <cellStyle name="20% - Accent5 4 3 4" xfId="3393"/>
    <cellStyle name="20% - Accent5 4 3 5" xfId="3394"/>
    <cellStyle name="20% - Accent5 4 4" xfId="3395"/>
    <cellStyle name="20% - Accent5 4 4 2" xfId="3396"/>
    <cellStyle name="20% - Accent5 4 4 2 2" xfId="3397"/>
    <cellStyle name="20% - Accent5 4 4 3" xfId="3398"/>
    <cellStyle name="20% - Accent5 4 5" xfId="3399"/>
    <cellStyle name="20% - Accent5 4 5 2" xfId="3400"/>
    <cellStyle name="20% - Accent5 4 6" xfId="3401"/>
    <cellStyle name="20% - Accent5 4 7" xfId="3402"/>
    <cellStyle name="20% - Accent5 5" xfId="371"/>
    <cellStyle name="20% - Accent5 5 2" xfId="3403"/>
    <cellStyle name="20% - Accent5 5 2 2" xfId="3404"/>
    <cellStyle name="20% - Accent5 5 2 2 2" xfId="3405"/>
    <cellStyle name="20% - Accent5 5 2 2 2 2" xfId="3406"/>
    <cellStyle name="20% - Accent5 5 2 2 3" xfId="3407"/>
    <cellStyle name="20% - Accent5 5 2 3" xfId="3408"/>
    <cellStyle name="20% - Accent5 5 2 3 2" xfId="3409"/>
    <cellStyle name="20% - Accent5 5 2 4" xfId="3410"/>
    <cellStyle name="20% - Accent5 5 2 5" xfId="3411"/>
    <cellStyle name="20% - Accent5 5 3" xfId="3412"/>
    <cellStyle name="20% - Accent5 5 3 2" xfId="3413"/>
    <cellStyle name="20% - Accent5 5 3 2 2" xfId="3414"/>
    <cellStyle name="20% - Accent5 5 3 3" xfId="3415"/>
    <cellStyle name="20% - Accent5 5 4" xfId="3416"/>
    <cellStyle name="20% - Accent5 5 4 2" xfId="3417"/>
    <cellStyle name="20% - Accent5 5 5" xfId="3418"/>
    <cellStyle name="20% - Accent5 5 6" xfId="3419"/>
    <cellStyle name="20% - Accent5 6" xfId="372"/>
    <cellStyle name="20% - Accent5 6 2" xfId="3420"/>
    <cellStyle name="20% - Accent5 6 2 2" xfId="3421"/>
    <cellStyle name="20% - Accent5 6 2 2 2" xfId="3422"/>
    <cellStyle name="20% - Accent5 6 2 3" xfId="3423"/>
    <cellStyle name="20% - Accent5 6 2 4" xfId="3424"/>
    <cellStyle name="20% - Accent5 6 2 5" xfId="3425"/>
    <cellStyle name="20% - Accent5 6 3" xfId="3426"/>
    <cellStyle name="20% - Accent5 6 3 2" xfId="3427"/>
    <cellStyle name="20% - Accent5 6 4" xfId="3428"/>
    <cellStyle name="20% - Accent5 6 5" xfId="3429"/>
    <cellStyle name="20% - Accent5 7" xfId="373"/>
    <cellStyle name="20% - Accent5 7 2" xfId="3430"/>
    <cellStyle name="20% - Accent5 7 2 2" xfId="3431"/>
    <cellStyle name="20% - Accent5 7 2 2 2" xfId="3432"/>
    <cellStyle name="20% - Accent5 7 2 3" xfId="3433"/>
    <cellStyle name="20% - Accent5 7 3" xfId="3434"/>
    <cellStyle name="20% - Accent5 7 3 2" xfId="3435"/>
    <cellStyle name="20% - Accent5 7 4" xfId="3436"/>
    <cellStyle name="20% - Accent5 7 5" xfId="3437"/>
    <cellStyle name="20% - Accent5 8" xfId="374"/>
    <cellStyle name="20% - Accent5 8 2" xfId="3438"/>
    <cellStyle name="20% - Accent5 8 2 2" xfId="3439"/>
    <cellStyle name="20% - Accent5 8 2 2 2" xfId="3440"/>
    <cellStyle name="20% - Accent5 8 2 3" xfId="3441"/>
    <cellStyle name="20% - Accent5 8 3" xfId="3442"/>
    <cellStyle name="20% - Accent5 8 3 2" xfId="3443"/>
    <cellStyle name="20% - Accent5 8 4" xfId="3444"/>
    <cellStyle name="20% - Accent5 8 5" xfId="3445"/>
    <cellStyle name="20% - Accent5 9" xfId="375"/>
    <cellStyle name="20% - Accent5 9 2" xfId="3446"/>
    <cellStyle name="20% - Accent5 9 2 2" xfId="3447"/>
    <cellStyle name="20% - Accent5 9 3" xfId="3448"/>
    <cellStyle name="20% - Accent5 9 4" xfId="3449"/>
    <cellStyle name="20% - Accent6 10" xfId="376"/>
    <cellStyle name="20% - Accent6 10 2" xfId="3450"/>
    <cellStyle name="20% - Accent6 10 2 2" xfId="3451"/>
    <cellStyle name="20% - Accent6 10 3" xfId="3452"/>
    <cellStyle name="20% - Accent6 10 4" xfId="3453"/>
    <cellStyle name="20% - Accent6 11" xfId="377"/>
    <cellStyle name="20% - Accent6 11 2" xfId="3454"/>
    <cellStyle name="20% - Accent6 11 2 2" xfId="3455"/>
    <cellStyle name="20% - Accent6 11 3" xfId="3456"/>
    <cellStyle name="20% - Accent6 11 4" xfId="3457"/>
    <cellStyle name="20% - Accent6 12" xfId="378"/>
    <cellStyle name="20% - Accent6 12 2" xfId="3458"/>
    <cellStyle name="20% - Accent6 12 3" xfId="3459"/>
    <cellStyle name="20% - Accent6 13" xfId="379"/>
    <cellStyle name="20% - Accent6 13 2" xfId="3460"/>
    <cellStyle name="20% - Accent6 14" xfId="380"/>
    <cellStyle name="20% - Accent6 15" xfId="381"/>
    <cellStyle name="20% - Accent6 15 2" xfId="382"/>
    <cellStyle name="20% - Accent6 15 3" xfId="383"/>
    <cellStyle name="20% - Accent6 15 4" xfId="384"/>
    <cellStyle name="20% - Accent6 15 5" xfId="385"/>
    <cellStyle name="20% - Accent6 16" xfId="386"/>
    <cellStyle name="20% - Accent6 16 2" xfId="387"/>
    <cellStyle name="20% - Accent6 16 3" xfId="388"/>
    <cellStyle name="20% - Accent6 16 4" xfId="389"/>
    <cellStyle name="20% - Accent6 16 5" xfId="390"/>
    <cellStyle name="20% - Accent6 17" xfId="391"/>
    <cellStyle name="20% - Accent6 17 2" xfId="392"/>
    <cellStyle name="20% - Accent6 17 3" xfId="393"/>
    <cellStyle name="20% - Accent6 17 4" xfId="394"/>
    <cellStyle name="20% - Accent6 17 5" xfId="395"/>
    <cellStyle name="20% - Accent6 18" xfId="396"/>
    <cellStyle name="20% - Accent6 19" xfId="397"/>
    <cellStyle name="20% - Accent6 2" xfId="398"/>
    <cellStyle name="20% - Accent6 2 2" xfId="399"/>
    <cellStyle name="20% - Accent6 2 2 2" xfId="400"/>
    <cellStyle name="20% - Accent6 2 2 2 2" xfId="401"/>
    <cellStyle name="20% - Accent6 2 2 2 2 2" xfId="3461"/>
    <cellStyle name="20% - Accent6 2 2 2 2 2 2" xfId="3462"/>
    <cellStyle name="20% - Accent6 2 2 2 2 2 2 2" xfId="3463"/>
    <cellStyle name="20% - Accent6 2 2 2 2 2 3" xfId="3464"/>
    <cellStyle name="20% - Accent6 2 2 2 2 3" xfId="3465"/>
    <cellStyle name="20% - Accent6 2 2 2 2 3 2" xfId="3466"/>
    <cellStyle name="20% - Accent6 2 2 2 2 4" xfId="3467"/>
    <cellStyle name="20% - Accent6 2 2 2 2 5" xfId="3468"/>
    <cellStyle name="20% - Accent6 2 2 2 3" xfId="402"/>
    <cellStyle name="20% - Accent6 2 2 2 3 2" xfId="3469"/>
    <cellStyle name="20% - Accent6 2 2 2 3 2 2" xfId="3470"/>
    <cellStyle name="20% - Accent6 2 2 2 3 3" xfId="3471"/>
    <cellStyle name="20% - Accent6 2 2 2 4" xfId="403"/>
    <cellStyle name="20% - Accent6 2 2 2 4 2" xfId="3472"/>
    <cellStyle name="20% - Accent6 2 2 2 5" xfId="404"/>
    <cellStyle name="20% - Accent6 2 2 2 6" xfId="3473"/>
    <cellStyle name="20% - Accent6 2 2 3" xfId="405"/>
    <cellStyle name="20% - Accent6 2 2 3 2" xfId="3474"/>
    <cellStyle name="20% - Accent6 2 2 3 2 2" xfId="3475"/>
    <cellStyle name="20% - Accent6 2 2 3 2 2 2" xfId="3476"/>
    <cellStyle name="20% - Accent6 2 2 3 2 3" xfId="3477"/>
    <cellStyle name="20% - Accent6 2 2 3 3" xfId="3478"/>
    <cellStyle name="20% - Accent6 2 2 3 3 2" xfId="3479"/>
    <cellStyle name="20% - Accent6 2 2 3 4" xfId="3480"/>
    <cellStyle name="20% - Accent6 2 2 3 5" xfId="3481"/>
    <cellStyle name="20% - Accent6 2 2 4" xfId="406"/>
    <cellStyle name="20% - Accent6 2 2 4 2" xfId="3482"/>
    <cellStyle name="20% - Accent6 2 2 4 2 2" xfId="3483"/>
    <cellStyle name="20% - Accent6 2 2 4 3" xfId="3484"/>
    <cellStyle name="20% - Accent6 2 2 5" xfId="407"/>
    <cellStyle name="20% - Accent6 2 2 5 2" xfId="3485"/>
    <cellStyle name="20% - Accent6 2 2 6" xfId="3486"/>
    <cellStyle name="20% - Accent6 2 2 7" xfId="3487"/>
    <cellStyle name="20% - Accent6 2 3" xfId="408"/>
    <cellStyle name="20% - Accent6 2 3 2" xfId="3488"/>
    <cellStyle name="20% - Accent6 2 3 2 2" xfId="3489"/>
    <cellStyle name="20% - Accent6 2 3 2 2 2" xfId="3490"/>
    <cellStyle name="20% - Accent6 2 3 2 2 2 2" xfId="3491"/>
    <cellStyle name="20% - Accent6 2 3 2 2 3" xfId="3492"/>
    <cellStyle name="20% - Accent6 2 3 2 3" xfId="3493"/>
    <cellStyle name="20% - Accent6 2 3 2 3 2" xfId="3494"/>
    <cellStyle name="20% - Accent6 2 3 2 4" xfId="3495"/>
    <cellStyle name="20% - Accent6 2 3 3" xfId="3496"/>
    <cellStyle name="20% - Accent6 2 3 3 2" xfId="3497"/>
    <cellStyle name="20% - Accent6 2 3 3 2 2" xfId="3498"/>
    <cellStyle name="20% - Accent6 2 3 3 3" xfId="3499"/>
    <cellStyle name="20% - Accent6 2 3 4" xfId="3500"/>
    <cellStyle name="20% - Accent6 2 3 4 2" xfId="3501"/>
    <cellStyle name="20% - Accent6 2 3 5" xfId="3502"/>
    <cellStyle name="20% - Accent6 2 3 6" xfId="3503"/>
    <cellStyle name="20% - Accent6 2 4" xfId="409"/>
    <cellStyle name="20% - Accent6 2 4 2" xfId="3504"/>
    <cellStyle name="20% - Accent6 2 4 2 2" xfId="3505"/>
    <cellStyle name="20% - Accent6 2 4 2 2 2" xfId="3506"/>
    <cellStyle name="20% - Accent6 2 4 2 3" xfId="3507"/>
    <cellStyle name="20% - Accent6 2 4 3" xfId="3508"/>
    <cellStyle name="20% - Accent6 2 4 3 2" xfId="3509"/>
    <cellStyle name="20% - Accent6 2 4 4" xfId="3510"/>
    <cellStyle name="20% - Accent6 2 4 5" xfId="3511"/>
    <cellStyle name="20% - Accent6 2 5" xfId="410"/>
    <cellStyle name="20% - Accent6 2 5 2" xfId="3512"/>
    <cellStyle name="20% - Accent6 2 5 2 2" xfId="3513"/>
    <cellStyle name="20% - Accent6 2 5 3" xfId="3514"/>
    <cellStyle name="20% - Accent6 2 5 4" xfId="3515"/>
    <cellStyle name="20% - Accent6 2 6" xfId="411"/>
    <cellStyle name="20% - Accent6 2 6 2" xfId="3516"/>
    <cellStyle name="20% - Accent6 2 6 3" xfId="3517"/>
    <cellStyle name="20% - Accent6 2 7" xfId="412"/>
    <cellStyle name="20% - Accent6 2 8" xfId="413"/>
    <cellStyle name="20% - Accent6 2 9" xfId="414"/>
    <cellStyle name="20% - Accent6 20" xfId="415"/>
    <cellStyle name="20% - Accent6 21" xfId="416"/>
    <cellStyle name="20% - Accent6 22" xfId="417"/>
    <cellStyle name="20% - Accent6 23" xfId="418"/>
    <cellStyle name="20% - Accent6 24" xfId="419"/>
    <cellStyle name="20% - Accent6 25" xfId="420"/>
    <cellStyle name="20% - Accent6 26" xfId="421"/>
    <cellStyle name="20% - Accent6 27" xfId="422"/>
    <cellStyle name="20% - Accent6 28" xfId="423"/>
    <cellStyle name="20% - Accent6 29" xfId="424"/>
    <cellStyle name="20% - Accent6 3" xfId="425"/>
    <cellStyle name="20% - Accent6 3 2" xfId="3518"/>
    <cellStyle name="20% - Accent6 3 2 2" xfId="3519"/>
    <cellStyle name="20% - Accent6 3 2 2 2" xfId="3520"/>
    <cellStyle name="20% - Accent6 3 2 2 2 2" xfId="3521"/>
    <cellStyle name="20% - Accent6 3 2 2 2 2 2" xfId="3522"/>
    <cellStyle name="20% - Accent6 3 2 2 2 2 2 2" xfId="3523"/>
    <cellStyle name="20% - Accent6 3 2 2 2 2 3" xfId="3524"/>
    <cellStyle name="20% - Accent6 3 2 2 2 3" xfId="3525"/>
    <cellStyle name="20% - Accent6 3 2 2 2 3 2" xfId="3526"/>
    <cellStyle name="20% - Accent6 3 2 2 2 4" xfId="3527"/>
    <cellStyle name="20% - Accent6 3 2 2 3" xfId="3528"/>
    <cellStyle name="20% - Accent6 3 2 2 3 2" xfId="3529"/>
    <cellStyle name="20% - Accent6 3 2 2 3 2 2" xfId="3530"/>
    <cellStyle name="20% - Accent6 3 2 2 3 3" xfId="3531"/>
    <cellStyle name="20% - Accent6 3 2 2 4" xfId="3532"/>
    <cellStyle name="20% - Accent6 3 2 2 4 2" xfId="3533"/>
    <cellStyle name="20% - Accent6 3 2 2 5" xfId="3534"/>
    <cellStyle name="20% - Accent6 3 2 2 6" xfId="3535"/>
    <cellStyle name="20% - Accent6 3 2 3" xfId="3536"/>
    <cellStyle name="20% - Accent6 3 2 3 2" xfId="3537"/>
    <cellStyle name="20% - Accent6 3 2 3 2 2" xfId="3538"/>
    <cellStyle name="20% - Accent6 3 2 3 2 2 2" xfId="3539"/>
    <cellStyle name="20% - Accent6 3 2 3 2 3" xfId="3540"/>
    <cellStyle name="20% - Accent6 3 2 3 3" xfId="3541"/>
    <cellStyle name="20% - Accent6 3 2 3 3 2" xfId="3542"/>
    <cellStyle name="20% - Accent6 3 2 3 4" xfId="3543"/>
    <cellStyle name="20% - Accent6 3 2 4" xfId="3544"/>
    <cellStyle name="20% - Accent6 3 2 4 2" xfId="3545"/>
    <cellStyle name="20% - Accent6 3 2 4 2 2" xfId="3546"/>
    <cellStyle name="20% - Accent6 3 2 4 3" xfId="3547"/>
    <cellStyle name="20% - Accent6 3 2 5" xfId="3548"/>
    <cellStyle name="20% - Accent6 3 2 5 2" xfId="3549"/>
    <cellStyle name="20% - Accent6 3 2 6" xfId="3550"/>
    <cellStyle name="20% - Accent6 3 2 7" xfId="3551"/>
    <cellStyle name="20% - Accent6 3 3" xfId="3552"/>
    <cellStyle name="20% - Accent6 3 3 2" xfId="3553"/>
    <cellStyle name="20% - Accent6 3 3 2 2" xfId="3554"/>
    <cellStyle name="20% - Accent6 3 3 2 2 2" xfId="3555"/>
    <cellStyle name="20% - Accent6 3 3 2 2 2 2" xfId="3556"/>
    <cellStyle name="20% - Accent6 3 3 2 2 3" xfId="3557"/>
    <cellStyle name="20% - Accent6 3 3 2 3" xfId="3558"/>
    <cellStyle name="20% - Accent6 3 3 2 3 2" xfId="3559"/>
    <cellStyle name="20% - Accent6 3 3 2 4" xfId="3560"/>
    <cellStyle name="20% - Accent6 3 3 3" xfId="3561"/>
    <cellStyle name="20% - Accent6 3 3 3 2" xfId="3562"/>
    <cellStyle name="20% - Accent6 3 3 3 2 2" xfId="3563"/>
    <cellStyle name="20% - Accent6 3 3 3 3" xfId="3564"/>
    <cellStyle name="20% - Accent6 3 3 4" xfId="3565"/>
    <cellStyle name="20% - Accent6 3 3 4 2" xfId="3566"/>
    <cellStyle name="20% - Accent6 3 3 5" xfId="3567"/>
    <cellStyle name="20% - Accent6 3 3 6" xfId="3568"/>
    <cellStyle name="20% - Accent6 3 4" xfId="3569"/>
    <cellStyle name="20% - Accent6 3 4 2" xfId="3570"/>
    <cellStyle name="20% - Accent6 3 4 2 2" xfId="3571"/>
    <cellStyle name="20% - Accent6 3 4 2 2 2" xfId="3572"/>
    <cellStyle name="20% - Accent6 3 4 2 3" xfId="3573"/>
    <cellStyle name="20% - Accent6 3 4 3" xfId="3574"/>
    <cellStyle name="20% - Accent6 3 4 3 2" xfId="3575"/>
    <cellStyle name="20% - Accent6 3 4 4" xfId="3576"/>
    <cellStyle name="20% - Accent6 3 4 5" xfId="3577"/>
    <cellStyle name="20% - Accent6 3 5" xfId="3578"/>
    <cellStyle name="20% - Accent6 3 5 2" xfId="3579"/>
    <cellStyle name="20% - Accent6 3 5 2 2" xfId="3580"/>
    <cellStyle name="20% - Accent6 3 5 3" xfId="3581"/>
    <cellStyle name="20% - Accent6 3 6" xfId="3582"/>
    <cellStyle name="20% - Accent6 3 6 2" xfId="3583"/>
    <cellStyle name="20% - Accent6 3 7" xfId="3584"/>
    <cellStyle name="20% - Accent6 3 8" xfId="3585"/>
    <cellStyle name="20% - Accent6 3 9" xfId="3586"/>
    <cellStyle name="20% - Accent6 30" xfId="426"/>
    <cellStyle name="20% - Accent6 31" xfId="427"/>
    <cellStyle name="20% - Accent6 32" xfId="428"/>
    <cellStyle name="20% - Accent6 33" xfId="429"/>
    <cellStyle name="20% - Accent6 34" xfId="430"/>
    <cellStyle name="20% - Accent6 35" xfId="431"/>
    <cellStyle name="20% - Accent6 4" xfId="432"/>
    <cellStyle name="20% - Accent6 4 2" xfId="3587"/>
    <cellStyle name="20% - Accent6 4 2 2" xfId="3588"/>
    <cellStyle name="20% - Accent6 4 2 2 2" xfId="3589"/>
    <cellStyle name="20% - Accent6 4 2 2 2 2" xfId="3590"/>
    <cellStyle name="20% - Accent6 4 2 2 2 2 2" xfId="3591"/>
    <cellStyle name="20% - Accent6 4 2 2 2 3" xfId="3592"/>
    <cellStyle name="20% - Accent6 4 2 2 3" xfId="3593"/>
    <cellStyle name="20% - Accent6 4 2 2 3 2" xfId="3594"/>
    <cellStyle name="20% - Accent6 4 2 2 4" xfId="3595"/>
    <cellStyle name="20% - Accent6 4 2 3" xfId="3596"/>
    <cellStyle name="20% - Accent6 4 2 3 2" xfId="3597"/>
    <cellStyle name="20% - Accent6 4 2 3 2 2" xfId="3598"/>
    <cellStyle name="20% - Accent6 4 2 3 3" xfId="3599"/>
    <cellStyle name="20% - Accent6 4 2 4" xfId="3600"/>
    <cellStyle name="20% - Accent6 4 2 4 2" xfId="3601"/>
    <cellStyle name="20% - Accent6 4 2 5" xfId="3602"/>
    <cellStyle name="20% - Accent6 4 2 6" xfId="3603"/>
    <cellStyle name="20% - Accent6 4 3" xfId="3604"/>
    <cellStyle name="20% - Accent6 4 3 2" xfId="3605"/>
    <cellStyle name="20% - Accent6 4 3 2 2" xfId="3606"/>
    <cellStyle name="20% - Accent6 4 3 2 2 2" xfId="3607"/>
    <cellStyle name="20% - Accent6 4 3 2 3" xfId="3608"/>
    <cellStyle name="20% - Accent6 4 3 3" xfId="3609"/>
    <cellStyle name="20% - Accent6 4 3 3 2" xfId="3610"/>
    <cellStyle name="20% - Accent6 4 3 4" xfId="3611"/>
    <cellStyle name="20% - Accent6 4 3 5" xfId="3612"/>
    <cellStyle name="20% - Accent6 4 4" xfId="3613"/>
    <cellStyle name="20% - Accent6 4 4 2" xfId="3614"/>
    <cellStyle name="20% - Accent6 4 4 2 2" xfId="3615"/>
    <cellStyle name="20% - Accent6 4 4 3" xfId="3616"/>
    <cellStyle name="20% - Accent6 4 5" xfId="3617"/>
    <cellStyle name="20% - Accent6 4 5 2" xfId="3618"/>
    <cellStyle name="20% - Accent6 4 6" xfId="3619"/>
    <cellStyle name="20% - Accent6 4 7" xfId="3620"/>
    <cellStyle name="20% - Accent6 5" xfId="433"/>
    <cellStyle name="20% - Accent6 5 2" xfId="3621"/>
    <cellStyle name="20% - Accent6 5 2 2" xfId="3622"/>
    <cellStyle name="20% - Accent6 5 2 2 2" xfId="3623"/>
    <cellStyle name="20% - Accent6 5 2 2 2 2" xfId="3624"/>
    <cellStyle name="20% - Accent6 5 2 2 3" xfId="3625"/>
    <cellStyle name="20% - Accent6 5 2 3" xfId="3626"/>
    <cellStyle name="20% - Accent6 5 2 3 2" xfId="3627"/>
    <cellStyle name="20% - Accent6 5 2 4" xfId="3628"/>
    <cellStyle name="20% - Accent6 5 2 5" xfId="3629"/>
    <cellStyle name="20% - Accent6 5 3" xfId="3630"/>
    <cellStyle name="20% - Accent6 5 3 2" xfId="3631"/>
    <cellStyle name="20% - Accent6 5 3 2 2" xfId="3632"/>
    <cellStyle name="20% - Accent6 5 3 3" xfId="3633"/>
    <cellStyle name="20% - Accent6 5 4" xfId="3634"/>
    <cellStyle name="20% - Accent6 5 4 2" xfId="3635"/>
    <cellStyle name="20% - Accent6 5 5" xfId="3636"/>
    <cellStyle name="20% - Accent6 5 6" xfId="3637"/>
    <cellStyle name="20% - Accent6 6" xfId="434"/>
    <cellStyle name="20% - Accent6 6 2" xfId="3638"/>
    <cellStyle name="20% - Accent6 6 2 2" xfId="3639"/>
    <cellStyle name="20% - Accent6 6 2 2 2" xfId="3640"/>
    <cellStyle name="20% - Accent6 6 2 3" xfId="3641"/>
    <cellStyle name="20% - Accent6 6 2 4" xfId="3642"/>
    <cellStyle name="20% - Accent6 6 2 5" xfId="3643"/>
    <cellStyle name="20% - Accent6 6 3" xfId="3644"/>
    <cellStyle name="20% - Accent6 6 3 2" xfId="3645"/>
    <cellStyle name="20% - Accent6 6 4" xfId="3646"/>
    <cellStyle name="20% - Accent6 6 5" xfId="3647"/>
    <cellStyle name="20% - Accent6 7" xfId="435"/>
    <cellStyle name="20% - Accent6 7 2" xfId="3648"/>
    <cellStyle name="20% - Accent6 7 2 2" xfId="3649"/>
    <cellStyle name="20% - Accent6 7 2 2 2" xfId="3650"/>
    <cellStyle name="20% - Accent6 7 2 3" xfId="3651"/>
    <cellStyle name="20% - Accent6 7 3" xfId="3652"/>
    <cellStyle name="20% - Accent6 7 3 2" xfId="3653"/>
    <cellStyle name="20% - Accent6 7 4" xfId="3654"/>
    <cellStyle name="20% - Accent6 7 5" xfId="3655"/>
    <cellStyle name="20% - Accent6 8" xfId="436"/>
    <cellStyle name="20% - Accent6 8 2" xfId="3656"/>
    <cellStyle name="20% - Accent6 8 2 2" xfId="3657"/>
    <cellStyle name="20% - Accent6 8 2 2 2" xfId="3658"/>
    <cellStyle name="20% - Accent6 8 2 3" xfId="3659"/>
    <cellStyle name="20% - Accent6 8 3" xfId="3660"/>
    <cellStyle name="20% - Accent6 8 3 2" xfId="3661"/>
    <cellStyle name="20% - Accent6 8 4" xfId="3662"/>
    <cellStyle name="20% - Accent6 8 5" xfId="3663"/>
    <cellStyle name="20% - Accent6 9" xfId="437"/>
    <cellStyle name="20% - Accent6 9 2" xfId="3664"/>
    <cellStyle name="20% - Accent6 9 2 2" xfId="3665"/>
    <cellStyle name="20% - Accent6 9 3" xfId="3666"/>
    <cellStyle name="20% - Accent6 9 4" xfId="3667"/>
    <cellStyle name="40% - Accent1 10" xfId="438"/>
    <cellStyle name="40% - Accent1 10 2" xfId="3668"/>
    <cellStyle name="40% - Accent1 10 2 2" xfId="3669"/>
    <cellStyle name="40% - Accent1 10 3" xfId="3670"/>
    <cellStyle name="40% - Accent1 10 4" xfId="3671"/>
    <cellStyle name="40% - Accent1 11" xfId="439"/>
    <cellStyle name="40% - Accent1 11 2" xfId="3672"/>
    <cellStyle name="40% - Accent1 11 2 2" xfId="3673"/>
    <cellStyle name="40% - Accent1 11 3" xfId="3674"/>
    <cellStyle name="40% - Accent1 11 4" xfId="3675"/>
    <cellStyle name="40% - Accent1 12" xfId="440"/>
    <cellStyle name="40% - Accent1 12 2" xfId="3676"/>
    <cellStyle name="40% - Accent1 12 3" xfId="3677"/>
    <cellStyle name="40% - Accent1 13" xfId="441"/>
    <cellStyle name="40% - Accent1 13 2" xfId="3678"/>
    <cellStyle name="40% - Accent1 14" xfId="442"/>
    <cellStyle name="40% - Accent1 15" xfId="443"/>
    <cellStyle name="40% - Accent1 15 2" xfId="444"/>
    <cellStyle name="40% - Accent1 15 3" xfId="445"/>
    <cellStyle name="40% - Accent1 15 4" xfId="446"/>
    <cellStyle name="40% - Accent1 15 5" xfId="447"/>
    <cellStyle name="40% - Accent1 16" xfId="448"/>
    <cellStyle name="40% - Accent1 16 2" xfId="449"/>
    <cellStyle name="40% - Accent1 16 3" xfId="450"/>
    <cellStyle name="40% - Accent1 16 4" xfId="451"/>
    <cellStyle name="40% - Accent1 16 5" xfId="452"/>
    <cellStyle name="40% - Accent1 17" xfId="453"/>
    <cellStyle name="40% - Accent1 17 2" xfId="454"/>
    <cellStyle name="40% - Accent1 17 3" xfId="455"/>
    <cellStyle name="40% - Accent1 17 4" xfId="456"/>
    <cellStyle name="40% - Accent1 17 5" xfId="457"/>
    <cellStyle name="40% - Accent1 18" xfId="458"/>
    <cellStyle name="40% - Accent1 19" xfId="459"/>
    <cellStyle name="40% - Accent1 2" xfId="460"/>
    <cellStyle name="40% - Accent1 2 2" xfId="461"/>
    <cellStyle name="40% - Accent1 2 2 2" xfId="462"/>
    <cellStyle name="40% - Accent1 2 2 2 2" xfId="463"/>
    <cellStyle name="40% - Accent1 2 2 2 2 2" xfId="3679"/>
    <cellStyle name="40% - Accent1 2 2 2 2 2 2" xfId="3680"/>
    <cellStyle name="40% - Accent1 2 2 2 2 2 2 2" xfId="3681"/>
    <cellStyle name="40% - Accent1 2 2 2 2 2 3" xfId="3682"/>
    <cellStyle name="40% - Accent1 2 2 2 2 3" xfId="3683"/>
    <cellStyle name="40% - Accent1 2 2 2 2 3 2" xfId="3684"/>
    <cellStyle name="40% - Accent1 2 2 2 2 4" xfId="3685"/>
    <cellStyle name="40% - Accent1 2 2 2 2 5" xfId="3686"/>
    <cellStyle name="40% - Accent1 2 2 2 3" xfId="464"/>
    <cellStyle name="40% - Accent1 2 2 2 3 2" xfId="3687"/>
    <cellStyle name="40% - Accent1 2 2 2 3 2 2" xfId="3688"/>
    <cellStyle name="40% - Accent1 2 2 2 3 3" xfId="3689"/>
    <cellStyle name="40% - Accent1 2 2 2 4" xfId="465"/>
    <cellStyle name="40% - Accent1 2 2 2 4 2" xfId="3690"/>
    <cellStyle name="40% - Accent1 2 2 2 5" xfId="466"/>
    <cellStyle name="40% - Accent1 2 2 2 6" xfId="3691"/>
    <cellStyle name="40% - Accent1 2 2 3" xfId="467"/>
    <cellStyle name="40% - Accent1 2 2 3 2" xfId="3692"/>
    <cellStyle name="40% - Accent1 2 2 3 2 2" xfId="3693"/>
    <cellStyle name="40% - Accent1 2 2 3 2 2 2" xfId="3694"/>
    <cellStyle name="40% - Accent1 2 2 3 2 3" xfId="3695"/>
    <cellStyle name="40% - Accent1 2 2 3 3" xfId="3696"/>
    <cellStyle name="40% - Accent1 2 2 3 3 2" xfId="3697"/>
    <cellStyle name="40% - Accent1 2 2 3 4" xfId="3698"/>
    <cellStyle name="40% - Accent1 2 2 3 5" xfId="3699"/>
    <cellStyle name="40% - Accent1 2 2 4" xfId="468"/>
    <cellStyle name="40% - Accent1 2 2 4 2" xfId="3700"/>
    <cellStyle name="40% - Accent1 2 2 4 2 2" xfId="3701"/>
    <cellStyle name="40% - Accent1 2 2 4 3" xfId="3702"/>
    <cellStyle name="40% - Accent1 2 2 5" xfId="469"/>
    <cellStyle name="40% - Accent1 2 2 5 2" xfId="3703"/>
    <cellStyle name="40% - Accent1 2 2 6" xfId="3704"/>
    <cellStyle name="40% - Accent1 2 2 7" xfId="3705"/>
    <cellStyle name="40% - Accent1 2 3" xfId="470"/>
    <cellStyle name="40% - Accent1 2 3 2" xfId="3706"/>
    <cellStyle name="40% - Accent1 2 3 2 2" xfId="3707"/>
    <cellStyle name="40% - Accent1 2 3 2 2 2" xfId="3708"/>
    <cellStyle name="40% - Accent1 2 3 2 2 2 2" xfId="3709"/>
    <cellStyle name="40% - Accent1 2 3 2 2 3" xfId="3710"/>
    <cellStyle name="40% - Accent1 2 3 2 3" xfId="3711"/>
    <cellStyle name="40% - Accent1 2 3 2 3 2" xfId="3712"/>
    <cellStyle name="40% - Accent1 2 3 2 4" xfId="3713"/>
    <cellStyle name="40% - Accent1 2 3 3" xfId="3714"/>
    <cellStyle name="40% - Accent1 2 3 3 2" xfId="3715"/>
    <cellStyle name="40% - Accent1 2 3 3 2 2" xfId="3716"/>
    <cellStyle name="40% - Accent1 2 3 3 3" xfId="3717"/>
    <cellStyle name="40% - Accent1 2 3 4" xfId="3718"/>
    <cellStyle name="40% - Accent1 2 3 4 2" xfId="3719"/>
    <cellStyle name="40% - Accent1 2 3 5" xfId="3720"/>
    <cellStyle name="40% - Accent1 2 3 6" xfId="3721"/>
    <cellStyle name="40% - Accent1 2 4" xfId="471"/>
    <cellStyle name="40% - Accent1 2 4 2" xfId="3722"/>
    <cellStyle name="40% - Accent1 2 4 2 2" xfId="3723"/>
    <cellStyle name="40% - Accent1 2 4 2 2 2" xfId="3724"/>
    <cellStyle name="40% - Accent1 2 4 2 3" xfId="3725"/>
    <cellStyle name="40% - Accent1 2 4 3" xfId="3726"/>
    <cellStyle name="40% - Accent1 2 4 3 2" xfId="3727"/>
    <cellStyle name="40% - Accent1 2 4 4" xfId="3728"/>
    <cellStyle name="40% - Accent1 2 4 5" xfId="3729"/>
    <cellStyle name="40% - Accent1 2 5" xfId="472"/>
    <cellStyle name="40% - Accent1 2 5 2" xfId="3730"/>
    <cellStyle name="40% - Accent1 2 5 2 2" xfId="3731"/>
    <cellStyle name="40% - Accent1 2 5 3" xfId="3732"/>
    <cellStyle name="40% - Accent1 2 5 4" xfId="3733"/>
    <cellStyle name="40% - Accent1 2 6" xfId="473"/>
    <cellStyle name="40% - Accent1 2 6 2" xfId="3734"/>
    <cellStyle name="40% - Accent1 2 6 3" xfId="3735"/>
    <cellStyle name="40% - Accent1 2 7" xfId="474"/>
    <cellStyle name="40% - Accent1 2 8" xfId="475"/>
    <cellStyle name="40% - Accent1 2 9" xfId="476"/>
    <cellStyle name="40% - Accent1 20" xfId="477"/>
    <cellStyle name="40% - Accent1 21" xfId="478"/>
    <cellStyle name="40% - Accent1 22" xfId="479"/>
    <cellStyle name="40% - Accent1 23" xfId="480"/>
    <cellStyle name="40% - Accent1 24" xfId="481"/>
    <cellStyle name="40% - Accent1 25" xfId="482"/>
    <cellStyle name="40% - Accent1 26" xfId="483"/>
    <cellStyle name="40% - Accent1 27" xfId="484"/>
    <cellStyle name="40% - Accent1 28" xfId="485"/>
    <cellStyle name="40% - Accent1 29" xfId="486"/>
    <cellStyle name="40% - Accent1 3" xfId="487"/>
    <cellStyle name="40% - Accent1 3 2" xfId="3736"/>
    <cellStyle name="40% - Accent1 3 2 2" xfId="3737"/>
    <cellStyle name="40% - Accent1 3 2 2 2" xfId="3738"/>
    <cellStyle name="40% - Accent1 3 2 2 2 2" xfId="3739"/>
    <cellStyle name="40% - Accent1 3 2 2 2 2 2" xfId="3740"/>
    <cellStyle name="40% - Accent1 3 2 2 2 2 2 2" xfId="3741"/>
    <cellStyle name="40% - Accent1 3 2 2 2 2 3" xfId="3742"/>
    <cellStyle name="40% - Accent1 3 2 2 2 3" xfId="3743"/>
    <cellStyle name="40% - Accent1 3 2 2 2 3 2" xfId="3744"/>
    <cellStyle name="40% - Accent1 3 2 2 2 4" xfId="3745"/>
    <cellStyle name="40% - Accent1 3 2 2 3" xfId="3746"/>
    <cellStyle name="40% - Accent1 3 2 2 3 2" xfId="3747"/>
    <cellStyle name="40% - Accent1 3 2 2 3 2 2" xfId="3748"/>
    <cellStyle name="40% - Accent1 3 2 2 3 3" xfId="3749"/>
    <cellStyle name="40% - Accent1 3 2 2 4" xfId="3750"/>
    <cellStyle name="40% - Accent1 3 2 2 4 2" xfId="3751"/>
    <cellStyle name="40% - Accent1 3 2 2 5" xfId="3752"/>
    <cellStyle name="40% - Accent1 3 2 2 6" xfId="3753"/>
    <cellStyle name="40% - Accent1 3 2 3" xfId="3754"/>
    <cellStyle name="40% - Accent1 3 2 3 2" xfId="3755"/>
    <cellStyle name="40% - Accent1 3 2 3 2 2" xfId="3756"/>
    <cellStyle name="40% - Accent1 3 2 3 2 2 2" xfId="3757"/>
    <cellStyle name="40% - Accent1 3 2 3 2 3" xfId="3758"/>
    <cellStyle name="40% - Accent1 3 2 3 3" xfId="3759"/>
    <cellStyle name="40% - Accent1 3 2 3 3 2" xfId="3760"/>
    <cellStyle name="40% - Accent1 3 2 3 4" xfId="3761"/>
    <cellStyle name="40% - Accent1 3 2 4" xfId="3762"/>
    <cellStyle name="40% - Accent1 3 2 4 2" xfId="3763"/>
    <cellStyle name="40% - Accent1 3 2 4 2 2" xfId="3764"/>
    <cellStyle name="40% - Accent1 3 2 4 3" xfId="3765"/>
    <cellStyle name="40% - Accent1 3 2 5" xfId="3766"/>
    <cellStyle name="40% - Accent1 3 2 5 2" xfId="3767"/>
    <cellStyle name="40% - Accent1 3 2 6" xfId="3768"/>
    <cellStyle name="40% - Accent1 3 2 7" xfId="3769"/>
    <cellStyle name="40% - Accent1 3 3" xfId="3770"/>
    <cellStyle name="40% - Accent1 3 3 2" xfId="3771"/>
    <cellStyle name="40% - Accent1 3 3 2 2" xfId="3772"/>
    <cellStyle name="40% - Accent1 3 3 2 2 2" xfId="3773"/>
    <cellStyle name="40% - Accent1 3 3 2 2 2 2" xfId="3774"/>
    <cellStyle name="40% - Accent1 3 3 2 2 3" xfId="3775"/>
    <cellStyle name="40% - Accent1 3 3 2 3" xfId="3776"/>
    <cellStyle name="40% - Accent1 3 3 2 3 2" xfId="3777"/>
    <cellStyle name="40% - Accent1 3 3 2 4" xfId="3778"/>
    <cellStyle name="40% - Accent1 3 3 3" xfId="3779"/>
    <cellStyle name="40% - Accent1 3 3 3 2" xfId="3780"/>
    <cellStyle name="40% - Accent1 3 3 3 2 2" xfId="3781"/>
    <cellStyle name="40% - Accent1 3 3 3 3" xfId="3782"/>
    <cellStyle name="40% - Accent1 3 3 4" xfId="3783"/>
    <cellStyle name="40% - Accent1 3 3 4 2" xfId="3784"/>
    <cellStyle name="40% - Accent1 3 3 5" xfId="3785"/>
    <cellStyle name="40% - Accent1 3 3 6" xfId="3786"/>
    <cellStyle name="40% - Accent1 3 4" xfId="3787"/>
    <cellStyle name="40% - Accent1 3 4 2" xfId="3788"/>
    <cellStyle name="40% - Accent1 3 4 2 2" xfId="3789"/>
    <cellStyle name="40% - Accent1 3 4 2 2 2" xfId="3790"/>
    <cellStyle name="40% - Accent1 3 4 2 3" xfId="3791"/>
    <cellStyle name="40% - Accent1 3 4 3" xfId="3792"/>
    <cellStyle name="40% - Accent1 3 4 3 2" xfId="3793"/>
    <cellStyle name="40% - Accent1 3 4 4" xfId="3794"/>
    <cellStyle name="40% - Accent1 3 4 5" xfId="3795"/>
    <cellStyle name="40% - Accent1 3 5" xfId="3796"/>
    <cellStyle name="40% - Accent1 3 5 2" xfId="3797"/>
    <cellStyle name="40% - Accent1 3 5 2 2" xfId="3798"/>
    <cellStyle name="40% - Accent1 3 5 3" xfId="3799"/>
    <cellStyle name="40% - Accent1 3 6" xfId="3800"/>
    <cellStyle name="40% - Accent1 3 6 2" xfId="3801"/>
    <cellStyle name="40% - Accent1 3 7" xfId="3802"/>
    <cellStyle name="40% - Accent1 3 8" xfId="3803"/>
    <cellStyle name="40% - Accent1 3 9" xfId="3804"/>
    <cellStyle name="40% - Accent1 30" xfId="488"/>
    <cellStyle name="40% - Accent1 31" xfId="489"/>
    <cellStyle name="40% - Accent1 32" xfId="490"/>
    <cellStyle name="40% - Accent1 33" xfId="491"/>
    <cellStyle name="40% - Accent1 34" xfId="492"/>
    <cellStyle name="40% - Accent1 35" xfId="493"/>
    <cellStyle name="40% - Accent1 4" xfId="494"/>
    <cellStyle name="40% - Accent1 4 2" xfId="3805"/>
    <cellStyle name="40% - Accent1 4 2 2" xfId="3806"/>
    <cellStyle name="40% - Accent1 4 2 2 2" xfId="3807"/>
    <cellStyle name="40% - Accent1 4 2 2 2 2" xfId="3808"/>
    <cellStyle name="40% - Accent1 4 2 2 2 2 2" xfId="3809"/>
    <cellStyle name="40% - Accent1 4 2 2 2 3" xfId="3810"/>
    <cellStyle name="40% - Accent1 4 2 2 3" xfId="3811"/>
    <cellStyle name="40% - Accent1 4 2 2 3 2" xfId="3812"/>
    <cellStyle name="40% - Accent1 4 2 2 4" xfId="3813"/>
    <cellStyle name="40% - Accent1 4 2 3" xfId="3814"/>
    <cellStyle name="40% - Accent1 4 2 3 2" xfId="3815"/>
    <cellStyle name="40% - Accent1 4 2 3 2 2" xfId="3816"/>
    <cellStyle name="40% - Accent1 4 2 3 3" xfId="3817"/>
    <cellStyle name="40% - Accent1 4 2 4" xfId="3818"/>
    <cellStyle name="40% - Accent1 4 2 4 2" xfId="3819"/>
    <cellStyle name="40% - Accent1 4 2 5" xfId="3820"/>
    <cellStyle name="40% - Accent1 4 2 6" xfId="3821"/>
    <cellStyle name="40% - Accent1 4 3" xfId="3822"/>
    <cellStyle name="40% - Accent1 4 3 2" xfId="3823"/>
    <cellStyle name="40% - Accent1 4 3 2 2" xfId="3824"/>
    <cellStyle name="40% - Accent1 4 3 2 2 2" xfId="3825"/>
    <cellStyle name="40% - Accent1 4 3 2 3" xfId="3826"/>
    <cellStyle name="40% - Accent1 4 3 3" xfId="3827"/>
    <cellStyle name="40% - Accent1 4 3 3 2" xfId="3828"/>
    <cellStyle name="40% - Accent1 4 3 4" xfId="3829"/>
    <cellStyle name="40% - Accent1 4 3 5" xfId="3830"/>
    <cellStyle name="40% - Accent1 4 4" xfId="3831"/>
    <cellStyle name="40% - Accent1 4 4 2" xfId="3832"/>
    <cellStyle name="40% - Accent1 4 4 2 2" xfId="3833"/>
    <cellStyle name="40% - Accent1 4 4 3" xfId="3834"/>
    <cellStyle name="40% - Accent1 4 5" xfId="3835"/>
    <cellStyle name="40% - Accent1 4 5 2" xfId="3836"/>
    <cellStyle name="40% - Accent1 4 6" xfId="3837"/>
    <cellStyle name="40% - Accent1 4 7" xfId="3838"/>
    <cellStyle name="40% - Accent1 5" xfId="495"/>
    <cellStyle name="40% - Accent1 5 2" xfId="3839"/>
    <cellStyle name="40% - Accent1 5 2 2" xfId="3840"/>
    <cellStyle name="40% - Accent1 5 2 2 2" xfId="3841"/>
    <cellStyle name="40% - Accent1 5 2 2 2 2" xfId="3842"/>
    <cellStyle name="40% - Accent1 5 2 2 3" xfId="3843"/>
    <cellStyle name="40% - Accent1 5 2 3" xfId="3844"/>
    <cellStyle name="40% - Accent1 5 2 3 2" xfId="3845"/>
    <cellStyle name="40% - Accent1 5 2 4" xfId="3846"/>
    <cellStyle name="40% - Accent1 5 2 5" xfId="3847"/>
    <cellStyle name="40% - Accent1 5 3" xfId="3848"/>
    <cellStyle name="40% - Accent1 5 3 2" xfId="3849"/>
    <cellStyle name="40% - Accent1 5 3 2 2" xfId="3850"/>
    <cellStyle name="40% - Accent1 5 3 3" xfId="3851"/>
    <cellStyle name="40% - Accent1 5 4" xfId="3852"/>
    <cellStyle name="40% - Accent1 5 4 2" xfId="3853"/>
    <cellStyle name="40% - Accent1 5 5" xfId="3854"/>
    <cellStyle name="40% - Accent1 5 6" xfId="3855"/>
    <cellStyle name="40% - Accent1 6" xfId="496"/>
    <cellStyle name="40% - Accent1 6 2" xfId="3856"/>
    <cellStyle name="40% - Accent1 6 2 2" xfId="3857"/>
    <cellStyle name="40% - Accent1 6 2 2 2" xfId="3858"/>
    <cellStyle name="40% - Accent1 6 2 3" xfId="3859"/>
    <cellStyle name="40% - Accent1 6 2 4" xfId="3860"/>
    <cellStyle name="40% - Accent1 6 2 5" xfId="3861"/>
    <cellStyle name="40% - Accent1 6 3" xfId="3862"/>
    <cellStyle name="40% - Accent1 6 3 2" xfId="3863"/>
    <cellStyle name="40% - Accent1 6 4" xfId="3864"/>
    <cellStyle name="40% - Accent1 6 5" xfId="3865"/>
    <cellStyle name="40% - Accent1 7" xfId="497"/>
    <cellStyle name="40% - Accent1 7 2" xfId="3866"/>
    <cellStyle name="40% - Accent1 7 2 2" xfId="3867"/>
    <cellStyle name="40% - Accent1 7 2 2 2" xfId="3868"/>
    <cellStyle name="40% - Accent1 7 2 3" xfId="3869"/>
    <cellStyle name="40% - Accent1 7 3" xfId="3870"/>
    <cellStyle name="40% - Accent1 7 3 2" xfId="3871"/>
    <cellStyle name="40% - Accent1 7 4" xfId="3872"/>
    <cellStyle name="40% - Accent1 7 5" xfId="3873"/>
    <cellStyle name="40% - Accent1 8" xfId="498"/>
    <cellStyle name="40% - Accent1 8 2" xfId="3874"/>
    <cellStyle name="40% - Accent1 8 2 2" xfId="3875"/>
    <cellStyle name="40% - Accent1 8 2 2 2" xfId="3876"/>
    <cellStyle name="40% - Accent1 8 2 3" xfId="3877"/>
    <cellStyle name="40% - Accent1 8 3" xfId="3878"/>
    <cellStyle name="40% - Accent1 8 3 2" xfId="3879"/>
    <cellStyle name="40% - Accent1 8 4" xfId="3880"/>
    <cellStyle name="40% - Accent1 8 5" xfId="3881"/>
    <cellStyle name="40% - Accent1 9" xfId="499"/>
    <cellStyle name="40% - Accent1 9 2" xfId="3882"/>
    <cellStyle name="40% - Accent1 9 2 2" xfId="3883"/>
    <cellStyle name="40% - Accent1 9 3" xfId="3884"/>
    <cellStyle name="40% - Accent1 9 4" xfId="3885"/>
    <cellStyle name="40% - Accent2 10" xfId="500"/>
    <cellStyle name="40% - Accent2 10 2" xfId="3886"/>
    <cellStyle name="40% - Accent2 10 2 2" xfId="3887"/>
    <cellStyle name="40% - Accent2 10 3" xfId="3888"/>
    <cellStyle name="40% - Accent2 10 4" xfId="3889"/>
    <cellStyle name="40% - Accent2 11" xfId="501"/>
    <cellStyle name="40% - Accent2 11 2" xfId="3890"/>
    <cellStyle name="40% - Accent2 11 2 2" xfId="3891"/>
    <cellStyle name="40% - Accent2 11 3" xfId="3892"/>
    <cellStyle name="40% - Accent2 11 4" xfId="3893"/>
    <cellStyle name="40% - Accent2 12" xfId="502"/>
    <cellStyle name="40% - Accent2 12 2" xfId="3894"/>
    <cellStyle name="40% - Accent2 12 3" xfId="3895"/>
    <cellStyle name="40% - Accent2 13" xfId="503"/>
    <cellStyle name="40% - Accent2 13 2" xfId="3896"/>
    <cellStyle name="40% - Accent2 14" xfId="504"/>
    <cellStyle name="40% - Accent2 15" xfId="505"/>
    <cellStyle name="40% - Accent2 15 2" xfId="506"/>
    <cellStyle name="40% - Accent2 15 3" xfId="507"/>
    <cellStyle name="40% - Accent2 15 4" xfId="508"/>
    <cellStyle name="40% - Accent2 15 5" xfId="509"/>
    <cellStyle name="40% - Accent2 16" xfId="510"/>
    <cellStyle name="40% - Accent2 16 2" xfId="511"/>
    <cellStyle name="40% - Accent2 16 3" xfId="512"/>
    <cellStyle name="40% - Accent2 16 4" xfId="513"/>
    <cellStyle name="40% - Accent2 16 5" xfId="514"/>
    <cellStyle name="40% - Accent2 17" xfId="515"/>
    <cellStyle name="40% - Accent2 17 2" xfId="516"/>
    <cellStyle name="40% - Accent2 17 3" xfId="517"/>
    <cellStyle name="40% - Accent2 17 4" xfId="518"/>
    <cellStyle name="40% - Accent2 17 5" xfId="519"/>
    <cellStyle name="40% - Accent2 18" xfId="520"/>
    <cellStyle name="40% - Accent2 19" xfId="521"/>
    <cellStyle name="40% - Accent2 2" xfId="522"/>
    <cellStyle name="40% - Accent2 2 2" xfId="523"/>
    <cellStyle name="40% - Accent2 2 2 2" xfId="524"/>
    <cellStyle name="40% - Accent2 2 2 2 2" xfId="525"/>
    <cellStyle name="40% - Accent2 2 2 2 2 2" xfId="3897"/>
    <cellStyle name="40% - Accent2 2 2 2 2 2 2" xfId="3898"/>
    <cellStyle name="40% - Accent2 2 2 2 2 2 2 2" xfId="3899"/>
    <cellStyle name="40% - Accent2 2 2 2 2 2 3" xfId="3900"/>
    <cellStyle name="40% - Accent2 2 2 2 2 3" xfId="3901"/>
    <cellStyle name="40% - Accent2 2 2 2 2 3 2" xfId="3902"/>
    <cellStyle name="40% - Accent2 2 2 2 2 4" xfId="3903"/>
    <cellStyle name="40% - Accent2 2 2 2 2 5" xfId="3904"/>
    <cellStyle name="40% - Accent2 2 2 2 3" xfId="526"/>
    <cellStyle name="40% - Accent2 2 2 2 3 2" xfId="3905"/>
    <cellStyle name="40% - Accent2 2 2 2 3 2 2" xfId="3906"/>
    <cellStyle name="40% - Accent2 2 2 2 3 3" xfId="3907"/>
    <cellStyle name="40% - Accent2 2 2 2 4" xfId="527"/>
    <cellStyle name="40% - Accent2 2 2 2 4 2" xfId="3908"/>
    <cellStyle name="40% - Accent2 2 2 2 5" xfId="528"/>
    <cellStyle name="40% - Accent2 2 2 2 6" xfId="3909"/>
    <cellStyle name="40% - Accent2 2 2 3" xfId="529"/>
    <cellStyle name="40% - Accent2 2 2 3 2" xfId="3910"/>
    <cellStyle name="40% - Accent2 2 2 3 2 2" xfId="3911"/>
    <cellStyle name="40% - Accent2 2 2 3 2 2 2" xfId="3912"/>
    <cellStyle name="40% - Accent2 2 2 3 2 3" xfId="3913"/>
    <cellStyle name="40% - Accent2 2 2 3 3" xfId="3914"/>
    <cellStyle name="40% - Accent2 2 2 3 3 2" xfId="3915"/>
    <cellStyle name="40% - Accent2 2 2 3 4" xfId="3916"/>
    <cellStyle name="40% - Accent2 2 2 3 5" xfId="3917"/>
    <cellStyle name="40% - Accent2 2 2 4" xfId="530"/>
    <cellStyle name="40% - Accent2 2 2 4 2" xfId="3918"/>
    <cellStyle name="40% - Accent2 2 2 4 2 2" xfId="3919"/>
    <cellStyle name="40% - Accent2 2 2 4 3" xfId="3920"/>
    <cellStyle name="40% - Accent2 2 2 5" xfId="531"/>
    <cellStyle name="40% - Accent2 2 2 5 2" xfId="3921"/>
    <cellStyle name="40% - Accent2 2 2 6" xfId="3922"/>
    <cellStyle name="40% - Accent2 2 2 7" xfId="3923"/>
    <cellStyle name="40% - Accent2 2 3" xfId="532"/>
    <cellStyle name="40% - Accent2 2 3 2" xfId="3924"/>
    <cellStyle name="40% - Accent2 2 3 2 2" xfId="3925"/>
    <cellStyle name="40% - Accent2 2 3 2 2 2" xfId="3926"/>
    <cellStyle name="40% - Accent2 2 3 2 2 2 2" xfId="3927"/>
    <cellStyle name="40% - Accent2 2 3 2 2 3" xfId="3928"/>
    <cellStyle name="40% - Accent2 2 3 2 3" xfId="3929"/>
    <cellStyle name="40% - Accent2 2 3 2 3 2" xfId="3930"/>
    <cellStyle name="40% - Accent2 2 3 2 4" xfId="3931"/>
    <cellStyle name="40% - Accent2 2 3 3" xfId="3932"/>
    <cellStyle name="40% - Accent2 2 3 3 2" xfId="3933"/>
    <cellStyle name="40% - Accent2 2 3 3 2 2" xfId="3934"/>
    <cellStyle name="40% - Accent2 2 3 3 3" xfId="3935"/>
    <cellStyle name="40% - Accent2 2 3 4" xfId="3936"/>
    <cellStyle name="40% - Accent2 2 3 4 2" xfId="3937"/>
    <cellStyle name="40% - Accent2 2 3 5" xfId="3938"/>
    <cellStyle name="40% - Accent2 2 3 6" xfId="3939"/>
    <cellStyle name="40% - Accent2 2 4" xfId="533"/>
    <cellStyle name="40% - Accent2 2 4 2" xfId="3940"/>
    <cellStyle name="40% - Accent2 2 4 2 2" xfId="3941"/>
    <cellStyle name="40% - Accent2 2 4 2 2 2" xfId="3942"/>
    <cellStyle name="40% - Accent2 2 4 2 3" xfId="3943"/>
    <cellStyle name="40% - Accent2 2 4 3" xfId="3944"/>
    <cellStyle name="40% - Accent2 2 4 3 2" xfId="3945"/>
    <cellStyle name="40% - Accent2 2 4 4" xfId="3946"/>
    <cellStyle name="40% - Accent2 2 4 5" xfId="3947"/>
    <cellStyle name="40% - Accent2 2 5" xfId="534"/>
    <cellStyle name="40% - Accent2 2 5 2" xfId="3948"/>
    <cellStyle name="40% - Accent2 2 5 2 2" xfId="3949"/>
    <cellStyle name="40% - Accent2 2 5 3" xfId="3950"/>
    <cellStyle name="40% - Accent2 2 5 4" xfId="3951"/>
    <cellStyle name="40% - Accent2 2 6" xfId="535"/>
    <cellStyle name="40% - Accent2 2 6 2" xfId="3952"/>
    <cellStyle name="40% - Accent2 2 6 3" xfId="3953"/>
    <cellStyle name="40% - Accent2 2 7" xfId="536"/>
    <cellStyle name="40% - Accent2 2 8" xfId="537"/>
    <cellStyle name="40% - Accent2 2 9" xfId="538"/>
    <cellStyle name="40% - Accent2 20" xfId="539"/>
    <cellStyle name="40% - Accent2 21" xfId="540"/>
    <cellStyle name="40% - Accent2 22" xfId="541"/>
    <cellStyle name="40% - Accent2 23" xfId="542"/>
    <cellStyle name="40% - Accent2 24" xfId="543"/>
    <cellStyle name="40% - Accent2 25" xfId="544"/>
    <cellStyle name="40% - Accent2 26" xfId="545"/>
    <cellStyle name="40% - Accent2 27" xfId="546"/>
    <cellStyle name="40% - Accent2 28" xfId="547"/>
    <cellStyle name="40% - Accent2 29" xfId="548"/>
    <cellStyle name="40% - Accent2 3" xfId="549"/>
    <cellStyle name="40% - Accent2 3 2" xfId="3954"/>
    <cellStyle name="40% - Accent2 3 2 2" xfId="3955"/>
    <cellStyle name="40% - Accent2 3 2 2 2" xfId="3956"/>
    <cellStyle name="40% - Accent2 3 2 2 2 2" xfId="3957"/>
    <cellStyle name="40% - Accent2 3 2 2 2 2 2" xfId="3958"/>
    <cellStyle name="40% - Accent2 3 2 2 2 2 2 2" xfId="3959"/>
    <cellStyle name="40% - Accent2 3 2 2 2 2 3" xfId="3960"/>
    <cellStyle name="40% - Accent2 3 2 2 2 3" xfId="3961"/>
    <cellStyle name="40% - Accent2 3 2 2 2 3 2" xfId="3962"/>
    <cellStyle name="40% - Accent2 3 2 2 2 4" xfId="3963"/>
    <cellStyle name="40% - Accent2 3 2 2 3" xfId="3964"/>
    <cellStyle name="40% - Accent2 3 2 2 3 2" xfId="3965"/>
    <cellStyle name="40% - Accent2 3 2 2 3 2 2" xfId="3966"/>
    <cellStyle name="40% - Accent2 3 2 2 3 3" xfId="3967"/>
    <cellStyle name="40% - Accent2 3 2 2 4" xfId="3968"/>
    <cellStyle name="40% - Accent2 3 2 2 4 2" xfId="3969"/>
    <cellStyle name="40% - Accent2 3 2 2 5" xfId="3970"/>
    <cellStyle name="40% - Accent2 3 2 2 6" xfId="3971"/>
    <cellStyle name="40% - Accent2 3 2 3" xfId="3972"/>
    <cellStyle name="40% - Accent2 3 2 3 2" xfId="3973"/>
    <cellStyle name="40% - Accent2 3 2 3 2 2" xfId="3974"/>
    <cellStyle name="40% - Accent2 3 2 3 2 2 2" xfId="3975"/>
    <cellStyle name="40% - Accent2 3 2 3 2 3" xfId="3976"/>
    <cellStyle name="40% - Accent2 3 2 3 3" xfId="3977"/>
    <cellStyle name="40% - Accent2 3 2 3 3 2" xfId="3978"/>
    <cellStyle name="40% - Accent2 3 2 3 4" xfId="3979"/>
    <cellStyle name="40% - Accent2 3 2 4" xfId="3980"/>
    <cellStyle name="40% - Accent2 3 2 4 2" xfId="3981"/>
    <cellStyle name="40% - Accent2 3 2 4 2 2" xfId="3982"/>
    <cellStyle name="40% - Accent2 3 2 4 3" xfId="3983"/>
    <cellStyle name="40% - Accent2 3 2 5" xfId="3984"/>
    <cellStyle name="40% - Accent2 3 2 5 2" xfId="3985"/>
    <cellStyle name="40% - Accent2 3 2 6" xfId="3986"/>
    <cellStyle name="40% - Accent2 3 2 7" xfId="3987"/>
    <cellStyle name="40% - Accent2 3 3" xfId="3988"/>
    <cellStyle name="40% - Accent2 3 3 2" xfId="3989"/>
    <cellStyle name="40% - Accent2 3 3 2 2" xfId="3990"/>
    <cellStyle name="40% - Accent2 3 3 2 2 2" xfId="3991"/>
    <cellStyle name="40% - Accent2 3 3 2 2 2 2" xfId="3992"/>
    <cellStyle name="40% - Accent2 3 3 2 2 3" xfId="3993"/>
    <cellStyle name="40% - Accent2 3 3 2 3" xfId="3994"/>
    <cellStyle name="40% - Accent2 3 3 2 3 2" xfId="3995"/>
    <cellStyle name="40% - Accent2 3 3 2 4" xfId="3996"/>
    <cellStyle name="40% - Accent2 3 3 3" xfId="3997"/>
    <cellStyle name="40% - Accent2 3 3 3 2" xfId="3998"/>
    <cellStyle name="40% - Accent2 3 3 3 2 2" xfId="3999"/>
    <cellStyle name="40% - Accent2 3 3 3 3" xfId="4000"/>
    <cellStyle name="40% - Accent2 3 3 4" xfId="4001"/>
    <cellStyle name="40% - Accent2 3 3 4 2" xfId="4002"/>
    <cellStyle name="40% - Accent2 3 3 5" xfId="4003"/>
    <cellStyle name="40% - Accent2 3 3 6" xfId="4004"/>
    <cellStyle name="40% - Accent2 3 4" xfId="4005"/>
    <cellStyle name="40% - Accent2 3 4 2" xfId="4006"/>
    <cellStyle name="40% - Accent2 3 4 2 2" xfId="4007"/>
    <cellStyle name="40% - Accent2 3 4 2 2 2" xfId="4008"/>
    <cellStyle name="40% - Accent2 3 4 2 3" xfId="4009"/>
    <cellStyle name="40% - Accent2 3 4 3" xfId="4010"/>
    <cellStyle name="40% - Accent2 3 4 3 2" xfId="4011"/>
    <cellStyle name="40% - Accent2 3 4 4" xfId="4012"/>
    <cellStyle name="40% - Accent2 3 4 5" xfId="4013"/>
    <cellStyle name="40% - Accent2 3 5" xfId="4014"/>
    <cellStyle name="40% - Accent2 3 5 2" xfId="4015"/>
    <cellStyle name="40% - Accent2 3 5 2 2" xfId="4016"/>
    <cellStyle name="40% - Accent2 3 5 3" xfId="4017"/>
    <cellStyle name="40% - Accent2 3 6" xfId="4018"/>
    <cellStyle name="40% - Accent2 3 6 2" xfId="4019"/>
    <cellStyle name="40% - Accent2 3 7" xfId="4020"/>
    <cellStyle name="40% - Accent2 3 8" xfId="4021"/>
    <cellStyle name="40% - Accent2 3 9" xfId="4022"/>
    <cellStyle name="40% - Accent2 30" xfId="550"/>
    <cellStyle name="40% - Accent2 31" xfId="551"/>
    <cellStyle name="40% - Accent2 32" xfId="552"/>
    <cellStyle name="40% - Accent2 33" xfId="553"/>
    <cellStyle name="40% - Accent2 34" xfId="554"/>
    <cellStyle name="40% - Accent2 35" xfId="555"/>
    <cellStyle name="40% - Accent2 4" xfId="556"/>
    <cellStyle name="40% - Accent2 4 2" xfId="4023"/>
    <cellStyle name="40% - Accent2 4 2 2" xfId="4024"/>
    <cellStyle name="40% - Accent2 4 2 2 2" xfId="4025"/>
    <cellStyle name="40% - Accent2 4 2 2 2 2" xfId="4026"/>
    <cellStyle name="40% - Accent2 4 2 2 2 2 2" xfId="4027"/>
    <cellStyle name="40% - Accent2 4 2 2 2 3" xfId="4028"/>
    <cellStyle name="40% - Accent2 4 2 2 3" xfId="4029"/>
    <cellStyle name="40% - Accent2 4 2 2 3 2" xfId="4030"/>
    <cellStyle name="40% - Accent2 4 2 2 4" xfId="4031"/>
    <cellStyle name="40% - Accent2 4 2 3" xfId="4032"/>
    <cellStyle name="40% - Accent2 4 2 3 2" xfId="4033"/>
    <cellStyle name="40% - Accent2 4 2 3 2 2" xfId="4034"/>
    <cellStyle name="40% - Accent2 4 2 3 3" xfId="4035"/>
    <cellStyle name="40% - Accent2 4 2 4" xfId="4036"/>
    <cellStyle name="40% - Accent2 4 2 4 2" xfId="4037"/>
    <cellStyle name="40% - Accent2 4 2 5" xfId="4038"/>
    <cellStyle name="40% - Accent2 4 2 6" xfId="4039"/>
    <cellStyle name="40% - Accent2 4 3" xfId="4040"/>
    <cellStyle name="40% - Accent2 4 3 2" xfId="4041"/>
    <cellStyle name="40% - Accent2 4 3 2 2" xfId="4042"/>
    <cellStyle name="40% - Accent2 4 3 2 2 2" xfId="4043"/>
    <cellStyle name="40% - Accent2 4 3 2 3" xfId="4044"/>
    <cellStyle name="40% - Accent2 4 3 3" xfId="4045"/>
    <cellStyle name="40% - Accent2 4 3 3 2" xfId="4046"/>
    <cellStyle name="40% - Accent2 4 3 4" xfId="4047"/>
    <cellStyle name="40% - Accent2 4 3 5" xfId="4048"/>
    <cellStyle name="40% - Accent2 4 4" xfId="4049"/>
    <cellStyle name="40% - Accent2 4 4 2" xfId="4050"/>
    <cellStyle name="40% - Accent2 4 4 2 2" xfId="4051"/>
    <cellStyle name="40% - Accent2 4 4 3" xfId="4052"/>
    <cellStyle name="40% - Accent2 4 5" xfId="4053"/>
    <cellStyle name="40% - Accent2 4 5 2" xfId="4054"/>
    <cellStyle name="40% - Accent2 4 6" xfId="4055"/>
    <cellStyle name="40% - Accent2 4 7" xfId="4056"/>
    <cellStyle name="40% - Accent2 5" xfId="557"/>
    <cellStyle name="40% - Accent2 5 2" xfId="4057"/>
    <cellStyle name="40% - Accent2 5 2 2" xfId="4058"/>
    <cellStyle name="40% - Accent2 5 2 2 2" xfId="4059"/>
    <cellStyle name="40% - Accent2 5 2 2 2 2" xfId="4060"/>
    <cellStyle name="40% - Accent2 5 2 2 3" xfId="4061"/>
    <cellStyle name="40% - Accent2 5 2 3" xfId="4062"/>
    <cellStyle name="40% - Accent2 5 2 3 2" xfId="4063"/>
    <cellStyle name="40% - Accent2 5 2 4" xfId="4064"/>
    <cellStyle name="40% - Accent2 5 2 5" xfId="4065"/>
    <cellStyle name="40% - Accent2 5 3" xfId="4066"/>
    <cellStyle name="40% - Accent2 5 3 2" xfId="4067"/>
    <cellStyle name="40% - Accent2 5 3 2 2" xfId="4068"/>
    <cellStyle name="40% - Accent2 5 3 3" xfId="4069"/>
    <cellStyle name="40% - Accent2 5 4" xfId="4070"/>
    <cellStyle name="40% - Accent2 5 4 2" xfId="4071"/>
    <cellStyle name="40% - Accent2 5 5" xfId="4072"/>
    <cellStyle name="40% - Accent2 5 6" xfId="4073"/>
    <cellStyle name="40% - Accent2 6" xfId="558"/>
    <cellStyle name="40% - Accent2 6 2" xfId="4074"/>
    <cellStyle name="40% - Accent2 6 2 2" xfId="4075"/>
    <cellStyle name="40% - Accent2 6 2 2 2" xfId="4076"/>
    <cellStyle name="40% - Accent2 6 2 3" xfId="4077"/>
    <cellStyle name="40% - Accent2 6 2 4" xfId="4078"/>
    <cellStyle name="40% - Accent2 6 2 5" xfId="4079"/>
    <cellStyle name="40% - Accent2 6 3" xfId="4080"/>
    <cellStyle name="40% - Accent2 6 3 2" xfId="4081"/>
    <cellStyle name="40% - Accent2 6 4" xfId="4082"/>
    <cellStyle name="40% - Accent2 6 5" xfId="4083"/>
    <cellStyle name="40% - Accent2 7" xfId="559"/>
    <cellStyle name="40% - Accent2 7 2" xfId="4084"/>
    <cellStyle name="40% - Accent2 7 2 2" xfId="4085"/>
    <cellStyle name="40% - Accent2 7 2 2 2" xfId="4086"/>
    <cellStyle name="40% - Accent2 7 2 3" xfId="4087"/>
    <cellStyle name="40% - Accent2 7 3" xfId="4088"/>
    <cellStyle name="40% - Accent2 7 3 2" xfId="4089"/>
    <cellStyle name="40% - Accent2 7 4" xfId="4090"/>
    <cellStyle name="40% - Accent2 7 5" xfId="4091"/>
    <cellStyle name="40% - Accent2 8" xfId="560"/>
    <cellStyle name="40% - Accent2 8 2" xfId="4092"/>
    <cellStyle name="40% - Accent2 8 2 2" xfId="4093"/>
    <cellStyle name="40% - Accent2 8 2 2 2" xfId="4094"/>
    <cellStyle name="40% - Accent2 8 2 3" xfId="4095"/>
    <cellStyle name="40% - Accent2 8 3" xfId="4096"/>
    <cellStyle name="40% - Accent2 8 3 2" xfId="4097"/>
    <cellStyle name="40% - Accent2 8 4" xfId="4098"/>
    <cellStyle name="40% - Accent2 8 5" xfId="4099"/>
    <cellStyle name="40% - Accent2 9" xfId="561"/>
    <cellStyle name="40% - Accent2 9 2" xfId="4100"/>
    <cellStyle name="40% - Accent2 9 2 2" xfId="4101"/>
    <cellStyle name="40% - Accent2 9 3" xfId="4102"/>
    <cellStyle name="40% - Accent2 9 4" xfId="4103"/>
    <cellStyle name="40% - Accent3 10" xfId="562"/>
    <cellStyle name="40% - Accent3 10 2" xfId="4104"/>
    <cellStyle name="40% - Accent3 10 2 2" xfId="4105"/>
    <cellStyle name="40% - Accent3 10 3" xfId="4106"/>
    <cellStyle name="40% - Accent3 10 4" xfId="4107"/>
    <cellStyle name="40% - Accent3 11" xfId="563"/>
    <cellStyle name="40% - Accent3 11 2" xfId="4108"/>
    <cellStyle name="40% - Accent3 11 2 2" xfId="4109"/>
    <cellStyle name="40% - Accent3 11 3" xfId="4110"/>
    <cellStyle name="40% - Accent3 11 4" xfId="4111"/>
    <cellStyle name="40% - Accent3 12" xfId="564"/>
    <cellStyle name="40% - Accent3 12 2" xfId="4112"/>
    <cellStyle name="40% - Accent3 12 3" xfId="4113"/>
    <cellStyle name="40% - Accent3 13" xfId="565"/>
    <cellStyle name="40% - Accent3 13 2" xfId="4114"/>
    <cellStyle name="40% - Accent3 14" xfId="566"/>
    <cellStyle name="40% - Accent3 15" xfId="567"/>
    <cellStyle name="40% - Accent3 15 2" xfId="568"/>
    <cellStyle name="40% - Accent3 15 3" xfId="569"/>
    <cellStyle name="40% - Accent3 15 4" xfId="570"/>
    <cellStyle name="40% - Accent3 15 5" xfId="571"/>
    <cellStyle name="40% - Accent3 16" xfId="572"/>
    <cellStyle name="40% - Accent3 16 2" xfId="573"/>
    <cellStyle name="40% - Accent3 16 3" xfId="574"/>
    <cellStyle name="40% - Accent3 16 4" xfId="575"/>
    <cellStyle name="40% - Accent3 16 5" xfId="576"/>
    <cellStyle name="40% - Accent3 17" xfId="577"/>
    <cellStyle name="40% - Accent3 17 2" xfId="578"/>
    <cellStyle name="40% - Accent3 17 3" xfId="579"/>
    <cellStyle name="40% - Accent3 17 4" xfId="580"/>
    <cellStyle name="40% - Accent3 17 5" xfId="581"/>
    <cellStyle name="40% - Accent3 18" xfId="582"/>
    <cellStyle name="40% - Accent3 19" xfId="583"/>
    <cellStyle name="40% - Accent3 2" xfId="584"/>
    <cellStyle name="40% - Accent3 2 2" xfId="585"/>
    <cellStyle name="40% - Accent3 2 2 2" xfId="586"/>
    <cellStyle name="40% - Accent3 2 2 2 2" xfId="587"/>
    <cellStyle name="40% - Accent3 2 2 2 2 2" xfId="4115"/>
    <cellStyle name="40% - Accent3 2 2 2 2 2 2" xfId="4116"/>
    <cellStyle name="40% - Accent3 2 2 2 2 2 2 2" xfId="4117"/>
    <cellStyle name="40% - Accent3 2 2 2 2 2 3" xfId="4118"/>
    <cellStyle name="40% - Accent3 2 2 2 2 3" xfId="4119"/>
    <cellStyle name="40% - Accent3 2 2 2 2 3 2" xfId="4120"/>
    <cellStyle name="40% - Accent3 2 2 2 2 4" xfId="4121"/>
    <cellStyle name="40% - Accent3 2 2 2 2 5" xfId="4122"/>
    <cellStyle name="40% - Accent3 2 2 2 3" xfId="588"/>
    <cellStyle name="40% - Accent3 2 2 2 3 2" xfId="4123"/>
    <cellStyle name="40% - Accent3 2 2 2 3 2 2" xfId="4124"/>
    <cellStyle name="40% - Accent3 2 2 2 3 3" xfId="4125"/>
    <cellStyle name="40% - Accent3 2 2 2 4" xfId="589"/>
    <cellStyle name="40% - Accent3 2 2 2 4 2" xfId="4126"/>
    <cellStyle name="40% - Accent3 2 2 2 5" xfId="590"/>
    <cellStyle name="40% - Accent3 2 2 2 6" xfId="4127"/>
    <cellStyle name="40% - Accent3 2 2 3" xfId="591"/>
    <cellStyle name="40% - Accent3 2 2 3 2" xfId="4128"/>
    <cellStyle name="40% - Accent3 2 2 3 2 2" xfId="4129"/>
    <cellStyle name="40% - Accent3 2 2 3 2 2 2" xfId="4130"/>
    <cellStyle name="40% - Accent3 2 2 3 2 3" xfId="4131"/>
    <cellStyle name="40% - Accent3 2 2 3 3" xfId="4132"/>
    <cellStyle name="40% - Accent3 2 2 3 3 2" xfId="4133"/>
    <cellStyle name="40% - Accent3 2 2 3 4" xfId="4134"/>
    <cellStyle name="40% - Accent3 2 2 3 5" xfId="4135"/>
    <cellStyle name="40% - Accent3 2 2 4" xfId="592"/>
    <cellStyle name="40% - Accent3 2 2 4 2" xfId="4136"/>
    <cellStyle name="40% - Accent3 2 2 4 2 2" xfId="4137"/>
    <cellStyle name="40% - Accent3 2 2 4 3" xfId="4138"/>
    <cellStyle name="40% - Accent3 2 2 5" xfId="593"/>
    <cellStyle name="40% - Accent3 2 2 5 2" xfId="4139"/>
    <cellStyle name="40% - Accent3 2 2 6" xfId="4140"/>
    <cellStyle name="40% - Accent3 2 2 7" xfId="4141"/>
    <cellStyle name="40% - Accent3 2 3" xfId="594"/>
    <cellStyle name="40% - Accent3 2 3 2" xfId="4142"/>
    <cellStyle name="40% - Accent3 2 3 2 2" xfId="4143"/>
    <cellStyle name="40% - Accent3 2 3 2 2 2" xfId="4144"/>
    <cellStyle name="40% - Accent3 2 3 2 2 2 2" xfId="4145"/>
    <cellStyle name="40% - Accent3 2 3 2 2 3" xfId="4146"/>
    <cellStyle name="40% - Accent3 2 3 2 3" xfId="4147"/>
    <cellStyle name="40% - Accent3 2 3 2 3 2" xfId="4148"/>
    <cellStyle name="40% - Accent3 2 3 2 4" xfId="4149"/>
    <cellStyle name="40% - Accent3 2 3 3" xfId="4150"/>
    <cellStyle name="40% - Accent3 2 3 3 2" xfId="4151"/>
    <cellStyle name="40% - Accent3 2 3 3 2 2" xfId="4152"/>
    <cellStyle name="40% - Accent3 2 3 3 3" xfId="4153"/>
    <cellStyle name="40% - Accent3 2 3 4" xfId="4154"/>
    <cellStyle name="40% - Accent3 2 3 4 2" xfId="4155"/>
    <cellStyle name="40% - Accent3 2 3 5" xfId="4156"/>
    <cellStyle name="40% - Accent3 2 3 6" xfId="4157"/>
    <cellStyle name="40% - Accent3 2 4" xfId="595"/>
    <cellStyle name="40% - Accent3 2 4 2" xfId="4158"/>
    <cellStyle name="40% - Accent3 2 4 2 2" xfId="4159"/>
    <cellStyle name="40% - Accent3 2 4 2 2 2" xfId="4160"/>
    <cellStyle name="40% - Accent3 2 4 2 3" xfId="4161"/>
    <cellStyle name="40% - Accent3 2 4 3" xfId="4162"/>
    <cellStyle name="40% - Accent3 2 4 3 2" xfId="4163"/>
    <cellStyle name="40% - Accent3 2 4 4" xfId="4164"/>
    <cellStyle name="40% - Accent3 2 4 5" xfId="4165"/>
    <cellStyle name="40% - Accent3 2 5" xfId="596"/>
    <cellStyle name="40% - Accent3 2 5 2" xfId="4166"/>
    <cellStyle name="40% - Accent3 2 5 2 2" xfId="4167"/>
    <cellStyle name="40% - Accent3 2 5 3" xfId="4168"/>
    <cellStyle name="40% - Accent3 2 5 4" xfId="4169"/>
    <cellStyle name="40% - Accent3 2 6" xfId="597"/>
    <cellStyle name="40% - Accent3 2 6 2" xfId="4170"/>
    <cellStyle name="40% - Accent3 2 6 3" xfId="4171"/>
    <cellStyle name="40% - Accent3 2 7" xfId="598"/>
    <cellStyle name="40% - Accent3 2 8" xfId="599"/>
    <cellStyle name="40% - Accent3 2 9" xfId="600"/>
    <cellStyle name="40% - Accent3 20" xfId="601"/>
    <cellStyle name="40% - Accent3 21" xfId="602"/>
    <cellStyle name="40% - Accent3 22" xfId="603"/>
    <cellStyle name="40% - Accent3 23" xfId="604"/>
    <cellStyle name="40% - Accent3 24" xfId="605"/>
    <cellStyle name="40% - Accent3 25" xfId="606"/>
    <cellStyle name="40% - Accent3 26" xfId="607"/>
    <cellStyle name="40% - Accent3 27" xfId="608"/>
    <cellStyle name="40% - Accent3 28" xfId="609"/>
    <cellStyle name="40% - Accent3 29" xfId="610"/>
    <cellStyle name="40% - Accent3 3" xfId="611"/>
    <cellStyle name="40% - Accent3 3 2" xfId="4172"/>
    <cellStyle name="40% - Accent3 3 2 2" xfId="4173"/>
    <cellStyle name="40% - Accent3 3 2 2 2" xfId="4174"/>
    <cellStyle name="40% - Accent3 3 2 2 2 2" xfId="4175"/>
    <cellStyle name="40% - Accent3 3 2 2 2 2 2" xfId="4176"/>
    <cellStyle name="40% - Accent3 3 2 2 2 2 2 2" xfId="4177"/>
    <cellStyle name="40% - Accent3 3 2 2 2 2 3" xfId="4178"/>
    <cellStyle name="40% - Accent3 3 2 2 2 3" xfId="4179"/>
    <cellStyle name="40% - Accent3 3 2 2 2 3 2" xfId="4180"/>
    <cellStyle name="40% - Accent3 3 2 2 2 4" xfId="4181"/>
    <cellStyle name="40% - Accent3 3 2 2 3" xfId="4182"/>
    <cellStyle name="40% - Accent3 3 2 2 3 2" xfId="4183"/>
    <cellStyle name="40% - Accent3 3 2 2 3 2 2" xfId="4184"/>
    <cellStyle name="40% - Accent3 3 2 2 3 3" xfId="4185"/>
    <cellStyle name="40% - Accent3 3 2 2 4" xfId="4186"/>
    <cellStyle name="40% - Accent3 3 2 2 4 2" xfId="4187"/>
    <cellStyle name="40% - Accent3 3 2 2 5" xfId="4188"/>
    <cellStyle name="40% - Accent3 3 2 2 6" xfId="4189"/>
    <cellStyle name="40% - Accent3 3 2 3" xfId="4190"/>
    <cellStyle name="40% - Accent3 3 2 3 2" xfId="4191"/>
    <cellStyle name="40% - Accent3 3 2 3 2 2" xfId="4192"/>
    <cellStyle name="40% - Accent3 3 2 3 2 2 2" xfId="4193"/>
    <cellStyle name="40% - Accent3 3 2 3 2 3" xfId="4194"/>
    <cellStyle name="40% - Accent3 3 2 3 3" xfId="4195"/>
    <cellStyle name="40% - Accent3 3 2 3 3 2" xfId="4196"/>
    <cellStyle name="40% - Accent3 3 2 3 4" xfId="4197"/>
    <cellStyle name="40% - Accent3 3 2 4" xfId="4198"/>
    <cellStyle name="40% - Accent3 3 2 4 2" xfId="4199"/>
    <cellStyle name="40% - Accent3 3 2 4 2 2" xfId="4200"/>
    <cellStyle name="40% - Accent3 3 2 4 3" xfId="4201"/>
    <cellStyle name="40% - Accent3 3 2 5" xfId="4202"/>
    <cellStyle name="40% - Accent3 3 2 5 2" xfId="4203"/>
    <cellStyle name="40% - Accent3 3 2 6" xfId="4204"/>
    <cellStyle name="40% - Accent3 3 2 7" xfId="4205"/>
    <cellStyle name="40% - Accent3 3 3" xfId="4206"/>
    <cellStyle name="40% - Accent3 3 3 2" xfId="4207"/>
    <cellStyle name="40% - Accent3 3 3 2 2" xfId="4208"/>
    <cellStyle name="40% - Accent3 3 3 2 2 2" xfId="4209"/>
    <cellStyle name="40% - Accent3 3 3 2 2 2 2" xfId="4210"/>
    <cellStyle name="40% - Accent3 3 3 2 2 3" xfId="4211"/>
    <cellStyle name="40% - Accent3 3 3 2 3" xfId="4212"/>
    <cellStyle name="40% - Accent3 3 3 2 3 2" xfId="4213"/>
    <cellStyle name="40% - Accent3 3 3 2 4" xfId="4214"/>
    <cellStyle name="40% - Accent3 3 3 3" xfId="4215"/>
    <cellStyle name="40% - Accent3 3 3 3 2" xfId="4216"/>
    <cellStyle name="40% - Accent3 3 3 3 2 2" xfId="4217"/>
    <cellStyle name="40% - Accent3 3 3 3 3" xfId="4218"/>
    <cellStyle name="40% - Accent3 3 3 4" xfId="4219"/>
    <cellStyle name="40% - Accent3 3 3 4 2" xfId="4220"/>
    <cellStyle name="40% - Accent3 3 3 5" xfId="4221"/>
    <cellStyle name="40% - Accent3 3 3 6" xfId="4222"/>
    <cellStyle name="40% - Accent3 3 4" xfId="4223"/>
    <cellStyle name="40% - Accent3 3 4 2" xfId="4224"/>
    <cellStyle name="40% - Accent3 3 4 2 2" xfId="4225"/>
    <cellStyle name="40% - Accent3 3 4 2 2 2" xfId="4226"/>
    <cellStyle name="40% - Accent3 3 4 2 3" xfId="4227"/>
    <cellStyle name="40% - Accent3 3 4 3" xfId="4228"/>
    <cellStyle name="40% - Accent3 3 4 3 2" xfId="4229"/>
    <cellStyle name="40% - Accent3 3 4 4" xfId="4230"/>
    <cellStyle name="40% - Accent3 3 4 5" xfId="4231"/>
    <cellStyle name="40% - Accent3 3 5" xfId="4232"/>
    <cellStyle name="40% - Accent3 3 5 2" xfId="4233"/>
    <cellStyle name="40% - Accent3 3 5 2 2" xfId="4234"/>
    <cellStyle name="40% - Accent3 3 5 3" xfId="4235"/>
    <cellStyle name="40% - Accent3 3 6" xfId="4236"/>
    <cellStyle name="40% - Accent3 3 6 2" xfId="4237"/>
    <cellStyle name="40% - Accent3 3 7" xfId="4238"/>
    <cellStyle name="40% - Accent3 3 8" xfId="4239"/>
    <cellStyle name="40% - Accent3 3 9" xfId="4240"/>
    <cellStyle name="40% - Accent3 30" xfId="612"/>
    <cellStyle name="40% - Accent3 31" xfId="613"/>
    <cellStyle name="40% - Accent3 32" xfId="614"/>
    <cellStyle name="40% - Accent3 33" xfId="615"/>
    <cellStyle name="40% - Accent3 34" xfId="616"/>
    <cellStyle name="40% - Accent3 35" xfId="617"/>
    <cellStyle name="40% - Accent3 4" xfId="618"/>
    <cellStyle name="40% - Accent3 4 2" xfId="4241"/>
    <cellStyle name="40% - Accent3 4 2 2" xfId="4242"/>
    <cellStyle name="40% - Accent3 4 2 2 2" xfId="4243"/>
    <cellStyle name="40% - Accent3 4 2 2 2 2" xfId="4244"/>
    <cellStyle name="40% - Accent3 4 2 2 2 2 2" xfId="4245"/>
    <cellStyle name="40% - Accent3 4 2 2 2 3" xfId="4246"/>
    <cellStyle name="40% - Accent3 4 2 2 3" xfId="4247"/>
    <cellStyle name="40% - Accent3 4 2 2 3 2" xfId="4248"/>
    <cellStyle name="40% - Accent3 4 2 2 4" xfId="4249"/>
    <cellStyle name="40% - Accent3 4 2 3" xfId="4250"/>
    <cellStyle name="40% - Accent3 4 2 3 2" xfId="4251"/>
    <cellStyle name="40% - Accent3 4 2 3 2 2" xfId="4252"/>
    <cellStyle name="40% - Accent3 4 2 3 3" xfId="4253"/>
    <cellStyle name="40% - Accent3 4 2 4" xfId="4254"/>
    <cellStyle name="40% - Accent3 4 2 4 2" xfId="4255"/>
    <cellStyle name="40% - Accent3 4 2 5" xfId="4256"/>
    <cellStyle name="40% - Accent3 4 2 6" xfId="4257"/>
    <cellStyle name="40% - Accent3 4 3" xfId="4258"/>
    <cellStyle name="40% - Accent3 4 3 2" xfId="4259"/>
    <cellStyle name="40% - Accent3 4 3 2 2" xfId="4260"/>
    <cellStyle name="40% - Accent3 4 3 2 2 2" xfId="4261"/>
    <cellStyle name="40% - Accent3 4 3 2 3" xfId="4262"/>
    <cellStyle name="40% - Accent3 4 3 3" xfId="4263"/>
    <cellStyle name="40% - Accent3 4 3 3 2" xfId="4264"/>
    <cellStyle name="40% - Accent3 4 3 4" xfId="4265"/>
    <cellStyle name="40% - Accent3 4 3 5" xfId="4266"/>
    <cellStyle name="40% - Accent3 4 4" xfId="4267"/>
    <cellStyle name="40% - Accent3 4 4 2" xfId="4268"/>
    <cellStyle name="40% - Accent3 4 4 2 2" xfId="4269"/>
    <cellStyle name="40% - Accent3 4 4 3" xfId="4270"/>
    <cellStyle name="40% - Accent3 4 5" xfId="4271"/>
    <cellStyle name="40% - Accent3 4 5 2" xfId="4272"/>
    <cellStyle name="40% - Accent3 4 6" xfId="4273"/>
    <cellStyle name="40% - Accent3 4 7" xfId="4274"/>
    <cellStyle name="40% - Accent3 5" xfId="619"/>
    <cellStyle name="40% - Accent3 5 2" xfId="4275"/>
    <cellStyle name="40% - Accent3 5 2 2" xfId="4276"/>
    <cellStyle name="40% - Accent3 5 2 2 2" xfId="4277"/>
    <cellStyle name="40% - Accent3 5 2 2 2 2" xfId="4278"/>
    <cellStyle name="40% - Accent3 5 2 2 3" xfId="4279"/>
    <cellStyle name="40% - Accent3 5 2 3" xfId="4280"/>
    <cellStyle name="40% - Accent3 5 2 3 2" xfId="4281"/>
    <cellStyle name="40% - Accent3 5 2 4" xfId="4282"/>
    <cellStyle name="40% - Accent3 5 2 5" xfId="4283"/>
    <cellStyle name="40% - Accent3 5 3" xfId="4284"/>
    <cellStyle name="40% - Accent3 5 3 2" xfId="4285"/>
    <cellStyle name="40% - Accent3 5 3 2 2" xfId="4286"/>
    <cellStyle name="40% - Accent3 5 3 3" xfId="4287"/>
    <cellStyle name="40% - Accent3 5 4" xfId="4288"/>
    <cellStyle name="40% - Accent3 5 4 2" xfId="4289"/>
    <cellStyle name="40% - Accent3 5 5" xfId="4290"/>
    <cellStyle name="40% - Accent3 5 6" xfId="4291"/>
    <cellStyle name="40% - Accent3 6" xfId="620"/>
    <cellStyle name="40% - Accent3 6 2" xfId="4292"/>
    <cellStyle name="40% - Accent3 6 2 2" xfId="4293"/>
    <cellStyle name="40% - Accent3 6 2 2 2" xfId="4294"/>
    <cellStyle name="40% - Accent3 6 2 3" xfId="4295"/>
    <cellStyle name="40% - Accent3 6 2 4" xfId="4296"/>
    <cellStyle name="40% - Accent3 6 2 5" xfId="4297"/>
    <cellStyle name="40% - Accent3 6 3" xfId="4298"/>
    <cellStyle name="40% - Accent3 6 3 2" xfId="4299"/>
    <cellStyle name="40% - Accent3 6 4" xfId="4300"/>
    <cellStyle name="40% - Accent3 6 5" xfId="4301"/>
    <cellStyle name="40% - Accent3 7" xfId="621"/>
    <cellStyle name="40% - Accent3 7 2" xfId="4302"/>
    <cellStyle name="40% - Accent3 7 2 2" xfId="4303"/>
    <cellStyle name="40% - Accent3 7 2 2 2" xfId="4304"/>
    <cellStyle name="40% - Accent3 7 2 3" xfId="4305"/>
    <cellStyle name="40% - Accent3 7 3" xfId="4306"/>
    <cellStyle name="40% - Accent3 7 3 2" xfId="4307"/>
    <cellStyle name="40% - Accent3 7 4" xfId="4308"/>
    <cellStyle name="40% - Accent3 7 5" xfId="4309"/>
    <cellStyle name="40% - Accent3 8" xfId="622"/>
    <cellStyle name="40% - Accent3 8 2" xfId="4310"/>
    <cellStyle name="40% - Accent3 8 2 2" xfId="4311"/>
    <cellStyle name="40% - Accent3 8 2 2 2" xfId="4312"/>
    <cellStyle name="40% - Accent3 8 2 3" xfId="4313"/>
    <cellStyle name="40% - Accent3 8 3" xfId="4314"/>
    <cellStyle name="40% - Accent3 8 3 2" xfId="4315"/>
    <cellStyle name="40% - Accent3 8 4" xfId="4316"/>
    <cellStyle name="40% - Accent3 8 5" xfId="4317"/>
    <cellStyle name="40% - Accent3 9" xfId="623"/>
    <cellStyle name="40% - Accent3 9 2" xfId="4318"/>
    <cellStyle name="40% - Accent3 9 2 2" xfId="4319"/>
    <cellStyle name="40% - Accent3 9 3" xfId="4320"/>
    <cellStyle name="40% - Accent3 9 4" xfId="4321"/>
    <cellStyle name="40% - Accent4 10" xfId="624"/>
    <cellStyle name="40% - Accent4 10 2" xfId="4322"/>
    <cellStyle name="40% - Accent4 10 2 2" xfId="4323"/>
    <cellStyle name="40% - Accent4 10 3" xfId="4324"/>
    <cellStyle name="40% - Accent4 10 4" xfId="4325"/>
    <cellStyle name="40% - Accent4 11" xfId="625"/>
    <cellStyle name="40% - Accent4 11 2" xfId="4326"/>
    <cellStyle name="40% - Accent4 11 2 2" xfId="4327"/>
    <cellStyle name="40% - Accent4 11 3" xfId="4328"/>
    <cellStyle name="40% - Accent4 11 4" xfId="4329"/>
    <cellStyle name="40% - Accent4 12" xfId="626"/>
    <cellStyle name="40% - Accent4 12 2" xfId="4330"/>
    <cellStyle name="40% - Accent4 12 3" xfId="4331"/>
    <cellStyle name="40% - Accent4 13" xfId="627"/>
    <cellStyle name="40% - Accent4 13 2" xfId="4332"/>
    <cellStyle name="40% - Accent4 14" xfId="628"/>
    <cellStyle name="40% - Accent4 15" xfId="629"/>
    <cellStyle name="40% - Accent4 15 2" xfId="630"/>
    <cellStyle name="40% - Accent4 15 3" xfId="631"/>
    <cellStyle name="40% - Accent4 15 4" xfId="632"/>
    <cellStyle name="40% - Accent4 15 5" xfId="633"/>
    <cellStyle name="40% - Accent4 16" xfId="634"/>
    <cellStyle name="40% - Accent4 16 2" xfId="635"/>
    <cellStyle name="40% - Accent4 16 3" xfId="636"/>
    <cellStyle name="40% - Accent4 16 4" xfId="637"/>
    <cellStyle name="40% - Accent4 16 5" xfId="638"/>
    <cellStyle name="40% - Accent4 17" xfId="639"/>
    <cellStyle name="40% - Accent4 17 2" xfId="640"/>
    <cellStyle name="40% - Accent4 17 3" xfId="641"/>
    <cellStyle name="40% - Accent4 17 4" xfId="642"/>
    <cellStyle name="40% - Accent4 17 5" xfId="643"/>
    <cellStyle name="40% - Accent4 18" xfId="644"/>
    <cellStyle name="40% - Accent4 19" xfId="645"/>
    <cellStyle name="40% - Accent4 2" xfId="646"/>
    <cellStyle name="40% - Accent4 2 2" xfId="647"/>
    <cellStyle name="40% - Accent4 2 2 2" xfId="648"/>
    <cellStyle name="40% - Accent4 2 2 2 2" xfId="649"/>
    <cellStyle name="40% - Accent4 2 2 2 2 2" xfId="4333"/>
    <cellStyle name="40% - Accent4 2 2 2 2 2 2" xfId="4334"/>
    <cellStyle name="40% - Accent4 2 2 2 2 2 2 2" xfId="4335"/>
    <cellStyle name="40% - Accent4 2 2 2 2 2 3" xfId="4336"/>
    <cellStyle name="40% - Accent4 2 2 2 2 3" xfId="4337"/>
    <cellStyle name="40% - Accent4 2 2 2 2 3 2" xfId="4338"/>
    <cellStyle name="40% - Accent4 2 2 2 2 4" xfId="4339"/>
    <cellStyle name="40% - Accent4 2 2 2 2 5" xfId="4340"/>
    <cellStyle name="40% - Accent4 2 2 2 3" xfId="650"/>
    <cellStyle name="40% - Accent4 2 2 2 3 2" xfId="4341"/>
    <cellStyle name="40% - Accent4 2 2 2 3 2 2" xfId="4342"/>
    <cellStyle name="40% - Accent4 2 2 2 3 3" xfId="4343"/>
    <cellStyle name="40% - Accent4 2 2 2 4" xfId="651"/>
    <cellStyle name="40% - Accent4 2 2 2 4 2" xfId="4344"/>
    <cellStyle name="40% - Accent4 2 2 2 5" xfId="652"/>
    <cellStyle name="40% - Accent4 2 2 2 6" xfId="4345"/>
    <cellStyle name="40% - Accent4 2 2 3" xfId="653"/>
    <cellStyle name="40% - Accent4 2 2 3 2" xfId="4346"/>
    <cellStyle name="40% - Accent4 2 2 3 2 2" xfId="4347"/>
    <cellStyle name="40% - Accent4 2 2 3 2 2 2" xfId="4348"/>
    <cellStyle name="40% - Accent4 2 2 3 2 3" xfId="4349"/>
    <cellStyle name="40% - Accent4 2 2 3 3" xfId="4350"/>
    <cellStyle name="40% - Accent4 2 2 3 3 2" xfId="4351"/>
    <cellStyle name="40% - Accent4 2 2 3 4" xfId="4352"/>
    <cellStyle name="40% - Accent4 2 2 3 5" xfId="4353"/>
    <cellStyle name="40% - Accent4 2 2 4" xfId="654"/>
    <cellStyle name="40% - Accent4 2 2 4 2" xfId="4354"/>
    <cellStyle name="40% - Accent4 2 2 4 2 2" xfId="4355"/>
    <cellStyle name="40% - Accent4 2 2 4 3" xfId="4356"/>
    <cellStyle name="40% - Accent4 2 2 5" xfId="655"/>
    <cellStyle name="40% - Accent4 2 2 5 2" xfId="4357"/>
    <cellStyle name="40% - Accent4 2 2 6" xfId="4358"/>
    <cellStyle name="40% - Accent4 2 2 7" xfId="4359"/>
    <cellStyle name="40% - Accent4 2 3" xfId="656"/>
    <cellStyle name="40% - Accent4 2 3 2" xfId="4360"/>
    <cellStyle name="40% - Accent4 2 3 2 2" xfId="4361"/>
    <cellStyle name="40% - Accent4 2 3 2 2 2" xfId="4362"/>
    <cellStyle name="40% - Accent4 2 3 2 2 2 2" xfId="4363"/>
    <cellStyle name="40% - Accent4 2 3 2 2 3" xfId="4364"/>
    <cellStyle name="40% - Accent4 2 3 2 3" xfId="4365"/>
    <cellStyle name="40% - Accent4 2 3 2 3 2" xfId="4366"/>
    <cellStyle name="40% - Accent4 2 3 2 4" xfId="4367"/>
    <cellStyle name="40% - Accent4 2 3 3" xfId="4368"/>
    <cellStyle name="40% - Accent4 2 3 3 2" xfId="4369"/>
    <cellStyle name="40% - Accent4 2 3 3 2 2" xfId="4370"/>
    <cellStyle name="40% - Accent4 2 3 3 3" xfId="4371"/>
    <cellStyle name="40% - Accent4 2 3 4" xfId="4372"/>
    <cellStyle name="40% - Accent4 2 3 4 2" xfId="4373"/>
    <cellStyle name="40% - Accent4 2 3 5" xfId="4374"/>
    <cellStyle name="40% - Accent4 2 3 6" xfId="4375"/>
    <cellStyle name="40% - Accent4 2 4" xfId="657"/>
    <cellStyle name="40% - Accent4 2 4 2" xfId="4376"/>
    <cellStyle name="40% - Accent4 2 4 2 2" xfId="4377"/>
    <cellStyle name="40% - Accent4 2 4 2 2 2" xfId="4378"/>
    <cellStyle name="40% - Accent4 2 4 2 3" xfId="4379"/>
    <cellStyle name="40% - Accent4 2 4 3" xfId="4380"/>
    <cellStyle name="40% - Accent4 2 4 3 2" xfId="4381"/>
    <cellStyle name="40% - Accent4 2 4 4" xfId="4382"/>
    <cellStyle name="40% - Accent4 2 4 5" xfId="4383"/>
    <cellStyle name="40% - Accent4 2 5" xfId="658"/>
    <cellStyle name="40% - Accent4 2 5 2" xfId="4384"/>
    <cellStyle name="40% - Accent4 2 5 2 2" xfId="4385"/>
    <cellStyle name="40% - Accent4 2 5 3" xfId="4386"/>
    <cellStyle name="40% - Accent4 2 5 4" xfId="4387"/>
    <cellStyle name="40% - Accent4 2 6" xfId="659"/>
    <cellStyle name="40% - Accent4 2 6 2" xfId="4388"/>
    <cellStyle name="40% - Accent4 2 6 3" xfId="4389"/>
    <cellStyle name="40% - Accent4 2 7" xfId="660"/>
    <cellStyle name="40% - Accent4 2 8" xfId="661"/>
    <cellStyle name="40% - Accent4 2 9" xfId="662"/>
    <cellStyle name="40% - Accent4 20" xfId="663"/>
    <cellStyle name="40% - Accent4 21" xfId="664"/>
    <cellStyle name="40% - Accent4 22" xfId="665"/>
    <cellStyle name="40% - Accent4 23" xfId="666"/>
    <cellStyle name="40% - Accent4 24" xfId="667"/>
    <cellStyle name="40% - Accent4 25" xfId="668"/>
    <cellStyle name="40% - Accent4 26" xfId="669"/>
    <cellStyle name="40% - Accent4 27" xfId="670"/>
    <cellStyle name="40% - Accent4 28" xfId="671"/>
    <cellStyle name="40% - Accent4 29" xfId="672"/>
    <cellStyle name="40% - Accent4 3" xfId="673"/>
    <cellStyle name="40% - Accent4 3 2" xfId="4390"/>
    <cellStyle name="40% - Accent4 3 2 2" xfId="4391"/>
    <cellStyle name="40% - Accent4 3 2 2 2" xfId="4392"/>
    <cellStyle name="40% - Accent4 3 2 2 2 2" xfId="4393"/>
    <cellStyle name="40% - Accent4 3 2 2 2 2 2" xfId="4394"/>
    <cellStyle name="40% - Accent4 3 2 2 2 2 2 2" xfId="4395"/>
    <cellStyle name="40% - Accent4 3 2 2 2 2 3" xfId="4396"/>
    <cellStyle name="40% - Accent4 3 2 2 2 3" xfId="4397"/>
    <cellStyle name="40% - Accent4 3 2 2 2 3 2" xfId="4398"/>
    <cellStyle name="40% - Accent4 3 2 2 2 4" xfId="4399"/>
    <cellStyle name="40% - Accent4 3 2 2 3" xfId="4400"/>
    <cellStyle name="40% - Accent4 3 2 2 3 2" xfId="4401"/>
    <cellStyle name="40% - Accent4 3 2 2 3 2 2" xfId="4402"/>
    <cellStyle name="40% - Accent4 3 2 2 3 3" xfId="4403"/>
    <cellStyle name="40% - Accent4 3 2 2 4" xfId="4404"/>
    <cellStyle name="40% - Accent4 3 2 2 4 2" xfId="4405"/>
    <cellStyle name="40% - Accent4 3 2 2 5" xfId="4406"/>
    <cellStyle name="40% - Accent4 3 2 2 6" xfId="4407"/>
    <cellStyle name="40% - Accent4 3 2 3" xfId="4408"/>
    <cellStyle name="40% - Accent4 3 2 3 2" xfId="4409"/>
    <cellStyle name="40% - Accent4 3 2 3 2 2" xfId="4410"/>
    <cellStyle name="40% - Accent4 3 2 3 2 2 2" xfId="4411"/>
    <cellStyle name="40% - Accent4 3 2 3 2 3" xfId="4412"/>
    <cellStyle name="40% - Accent4 3 2 3 3" xfId="4413"/>
    <cellStyle name="40% - Accent4 3 2 3 3 2" xfId="4414"/>
    <cellStyle name="40% - Accent4 3 2 3 4" xfId="4415"/>
    <cellStyle name="40% - Accent4 3 2 4" xfId="4416"/>
    <cellStyle name="40% - Accent4 3 2 4 2" xfId="4417"/>
    <cellStyle name="40% - Accent4 3 2 4 2 2" xfId="4418"/>
    <cellStyle name="40% - Accent4 3 2 4 3" xfId="4419"/>
    <cellStyle name="40% - Accent4 3 2 5" xfId="4420"/>
    <cellStyle name="40% - Accent4 3 2 5 2" xfId="4421"/>
    <cellStyle name="40% - Accent4 3 2 6" xfId="4422"/>
    <cellStyle name="40% - Accent4 3 2 7" xfId="4423"/>
    <cellStyle name="40% - Accent4 3 3" xfId="4424"/>
    <cellStyle name="40% - Accent4 3 3 2" xfId="4425"/>
    <cellStyle name="40% - Accent4 3 3 2 2" xfId="4426"/>
    <cellStyle name="40% - Accent4 3 3 2 2 2" xfId="4427"/>
    <cellStyle name="40% - Accent4 3 3 2 2 2 2" xfId="4428"/>
    <cellStyle name="40% - Accent4 3 3 2 2 3" xfId="4429"/>
    <cellStyle name="40% - Accent4 3 3 2 3" xfId="4430"/>
    <cellStyle name="40% - Accent4 3 3 2 3 2" xfId="4431"/>
    <cellStyle name="40% - Accent4 3 3 2 4" xfId="4432"/>
    <cellStyle name="40% - Accent4 3 3 3" xfId="4433"/>
    <cellStyle name="40% - Accent4 3 3 3 2" xfId="4434"/>
    <cellStyle name="40% - Accent4 3 3 3 2 2" xfId="4435"/>
    <cellStyle name="40% - Accent4 3 3 3 3" xfId="4436"/>
    <cellStyle name="40% - Accent4 3 3 4" xfId="4437"/>
    <cellStyle name="40% - Accent4 3 3 4 2" xfId="4438"/>
    <cellStyle name="40% - Accent4 3 3 5" xfId="4439"/>
    <cellStyle name="40% - Accent4 3 3 6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3" xfId="4446"/>
    <cellStyle name="40% - Accent4 3 4 3 2" xfId="4447"/>
    <cellStyle name="40% - Accent4 3 4 4" xfId="4448"/>
    <cellStyle name="40% - Accent4 3 4 5" xfId="4449"/>
    <cellStyle name="40% - Accent4 3 5" xfId="4450"/>
    <cellStyle name="40% - Accent4 3 5 2" xfId="4451"/>
    <cellStyle name="40% - Accent4 3 5 2 2" xfId="4452"/>
    <cellStyle name="40% - Accent4 3 5 3" xfId="4453"/>
    <cellStyle name="40% - Accent4 3 6" xfId="4454"/>
    <cellStyle name="40% - Accent4 3 6 2" xfId="4455"/>
    <cellStyle name="40% - Accent4 3 7" xfId="4456"/>
    <cellStyle name="40% - Accent4 3 8" xfId="4457"/>
    <cellStyle name="40% - Accent4 3 9" xfId="4458"/>
    <cellStyle name="40% - Accent4 30" xfId="674"/>
    <cellStyle name="40% - Accent4 31" xfId="675"/>
    <cellStyle name="40% - Accent4 32" xfId="676"/>
    <cellStyle name="40% - Accent4 33" xfId="677"/>
    <cellStyle name="40% - Accent4 34" xfId="678"/>
    <cellStyle name="40% - Accent4 35" xfId="679"/>
    <cellStyle name="40% - Accent4 4" xfId="680"/>
    <cellStyle name="40% - Accent4 4 2" xfId="4459"/>
    <cellStyle name="40% - Accent4 4 2 2" xfId="4460"/>
    <cellStyle name="40% - Accent4 4 2 2 2" xfId="4461"/>
    <cellStyle name="40% - Accent4 4 2 2 2 2" xfId="4462"/>
    <cellStyle name="40% - Accent4 4 2 2 2 2 2" xfId="4463"/>
    <cellStyle name="40% - Accent4 4 2 2 2 3" xfId="4464"/>
    <cellStyle name="40% - Accent4 4 2 2 3" xfId="4465"/>
    <cellStyle name="40% - Accent4 4 2 2 3 2" xfId="4466"/>
    <cellStyle name="40% - Accent4 4 2 2 4" xfId="4467"/>
    <cellStyle name="40% - Accent4 4 2 3" xfId="4468"/>
    <cellStyle name="40% - Accent4 4 2 3 2" xfId="4469"/>
    <cellStyle name="40% - Accent4 4 2 3 2 2" xfId="4470"/>
    <cellStyle name="40% - Accent4 4 2 3 3" xfId="4471"/>
    <cellStyle name="40% - Accent4 4 2 4" xfId="4472"/>
    <cellStyle name="40% - Accent4 4 2 4 2" xfId="4473"/>
    <cellStyle name="40% - Accent4 4 2 5" xfId="4474"/>
    <cellStyle name="40% - Accent4 4 2 6" xfId="4475"/>
    <cellStyle name="40% - Accent4 4 3" xfId="4476"/>
    <cellStyle name="40% - Accent4 4 3 2" xfId="4477"/>
    <cellStyle name="40% - Accent4 4 3 2 2" xfId="4478"/>
    <cellStyle name="40% - Accent4 4 3 2 2 2" xfId="4479"/>
    <cellStyle name="40% - Accent4 4 3 2 3" xfId="4480"/>
    <cellStyle name="40% - Accent4 4 3 3" xfId="4481"/>
    <cellStyle name="40% - Accent4 4 3 3 2" xfId="4482"/>
    <cellStyle name="40% - Accent4 4 3 4" xfId="4483"/>
    <cellStyle name="40% - Accent4 4 3 5" xfId="4484"/>
    <cellStyle name="40% - Accent4 4 4" xfId="4485"/>
    <cellStyle name="40% - Accent4 4 4 2" xfId="4486"/>
    <cellStyle name="40% - Accent4 4 4 2 2" xfId="4487"/>
    <cellStyle name="40% - Accent4 4 4 3" xfId="4488"/>
    <cellStyle name="40% - Accent4 4 5" xfId="4489"/>
    <cellStyle name="40% - Accent4 4 5 2" xfId="4490"/>
    <cellStyle name="40% - Accent4 4 6" xfId="4491"/>
    <cellStyle name="40% - Accent4 4 7" xfId="4492"/>
    <cellStyle name="40% - Accent4 5" xfId="681"/>
    <cellStyle name="40% - Accent4 5 2" xfId="4493"/>
    <cellStyle name="40% - Accent4 5 2 2" xfId="4494"/>
    <cellStyle name="40% - Accent4 5 2 2 2" xfId="4495"/>
    <cellStyle name="40% - Accent4 5 2 2 2 2" xfId="4496"/>
    <cellStyle name="40% - Accent4 5 2 2 3" xfId="4497"/>
    <cellStyle name="40% - Accent4 5 2 3" xfId="4498"/>
    <cellStyle name="40% - Accent4 5 2 3 2" xfId="4499"/>
    <cellStyle name="40% - Accent4 5 2 4" xfId="4500"/>
    <cellStyle name="40% - Accent4 5 2 5" xfId="4501"/>
    <cellStyle name="40% - Accent4 5 3" xfId="4502"/>
    <cellStyle name="40% - Accent4 5 3 2" xfId="4503"/>
    <cellStyle name="40% - Accent4 5 3 2 2" xfId="4504"/>
    <cellStyle name="40% - Accent4 5 3 3" xfId="4505"/>
    <cellStyle name="40% - Accent4 5 4" xfId="4506"/>
    <cellStyle name="40% - Accent4 5 4 2" xfId="4507"/>
    <cellStyle name="40% - Accent4 5 5" xfId="4508"/>
    <cellStyle name="40% - Accent4 5 6" xfId="4509"/>
    <cellStyle name="40% - Accent4 6" xfId="682"/>
    <cellStyle name="40% - Accent4 6 2" xfId="4510"/>
    <cellStyle name="40% - Accent4 6 2 2" xfId="4511"/>
    <cellStyle name="40% - Accent4 6 2 2 2" xfId="4512"/>
    <cellStyle name="40% - Accent4 6 2 3" xfId="4513"/>
    <cellStyle name="40% - Accent4 6 2 4" xfId="4514"/>
    <cellStyle name="40% - Accent4 6 2 5" xfId="4515"/>
    <cellStyle name="40% - Accent4 6 3" xfId="4516"/>
    <cellStyle name="40% - Accent4 6 3 2" xfId="4517"/>
    <cellStyle name="40% - Accent4 6 4" xfId="4518"/>
    <cellStyle name="40% - Accent4 6 5" xfId="4519"/>
    <cellStyle name="40% - Accent4 7" xfId="683"/>
    <cellStyle name="40% - Accent4 7 2" xfId="4520"/>
    <cellStyle name="40% - Accent4 7 2 2" xfId="4521"/>
    <cellStyle name="40% - Accent4 7 2 2 2" xfId="4522"/>
    <cellStyle name="40% - Accent4 7 2 3" xfId="4523"/>
    <cellStyle name="40% - Accent4 7 3" xfId="4524"/>
    <cellStyle name="40% - Accent4 7 3 2" xfId="4525"/>
    <cellStyle name="40% - Accent4 7 4" xfId="4526"/>
    <cellStyle name="40% - Accent4 7 5" xfId="4527"/>
    <cellStyle name="40% - Accent4 8" xfId="684"/>
    <cellStyle name="40% - Accent4 8 2" xfId="4528"/>
    <cellStyle name="40% - Accent4 8 2 2" xfId="4529"/>
    <cellStyle name="40% - Accent4 8 2 2 2" xfId="4530"/>
    <cellStyle name="40% - Accent4 8 2 3" xfId="4531"/>
    <cellStyle name="40% - Accent4 8 3" xfId="4532"/>
    <cellStyle name="40% - Accent4 8 3 2" xfId="4533"/>
    <cellStyle name="40% - Accent4 8 4" xfId="4534"/>
    <cellStyle name="40% - Accent4 8 5" xfId="4535"/>
    <cellStyle name="40% - Accent4 9" xfId="685"/>
    <cellStyle name="40% - Accent4 9 2" xfId="4536"/>
    <cellStyle name="40% - Accent4 9 2 2" xfId="4537"/>
    <cellStyle name="40% - Accent4 9 3" xfId="4538"/>
    <cellStyle name="40% - Accent4 9 4" xfId="4539"/>
    <cellStyle name="40% - Accent5 10" xfId="686"/>
    <cellStyle name="40% - Accent5 10 2" xfId="4540"/>
    <cellStyle name="40% - Accent5 10 2 2" xfId="4541"/>
    <cellStyle name="40% - Accent5 10 3" xfId="4542"/>
    <cellStyle name="40% - Accent5 10 4" xfId="4543"/>
    <cellStyle name="40% - Accent5 11" xfId="687"/>
    <cellStyle name="40% - Accent5 11 2" xfId="4544"/>
    <cellStyle name="40% - Accent5 11 2 2" xfId="4545"/>
    <cellStyle name="40% - Accent5 11 3" xfId="4546"/>
    <cellStyle name="40% - Accent5 11 4" xfId="4547"/>
    <cellStyle name="40% - Accent5 12" xfId="688"/>
    <cellStyle name="40% - Accent5 12 2" xfId="4548"/>
    <cellStyle name="40% - Accent5 12 3" xfId="4549"/>
    <cellStyle name="40% - Accent5 13" xfId="689"/>
    <cellStyle name="40% - Accent5 13 2" xfId="4550"/>
    <cellStyle name="40% - Accent5 14" xfId="690"/>
    <cellStyle name="40% - Accent5 15" xfId="691"/>
    <cellStyle name="40% - Accent5 15 2" xfId="692"/>
    <cellStyle name="40% - Accent5 15 3" xfId="693"/>
    <cellStyle name="40% - Accent5 15 4" xfId="694"/>
    <cellStyle name="40% - Accent5 15 5" xfId="695"/>
    <cellStyle name="40% - Accent5 16" xfId="696"/>
    <cellStyle name="40% - Accent5 16 2" xfId="697"/>
    <cellStyle name="40% - Accent5 16 3" xfId="698"/>
    <cellStyle name="40% - Accent5 16 4" xfId="699"/>
    <cellStyle name="40% - Accent5 16 5" xfId="700"/>
    <cellStyle name="40% - Accent5 17" xfId="701"/>
    <cellStyle name="40% - Accent5 17 2" xfId="702"/>
    <cellStyle name="40% - Accent5 17 3" xfId="703"/>
    <cellStyle name="40% - Accent5 17 4" xfId="704"/>
    <cellStyle name="40% - Accent5 17 5" xfId="705"/>
    <cellStyle name="40% - Accent5 18" xfId="706"/>
    <cellStyle name="40% - Accent5 19" xfId="707"/>
    <cellStyle name="40% - Accent5 2" xfId="708"/>
    <cellStyle name="40% - Accent5 2 2" xfId="709"/>
    <cellStyle name="40% - Accent5 2 2 2" xfId="710"/>
    <cellStyle name="40% - Accent5 2 2 2 2" xfId="711"/>
    <cellStyle name="40% - Accent5 2 2 2 2 2" xfId="4551"/>
    <cellStyle name="40% - Accent5 2 2 2 2 2 2" xfId="4552"/>
    <cellStyle name="40% - Accent5 2 2 2 2 2 2 2" xfId="4553"/>
    <cellStyle name="40% - Accent5 2 2 2 2 2 3" xfId="4554"/>
    <cellStyle name="40% - Accent5 2 2 2 2 3" xfId="4555"/>
    <cellStyle name="40% - Accent5 2 2 2 2 3 2" xfId="4556"/>
    <cellStyle name="40% - Accent5 2 2 2 2 4" xfId="4557"/>
    <cellStyle name="40% - Accent5 2 2 2 2 5" xfId="4558"/>
    <cellStyle name="40% - Accent5 2 2 2 3" xfId="712"/>
    <cellStyle name="40% - Accent5 2 2 2 3 2" xfId="4559"/>
    <cellStyle name="40% - Accent5 2 2 2 3 2 2" xfId="4560"/>
    <cellStyle name="40% - Accent5 2 2 2 3 3" xfId="4561"/>
    <cellStyle name="40% - Accent5 2 2 2 4" xfId="713"/>
    <cellStyle name="40% - Accent5 2 2 2 4 2" xfId="4562"/>
    <cellStyle name="40% - Accent5 2 2 2 5" xfId="714"/>
    <cellStyle name="40% - Accent5 2 2 2 6" xfId="4563"/>
    <cellStyle name="40% - Accent5 2 2 3" xfId="715"/>
    <cellStyle name="40% - Accent5 2 2 3 2" xfId="4564"/>
    <cellStyle name="40% - Accent5 2 2 3 2 2" xfId="4565"/>
    <cellStyle name="40% - Accent5 2 2 3 2 2 2" xfId="4566"/>
    <cellStyle name="40% - Accent5 2 2 3 2 3" xfId="4567"/>
    <cellStyle name="40% - Accent5 2 2 3 3" xfId="4568"/>
    <cellStyle name="40% - Accent5 2 2 3 3 2" xfId="4569"/>
    <cellStyle name="40% - Accent5 2 2 3 4" xfId="4570"/>
    <cellStyle name="40% - Accent5 2 2 3 5" xfId="4571"/>
    <cellStyle name="40% - Accent5 2 2 4" xfId="716"/>
    <cellStyle name="40% - Accent5 2 2 4 2" xfId="4572"/>
    <cellStyle name="40% - Accent5 2 2 4 2 2" xfId="4573"/>
    <cellStyle name="40% - Accent5 2 2 4 3" xfId="4574"/>
    <cellStyle name="40% - Accent5 2 2 5" xfId="717"/>
    <cellStyle name="40% - Accent5 2 2 5 2" xfId="4575"/>
    <cellStyle name="40% - Accent5 2 2 6" xfId="4576"/>
    <cellStyle name="40% - Accent5 2 2 7" xfId="4577"/>
    <cellStyle name="40% - Accent5 2 3" xfId="718"/>
    <cellStyle name="40% - Accent5 2 3 2" xfId="4578"/>
    <cellStyle name="40% - Accent5 2 3 2 2" xfId="4579"/>
    <cellStyle name="40% - Accent5 2 3 2 2 2" xfId="4580"/>
    <cellStyle name="40% - Accent5 2 3 2 2 2 2" xfId="4581"/>
    <cellStyle name="40% - Accent5 2 3 2 2 3" xfId="4582"/>
    <cellStyle name="40% - Accent5 2 3 2 3" xfId="4583"/>
    <cellStyle name="40% - Accent5 2 3 2 3 2" xfId="4584"/>
    <cellStyle name="40% - Accent5 2 3 2 4" xfId="4585"/>
    <cellStyle name="40% - Accent5 2 3 3" xfId="4586"/>
    <cellStyle name="40% - Accent5 2 3 3 2" xfId="4587"/>
    <cellStyle name="40% - Accent5 2 3 3 2 2" xfId="4588"/>
    <cellStyle name="40% - Accent5 2 3 3 3" xfId="4589"/>
    <cellStyle name="40% - Accent5 2 3 4" xfId="4590"/>
    <cellStyle name="40% - Accent5 2 3 4 2" xfId="4591"/>
    <cellStyle name="40% - Accent5 2 3 5" xfId="4592"/>
    <cellStyle name="40% - Accent5 2 3 6" xfId="4593"/>
    <cellStyle name="40% - Accent5 2 4" xfId="719"/>
    <cellStyle name="40% - Accent5 2 4 2" xfId="4594"/>
    <cellStyle name="40% - Accent5 2 4 2 2" xfId="4595"/>
    <cellStyle name="40% - Accent5 2 4 2 2 2" xfId="4596"/>
    <cellStyle name="40% - Accent5 2 4 2 3" xfId="4597"/>
    <cellStyle name="40% - Accent5 2 4 3" xfId="4598"/>
    <cellStyle name="40% - Accent5 2 4 3 2" xfId="4599"/>
    <cellStyle name="40% - Accent5 2 4 4" xfId="4600"/>
    <cellStyle name="40% - Accent5 2 4 5" xfId="4601"/>
    <cellStyle name="40% - Accent5 2 5" xfId="720"/>
    <cellStyle name="40% - Accent5 2 5 2" xfId="4602"/>
    <cellStyle name="40% - Accent5 2 5 2 2" xfId="4603"/>
    <cellStyle name="40% - Accent5 2 5 3" xfId="4604"/>
    <cellStyle name="40% - Accent5 2 5 4" xfId="4605"/>
    <cellStyle name="40% - Accent5 2 6" xfId="721"/>
    <cellStyle name="40% - Accent5 2 6 2" xfId="4606"/>
    <cellStyle name="40% - Accent5 2 6 3" xfId="4607"/>
    <cellStyle name="40% - Accent5 2 7" xfId="722"/>
    <cellStyle name="40% - Accent5 2 8" xfId="723"/>
    <cellStyle name="40% - Accent5 2 9" xfId="724"/>
    <cellStyle name="40% - Accent5 20" xfId="725"/>
    <cellStyle name="40% - Accent5 21" xfId="726"/>
    <cellStyle name="40% - Accent5 22" xfId="727"/>
    <cellStyle name="40% - Accent5 23" xfId="728"/>
    <cellStyle name="40% - Accent5 24" xfId="729"/>
    <cellStyle name="40% - Accent5 25" xfId="730"/>
    <cellStyle name="40% - Accent5 26" xfId="731"/>
    <cellStyle name="40% - Accent5 27" xfId="732"/>
    <cellStyle name="40% - Accent5 28" xfId="733"/>
    <cellStyle name="40% - Accent5 29" xfId="734"/>
    <cellStyle name="40% - Accent5 3" xfId="735"/>
    <cellStyle name="40% - Accent5 3 2" xfId="4608"/>
    <cellStyle name="40% - Accent5 3 2 2" xfId="4609"/>
    <cellStyle name="40% - Accent5 3 2 2 2" xfId="4610"/>
    <cellStyle name="40% - Accent5 3 2 2 2 2" xfId="4611"/>
    <cellStyle name="40% - Accent5 3 2 2 2 2 2" xfId="4612"/>
    <cellStyle name="40% - Accent5 3 2 2 2 2 2 2" xfId="4613"/>
    <cellStyle name="40% - Accent5 3 2 2 2 2 3" xfId="4614"/>
    <cellStyle name="40% - Accent5 3 2 2 2 3" xfId="4615"/>
    <cellStyle name="40% - Accent5 3 2 2 2 3 2" xfId="4616"/>
    <cellStyle name="40% - Accent5 3 2 2 2 4" xfId="4617"/>
    <cellStyle name="40% - Accent5 3 2 2 3" xfId="4618"/>
    <cellStyle name="40% - Accent5 3 2 2 3 2" xfId="4619"/>
    <cellStyle name="40% - Accent5 3 2 2 3 2 2" xfId="4620"/>
    <cellStyle name="40% - Accent5 3 2 2 3 3" xfId="4621"/>
    <cellStyle name="40% - Accent5 3 2 2 4" xfId="4622"/>
    <cellStyle name="40% - Accent5 3 2 2 4 2" xfId="4623"/>
    <cellStyle name="40% - Accent5 3 2 2 5" xfId="4624"/>
    <cellStyle name="40% - Accent5 3 2 2 6" xfId="4625"/>
    <cellStyle name="40% - Accent5 3 2 3" xfId="4626"/>
    <cellStyle name="40% - Accent5 3 2 3 2" xfId="4627"/>
    <cellStyle name="40% - Accent5 3 2 3 2 2" xfId="4628"/>
    <cellStyle name="40% - Accent5 3 2 3 2 2 2" xfId="4629"/>
    <cellStyle name="40% - Accent5 3 2 3 2 3" xfId="4630"/>
    <cellStyle name="40% - Accent5 3 2 3 3" xfId="4631"/>
    <cellStyle name="40% - Accent5 3 2 3 3 2" xfId="4632"/>
    <cellStyle name="40% - Accent5 3 2 3 4" xfId="4633"/>
    <cellStyle name="40% - Accent5 3 2 4" xfId="4634"/>
    <cellStyle name="40% - Accent5 3 2 4 2" xfId="4635"/>
    <cellStyle name="40% - Accent5 3 2 4 2 2" xfId="4636"/>
    <cellStyle name="40% - Accent5 3 2 4 3" xfId="4637"/>
    <cellStyle name="40% - Accent5 3 2 5" xfId="4638"/>
    <cellStyle name="40% - Accent5 3 2 5 2" xfId="4639"/>
    <cellStyle name="40% - Accent5 3 2 6" xfId="4640"/>
    <cellStyle name="40% - Accent5 3 2 7" xfId="4641"/>
    <cellStyle name="40% - Accent5 3 3" xfId="4642"/>
    <cellStyle name="40% - Accent5 3 3 2" xfId="4643"/>
    <cellStyle name="40% - Accent5 3 3 2 2" xfId="4644"/>
    <cellStyle name="40% - Accent5 3 3 2 2 2" xfId="4645"/>
    <cellStyle name="40% - Accent5 3 3 2 2 2 2" xfId="4646"/>
    <cellStyle name="40% - Accent5 3 3 2 2 3" xfId="4647"/>
    <cellStyle name="40% - Accent5 3 3 2 3" xfId="4648"/>
    <cellStyle name="40% - Accent5 3 3 2 3 2" xfId="4649"/>
    <cellStyle name="40% - Accent5 3 3 2 4" xfId="4650"/>
    <cellStyle name="40% - Accent5 3 3 3" xfId="4651"/>
    <cellStyle name="40% - Accent5 3 3 3 2" xfId="4652"/>
    <cellStyle name="40% - Accent5 3 3 3 2 2" xfId="4653"/>
    <cellStyle name="40% - Accent5 3 3 3 3" xfId="4654"/>
    <cellStyle name="40% - Accent5 3 3 4" xfId="4655"/>
    <cellStyle name="40% - Accent5 3 3 4 2" xfId="4656"/>
    <cellStyle name="40% - Accent5 3 3 5" xfId="4657"/>
    <cellStyle name="40% - Accent5 3 3 6" xfId="4658"/>
    <cellStyle name="40% - Accent5 3 4" xfId="4659"/>
    <cellStyle name="40% - Accent5 3 4 2" xfId="4660"/>
    <cellStyle name="40% - Accent5 3 4 2 2" xfId="4661"/>
    <cellStyle name="40% - Accent5 3 4 2 2 2" xfId="4662"/>
    <cellStyle name="40% - Accent5 3 4 2 3" xfId="4663"/>
    <cellStyle name="40% - Accent5 3 4 3" xfId="4664"/>
    <cellStyle name="40% - Accent5 3 4 3 2" xfId="4665"/>
    <cellStyle name="40% - Accent5 3 4 4" xfId="4666"/>
    <cellStyle name="40% - Accent5 3 4 5" xfId="4667"/>
    <cellStyle name="40% - Accent5 3 5" xfId="4668"/>
    <cellStyle name="40% - Accent5 3 5 2" xfId="4669"/>
    <cellStyle name="40% - Accent5 3 5 2 2" xfId="4670"/>
    <cellStyle name="40% - Accent5 3 5 3" xfId="4671"/>
    <cellStyle name="40% - Accent5 3 6" xfId="4672"/>
    <cellStyle name="40% - Accent5 3 6 2" xfId="4673"/>
    <cellStyle name="40% - Accent5 3 7" xfId="4674"/>
    <cellStyle name="40% - Accent5 3 8" xfId="4675"/>
    <cellStyle name="40% - Accent5 3 9" xfId="4676"/>
    <cellStyle name="40% - Accent5 30" xfId="736"/>
    <cellStyle name="40% - Accent5 31" xfId="737"/>
    <cellStyle name="40% - Accent5 32" xfId="738"/>
    <cellStyle name="40% - Accent5 33" xfId="739"/>
    <cellStyle name="40% - Accent5 34" xfId="740"/>
    <cellStyle name="40% - Accent5 35" xfId="741"/>
    <cellStyle name="40% - Accent5 4" xfId="742"/>
    <cellStyle name="40% - Accent5 4 2" xfId="4677"/>
    <cellStyle name="40% - Accent5 4 2 2" xfId="4678"/>
    <cellStyle name="40% - Accent5 4 2 2 2" xfId="4679"/>
    <cellStyle name="40% - Accent5 4 2 2 2 2" xfId="4680"/>
    <cellStyle name="40% - Accent5 4 2 2 2 2 2" xfId="4681"/>
    <cellStyle name="40% - Accent5 4 2 2 2 3" xfId="4682"/>
    <cellStyle name="40% - Accent5 4 2 2 3" xfId="4683"/>
    <cellStyle name="40% - Accent5 4 2 2 3 2" xfId="4684"/>
    <cellStyle name="40% - Accent5 4 2 2 4" xfId="4685"/>
    <cellStyle name="40% - Accent5 4 2 3" xfId="4686"/>
    <cellStyle name="40% - Accent5 4 2 3 2" xfId="4687"/>
    <cellStyle name="40% - Accent5 4 2 3 2 2" xfId="4688"/>
    <cellStyle name="40% - Accent5 4 2 3 3" xfId="4689"/>
    <cellStyle name="40% - Accent5 4 2 4" xfId="4690"/>
    <cellStyle name="40% - Accent5 4 2 4 2" xfId="4691"/>
    <cellStyle name="40% - Accent5 4 2 5" xfId="4692"/>
    <cellStyle name="40% - Accent5 4 2 6" xfId="4693"/>
    <cellStyle name="40% - Accent5 4 3" xfId="4694"/>
    <cellStyle name="40% - Accent5 4 3 2" xfId="4695"/>
    <cellStyle name="40% - Accent5 4 3 2 2" xfId="4696"/>
    <cellStyle name="40% - Accent5 4 3 2 2 2" xfId="4697"/>
    <cellStyle name="40% - Accent5 4 3 2 3" xfId="4698"/>
    <cellStyle name="40% - Accent5 4 3 3" xfId="4699"/>
    <cellStyle name="40% - Accent5 4 3 3 2" xfId="4700"/>
    <cellStyle name="40% - Accent5 4 3 4" xfId="4701"/>
    <cellStyle name="40% - Accent5 4 3 5" xfId="4702"/>
    <cellStyle name="40% - Accent5 4 4" xfId="4703"/>
    <cellStyle name="40% - Accent5 4 4 2" xfId="4704"/>
    <cellStyle name="40% - Accent5 4 4 2 2" xfId="4705"/>
    <cellStyle name="40% - Accent5 4 4 3" xfId="4706"/>
    <cellStyle name="40% - Accent5 4 5" xfId="4707"/>
    <cellStyle name="40% - Accent5 4 5 2" xfId="4708"/>
    <cellStyle name="40% - Accent5 4 6" xfId="4709"/>
    <cellStyle name="40% - Accent5 4 7" xfId="4710"/>
    <cellStyle name="40% - Accent5 5" xfId="743"/>
    <cellStyle name="40% - Accent5 5 2" xfId="4711"/>
    <cellStyle name="40% - Accent5 5 2 2" xfId="4712"/>
    <cellStyle name="40% - Accent5 5 2 2 2" xfId="4713"/>
    <cellStyle name="40% - Accent5 5 2 2 2 2" xfId="4714"/>
    <cellStyle name="40% - Accent5 5 2 2 3" xfId="4715"/>
    <cellStyle name="40% - Accent5 5 2 3" xfId="4716"/>
    <cellStyle name="40% - Accent5 5 2 3 2" xfId="4717"/>
    <cellStyle name="40% - Accent5 5 2 4" xfId="4718"/>
    <cellStyle name="40% - Accent5 5 2 5" xfId="4719"/>
    <cellStyle name="40% - Accent5 5 3" xfId="4720"/>
    <cellStyle name="40% - Accent5 5 3 2" xfId="4721"/>
    <cellStyle name="40% - Accent5 5 3 2 2" xfId="4722"/>
    <cellStyle name="40% - Accent5 5 3 3" xfId="4723"/>
    <cellStyle name="40% - Accent5 5 4" xfId="4724"/>
    <cellStyle name="40% - Accent5 5 4 2" xfId="4725"/>
    <cellStyle name="40% - Accent5 5 5" xfId="4726"/>
    <cellStyle name="40% - Accent5 5 6" xfId="4727"/>
    <cellStyle name="40% - Accent5 6" xfId="744"/>
    <cellStyle name="40% - Accent5 6 2" xfId="4728"/>
    <cellStyle name="40% - Accent5 6 2 2" xfId="4729"/>
    <cellStyle name="40% - Accent5 6 2 2 2" xfId="4730"/>
    <cellStyle name="40% - Accent5 6 2 3" xfId="4731"/>
    <cellStyle name="40% - Accent5 6 2 4" xfId="4732"/>
    <cellStyle name="40% - Accent5 6 2 5" xfId="4733"/>
    <cellStyle name="40% - Accent5 6 3" xfId="4734"/>
    <cellStyle name="40% - Accent5 6 3 2" xfId="4735"/>
    <cellStyle name="40% - Accent5 6 4" xfId="4736"/>
    <cellStyle name="40% - Accent5 6 5" xfId="4737"/>
    <cellStyle name="40% - Accent5 7" xfId="745"/>
    <cellStyle name="40% - Accent5 7 2" xfId="4738"/>
    <cellStyle name="40% - Accent5 7 2 2" xfId="4739"/>
    <cellStyle name="40% - Accent5 7 2 2 2" xfId="4740"/>
    <cellStyle name="40% - Accent5 7 2 3" xfId="4741"/>
    <cellStyle name="40% - Accent5 7 3" xfId="4742"/>
    <cellStyle name="40% - Accent5 7 3 2" xfId="4743"/>
    <cellStyle name="40% - Accent5 7 4" xfId="4744"/>
    <cellStyle name="40% - Accent5 7 5" xfId="4745"/>
    <cellStyle name="40% - Accent5 8" xfId="746"/>
    <cellStyle name="40% - Accent5 8 2" xfId="4746"/>
    <cellStyle name="40% - Accent5 8 2 2" xfId="4747"/>
    <cellStyle name="40% - Accent5 8 2 2 2" xfId="4748"/>
    <cellStyle name="40% - Accent5 8 2 3" xfId="4749"/>
    <cellStyle name="40% - Accent5 8 3" xfId="4750"/>
    <cellStyle name="40% - Accent5 8 3 2" xfId="4751"/>
    <cellStyle name="40% - Accent5 8 4" xfId="4752"/>
    <cellStyle name="40% - Accent5 8 5" xfId="4753"/>
    <cellStyle name="40% - Accent5 9" xfId="747"/>
    <cellStyle name="40% - Accent5 9 2" xfId="4754"/>
    <cellStyle name="40% - Accent5 9 2 2" xfId="4755"/>
    <cellStyle name="40% - Accent5 9 3" xfId="4756"/>
    <cellStyle name="40% - Accent5 9 4" xfId="4757"/>
    <cellStyle name="40% - Accent6 10" xfId="748"/>
    <cellStyle name="40% - Accent6 10 2" xfId="4758"/>
    <cellStyle name="40% - Accent6 10 2 2" xfId="4759"/>
    <cellStyle name="40% - Accent6 10 3" xfId="4760"/>
    <cellStyle name="40% - Accent6 10 4" xfId="4761"/>
    <cellStyle name="40% - Accent6 11" xfId="749"/>
    <cellStyle name="40% - Accent6 11 2" xfId="4762"/>
    <cellStyle name="40% - Accent6 11 2 2" xfId="4763"/>
    <cellStyle name="40% - Accent6 11 3" xfId="4764"/>
    <cellStyle name="40% - Accent6 11 4" xfId="4765"/>
    <cellStyle name="40% - Accent6 12" xfId="750"/>
    <cellStyle name="40% - Accent6 12 2" xfId="4766"/>
    <cellStyle name="40% - Accent6 12 3" xfId="4767"/>
    <cellStyle name="40% - Accent6 13" xfId="751"/>
    <cellStyle name="40% - Accent6 13 2" xfId="4768"/>
    <cellStyle name="40% - Accent6 14" xfId="752"/>
    <cellStyle name="40% - Accent6 15" xfId="753"/>
    <cellStyle name="40% - Accent6 15 2" xfId="754"/>
    <cellStyle name="40% - Accent6 15 3" xfId="755"/>
    <cellStyle name="40% - Accent6 15 4" xfId="756"/>
    <cellStyle name="40% - Accent6 15 5" xfId="757"/>
    <cellStyle name="40% - Accent6 16" xfId="758"/>
    <cellStyle name="40% - Accent6 16 2" xfId="759"/>
    <cellStyle name="40% - Accent6 16 3" xfId="760"/>
    <cellStyle name="40% - Accent6 16 4" xfId="761"/>
    <cellStyle name="40% - Accent6 16 5" xfId="762"/>
    <cellStyle name="40% - Accent6 17" xfId="763"/>
    <cellStyle name="40% - Accent6 17 2" xfId="764"/>
    <cellStyle name="40% - Accent6 17 3" xfId="765"/>
    <cellStyle name="40% - Accent6 17 4" xfId="766"/>
    <cellStyle name="40% - Accent6 17 5" xfId="767"/>
    <cellStyle name="40% - Accent6 18" xfId="768"/>
    <cellStyle name="40% - Accent6 19" xfId="769"/>
    <cellStyle name="40% - Accent6 2" xfId="770"/>
    <cellStyle name="40% - Accent6 2 2" xfId="771"/>
    <cellStyle name="40% - Accent6 2 2 2" xfId="772"/>
    <cellStyle name="40% - Accent6 2 2 2 2" xfId="773"/>
    <cellStyle name="40% - Accent6 2 2 2 2 2" xfId="4769"/>
    <cellStyle name="40% - Accent6 2 2 2 2 2 2" xfId="4770"/>
    <cellStyle name="40% - Accent6 2 2 2 2 2 2 2" xfId="4771"/>
    <cellStyle name="40% - Accent6 2 2 2 2 2 3" xfId="4772"/>
    <cellStyle name="40% - Accent6 2 2 2 2 3" xfId="4773"/>
    <cellStyle name="40% - Accent6 2 2 2 2 3 2" xfId="4774"/>
    <cellStyle name="40% - Accent6 2 2 2 2 4" xfId="4775"/>
    <cellStyle name="40% - Accent6 2 2 2 2 5" xfId="4776"/>
    <cellStyle name="40% - Accent6 2 2 2 3" xfId="774"/>
    <cellStyle name="40% - Accent6 2 2 2 3 2" xfId="4777"/>
    <cellStyle name="40% - Accent6 2 2 2 3 2 2" xfId="4778"/>
    <cellStyle name="40% - Accent6 2 2 2 3 3" xfId="4779"/>
    <cellStyle name="40% - Accent6 2 2 2 4" xfId="775"/>
    <cellStyle name="40% - Accent6 2 2 2 4 2" xfId="4780"/>
    <cellStyle name="40% - Accent6 2 2 2 5" xfId="776"/>
    <cellStyle name="40% - Accent6 2 2 2 6" xfId="4781"/>
    <cellStyle name="40% - Accent6 2 2 3" xfId="777"/>
    <cellStyle name="40% - Accent6 2 2 3 2" xfId="4782"/>
    <cellStyle name="40% - Accent6 2 2 3 2 2" xfId="4783"/>
    <cellStyle name="40% - Accent6 2 2 3 2 2 2" xfId="4784"/>
    <cellStyle name="40% - Accent6 2 2 3 2 3" xfId="4785"/>
    <cellStyle name="40% - Accent6 2 2 3 3" xfId="4786"/>
    <cellStyle name="40% - Accent6 2 2 3 3 2" xfId="4787"/>
    <cellStyle name="40% - Accent6 2 2 3 4" xfId="4788"/>
    <cellStyle name="40% - Accent6 2 2 3 5" xfId="4789"/>
    <cellStyle name="40% - Accent6 2 2 4" xfId="778"/>
    <cellStyle name="40% - Accent6 2 2 4 2" xfId="4790"/>
    <cellStyle name="40% - Accent6 2 2 4 2 2" xfId="4791"/>
    <cellStyle name="40% - Accent6 2 2 4 3" xfId="4792"/>
    <cellStyle name="40% - Accent6 2 2 5" xfId="779"/>
    <cellStyle name="40% - Accent6 2 2 5 2" xfId="4793"/>
    <cellStyle name="40% - Accent6 2 2 6" xfId="4794"/>
    <cellStyle name="40% - Accent6 2 2 7" xfId="4795"/>
    <cellStyle name="40% - Accent6 2 3" xfId="780"/>
    <cellStyle name="40% - Accent6 2 3 2" xfId="4796"/>
    <cellStyle name="40% - Accent6 2 3 2 2" xfId="4797"/>
    <cellStyle name="40% - Accent6 2 3 2 2 2" xfId="4798"/>
    <cellStyle name="40% - Accent6 2 3 2 2 2 2" xfId="4799"/>
    <cellStyle name="40% - Accent6 2 3 2 2 3" xfId="4800"/>
    <cellStyle name="40% - Accent6 2 3 2 3" xfId="4801"/>
    <cellStyle name="40% - Accent6 2 3 2 3 2" xfId="4802"/>
    <cellStyle name="40% - Accent6 2 3 2 4" xfId="4803"/>
    <cellStyle name="40% - Accent6 2 3 3" xfId="4804"/>
    <cellStyle name="40% - Accent6 2 3 3 2" xfId="4805"/>
    <cellStyle name="40% - Accent6 2 3 3 2 2" xfId="4806"/>
    <cellStyle name="40% - Accent6 2 3 3 3" xfId="4807"/>
    <cellStyle name="40% - Accent6 2 3 4" xfId="4808"/>
    <cellStyle name="40% - Accent6 2 3 4 2" xfId="4809"/>
    <cellStyle name="40% - Accent6 2 3 5" xfId="4810"/>
    <cellStyle name="40% - Accent6 2 3 6" xfId="4811"/>
    <cellStyle name="40% - Accent6 2 4" xfId="781"/>
    <cellStyle name="40% - Accent6 2 4 2" xfId="4812"/>
    <cellStyle name="40% - Accent6 2 4 2 2" xfId="4813"/>
    <cellStyle name="40% - Accent6 2 4 2 2 2" xfId="4814"/>
    <cellStyle name="40% - Accent6 2 4 2 3" xfId="4815"/>
    <cellStyle name="40% - Accent6 2 4 3" xfId="4816"/>
    <cellStyle name="40% - Accent6 2 4 3 2" xfId="4817"/>
    <cellStyle name="40% - Accent6 2 4 4" xfId="4818"/>
    <cellStyle name="40% - Accent6 2 4 5" xfId="4819"/>
    <cellStyle name="40% - Accent6 2 5" xfId="782"/>
    <cellStyle name="40% - Accent6 2 5 2" xfId="4820"/>
    <cellStyle name="40% - Accent6 2 5 2 2" xfId="4821"/>
    <cellStyle name="40% - Accent6 2 5 3" xfId="4822"/>
    <cellStyle name="40% - Accent6 2 5 4" xfId="4823"/>
    <cellStyle name="40% - Accent6 2 6" xfId="783"/>
    <cellStyle name="40% - Accent6 2 6 2" xfId="4824"/>
    <cellStyle name="40% - Accent6 2 6 3" xfId="4825"/>
    <cellStyle name="40% - Accent6 2 7" xfId="784"/>
    <cellStyle name="40% - Accent6 2 8" xfId="785"/>
    <cellStyle name="40% - Accent6 2 9" xfId="786"/>
    <cellStyle name="40% - Accent6 20" xfId="787"/>
    <cellStyle name="40% - Accent6 21" xfId="788"/>
    <cellStyle name="40% - Accent6 22" xfId="789"/>
    <cellStyle name="40% - Accent6 23" xfId="790"/>
    <cellStyle name="40% - Accent6 24" xfId="791"/>
    <cellStyle name="40% - Accent6 25" xfId="792"/>
    <cellStyle name="40% - Accent6 26" xfId="793"/>
    <cellStyle name="40% - Accent6 27" xfId="794"/>
    <cellStyle name="40% - Accent6 28" xfId="795"/>
    <cellStyle name="40% - Accent6 29" xfId="796"/>
    <cellStyle name="40% - Accent6 3" xfId="797"/>
    <cellStyle name="40% - Accent6 3 2" xfId="4826"/>
    <cellStyle name="40% - Accent6 3 2 2" xfId="4827"/>
    <cellStyle name="40% - Accent6 3 2 2 2" xfId="4828"/>
    <cellStyle name="40% - Accent6 3 2 2 2 2" xfId="4829"/>
    <cellStyle name="40% - Accent6 3 2 2 2 2 2" xfId="4830"/>
    <cellStyle name="40% - Accent6 3 2 2 2 2 2 2" xfId="4831"/>
    <cellStyle name="40% - Accent6 3 2 2 2 2 3" xfId="4832"/>
    <cellStyle name="40% - Accent6 3 2 2 2 3" xfId="4833"/>
    <cellStyle name="40% - Accent6 3 2 2 2 3 2" xfId="4834"/>
    <cellStyle name="40% - Accent6 3 2 2 2 4" xfId="4835"/>
    <cellStyle name="40% - Accent6 3 2 2 3" xfId="4836"/>
    <cellStyle name="40% - Accent6 3 2 2 3 2" xfId="4837"/>
    <cellStyle name="40% - Accent6 3 2 2 3 2 2" xfId="4838"/>
    <cellStyle name="40% - Accent6 3 2 2 3 3" xfId="4839"/>
    <cellStyle name="40% - Accent6 3 2 2 4" xfId="4840"/>
    <cellStyle name="40% - Accent6 3 2 2 4 2" xfId="4841"/>
    <cellStyle name="40% - Accent6 3 2 2 5" xfId="4842"/>
    <cellStyle name="40% - Accent6 3 2 2 6" xfId="4843"/>
    <cellStyle name="40% - Accent6 3 2 3" xfId="4844"/>
    <cellStyle name="40% - Accent6 3 2 3 2" xfId="4845"/>
    <cellStyle name="40% - Accent6 3 2 3 2 2" xfId="4846"/>
    <cellStyle name="40% - Accent6 3 2 3 2 2 2" xfId="4847"/>
    <cellStyle name="40% - Accent6 3 2 3 2 3" xfId="4848"/>
    <cellStyle name="40% - Accent6 3 2 3 3" xfId="4849"/>
    <cellStyle name="40% - Accent6 3 2 3 3 2" xfId="4850"/>
    <cellStyle name="40% - Accent6 3 2 3 4" xfId="4851"/>
    <cellStyle name="40% - Accent6 3 2 4" xfId="4852"/>
    <cellStyle name="40% - Accent6 3 2 4 2" xfId="4853"/>
    <cellStyle name="40% - Accent6 3 2 4 2 2" xfId="4854"/>
    <cellStyle name="40% - Accent6 3 2 4 3" xfId="4855"/>
    <cellStyle name="40% - Accent6 3 2 5" xfId="4856"/>
    <cellStyle name="40% - Accent6 3 2 5 2" xfId="4857"/>
    <cellStyle name="40% - Accent6 3 2 6" xfId="4858"/>
    <cellStyle name="40% - Accent6 3 2 7" xfId="4859"/>
    <cellStyle name="40% - Accent6 3 3" xfId="4860"/>
    <cellStyle name="40% - Accent6 3 3 2" xfId="4861"/>
    <cellStyle name="40% - Accent6 3 3 2 2" xfId="4862"/>
    <cellStyle name="40% - Accent6 3 3 2 2 2" xfId="4863"/>
    <cellStyle name="40% - Accent6 3 3 2 2 2 2" xfId="4864"/>
    <cellStyle name="40% - Accent6 3 3 2 2 3" xfId="4865"/>
    <cellStyle name="40% - Accent6 3 3 2 3" xfId="4866"/>
    <cellStyle name="40% - Accent6 3 3 2 3 2" xfId="4867"/>
    <cellStyle name="40% - Accent6 3 3 2 4" xfId="4868"/>
    <cellStyle name="40% - Accent6 3 3 3" xfId="4869"/>
    <cellStyle name="40% - Accent6 3 3 3 2" xfId="4870"/>
    <cellStyle name="40% - Accent6 3 3 3 2 2" xfId="4871"/>
    <cellStyle name="40% - Accent6 3 3 3 3" xfId="4872"/>
    <cellStyle name="40% - Accent6 3 3 4" xfId="4873"/>
    <cellStyle name="40% - Accent6 3 3 4 2" xfId="4874"/>
    <cellStyle name="40% - Accent6 3 3 5" xfId="4875"/>
    <cellStyle name="40% - Accent6 3 3 6" xfId="4876"/>
    <cellStyle name="40% - Accent6 3 4" xfId="4877"/>
    <cellStyle name="40% - Accent6 3 4 2" xfId="4878"/>
    <cellStyle name="40% - Accent6 3 4 2 2" xfId="4879"/>
    <cellStyle name="40% - Accent6 3 4 2 2 2" xfId="4880"/>
    <cellStyle name="40% - Accent6 3 4 2 3" xfId="4881"/>
    <cellStyle name="40% - Accent6 3 4 3" xfId="4882"/>
    <cellStyle name="40% - Accent6 3 4 3 2" xfId="4883"/>
    <cellStyle name="40% - Accent6 3 4 4" xfId="4884"/>
    <cellStyle name="40% - Accent6 3 4 5" xfId="4885"/>
    <cellStyle name="40% - Accent6 3 5" xfId="4886"/>
    <cellStyle name="40% - Accent6 3 5 2" xfId="4887"/>
    <cellStyle name="40% - Accent6 3 5 2 2" xfId="4888"/>
    <cellStyle name="40% - Accent6 3 5 3" xfId="4889"/>
    <cellStyle name="40% - Accent6 3 6" xfId="4890"/>
    <cellStyle name="40% - Accent6 3 6 2" xfId="4891"/>
    <cellStyle name="40% - Accent6 3 7" xfId="4892"/>
    <cellStyle name="40% - Accent6 3 8" xfId="4893"/>
    <cellStyle name="40% - Accent6 3 9" xfId="4894"/>
    <cellStyle name="40% - Accent6 30" xfId="798"/>
    <cellStyle name="40% - Accent6 31" xfId="799"/>
    <cellStyle name="40% - Accent6 32" xfId="800"/>
    <cellStyle name="40% - Accent6 33" xfId="801"/>
    <cellStyle name="40% - Accent6 34" xfId="802"/>
    <cellStyle name="40% - Accent6 35" xfId="803"/>
    <cellStyle name="40% - Accent6 4" xfId="804"/>
    <cellStyle name="40% - Accent6 4 2" xfId="4895"/>
    <cellStyle name="40% - Accent6 4 2 2" xfId="4896"/>
    <cellStyle name="40% - Accent6 4 2 2 2" xfId="4897"/>
    <cellStyle name="40% - Accent6 4 2 2 2 2" xfId="4898"/>
    <cellStyle name="40% - Accent6 4 2 2 2 2 2" xfId="4899"/>
    <cellStyle name="40% - Accent6 4 2 2 2 3" xfId="4900"/>
    <cellStyle name="40% - Accent6 4 2 2 3" xfId="4901"/>
    <cellStyle name="40% - Accent6 4 2 2 3 2" xfId="4902"/>
    <cellStyle name="40% - Accent6 4 2 2 4" xfId="4903"/>
    <cellStyle name="40% - Accent6 4 2 3" xfId="4904"/>
    <cellStyle name="40% - Accent6 4 2 3 2" xfId="4905"/>
    <cellStyle name="40% - Accent6 4 2 3 2 2" xfId="4906"/>
    <cellStyle name="40% - Accent6 4 2 3 3" xfId="4907"/>
    <cellStyle name="40% - Accent6 4 2 4" xfId="4908"/>
    <cellStyle name="40% - Accent6 4 2 4 2" xfId="4909"/>
    <cellStyle name="40% - Accent6 4 2 5" xfId="4910"/>
    <cellStyle name="40% - Accent6 4 2 6" xfId="4911"/>
    <cellStyle name="40% - Accent6 4 3" xfId="4912"/>
    <cellStyle name="40% - Accent6 4 3 2" xfId="4913"/>
    <cellStyle name="40% - Accent6 4 3 2 2" xfId="4914"/>
    <cellStyle name="40% - Accent6 4 3 2 2 2" xfId="4915"/>
    <cellStyle name="40% - Accent6 4 3 2 3" xfId="4916"/>
    <cellStyle name="40% - Accent6 4 3 3" xfId="4917"/>
    <cellStyle name="40% - Accent6 4 3 3 2" xfId="4918"/>
    <cellStyle name="40% - Accent6 4 3 4" xfId="4919"/>
    <cellStyle name="40% - Accent6 4 3 5" xfId="4920"/>
    <cellStyle name="40% - Accent6 4 4" xfId="4921"/>
    <cellStyle name="40% - Accent6 4 4 2" xfId="4922"/>
    <cellStyle name="40% - Accent6 4 4 2 2" xfId="4923"/>
    <cellStyle name="40% - Accent6 4 4 3" xfId="4924"/>
    <cellStyle name="40% - Accent6 4 5" xfId="4925"/>
    <cellStyle name="40% - Accent6 4 5 2" xfId="4926"/>
    <cellStyle name="40% - Accent6 4 6" xfId="4927"/>
    <cellStyle name="40% - Accent6 4 7" xfId="4928"/>
    <cellStyle name="40% - Accent6 5" xfId="805"/>
    <cellStyle name="40% - Accent6 5 2" xfId="4929"/>
    <cellStyle name="40% - Accent6 5 2 2" xfId="4930"/>
    <cellStyle name="40% - Accent6 5 2 2 2" xfId="4931"/>
    <cellStyle name="40% - Accent6 5 2 2 2 2" xfId="4932"/>
    <cellStyle name="40% - Accent6 5 2 2 3" xfId="4933"/>
    <cellStyle name="40% - Accent6 5 2 3" xfId="4934"/>
    <cellStyle name="40% - Accent6 5 2 3 2" xfId="4935"/>
    <cellStyle name="40% - Accent6 5 2 4" xfId="4936"/>
    <cellStyle name="40% - Accent6 5 2 5" xfId="4937"/>
    <cellStyle name="40% - Accent6 5 3" xfId="4938"/>
    <cellStyle name="40% - Accent6 5 3 2" xfId="4939"/>
    <cellStyle name="40% - Accent6 5 3 2 2" xfId="4940"/>
    <cellStyle name="40% - Accent6 5 3 3" xfId="4941"/>
    <cellStyle name="40% - Accent6 5 4" xfId="4942"/>
    <cellStyle name="40% - Accent6 5 4 2" xfId="4943"/>
    <cellStyle name="40% - Accent6 5 5" xfId="4944"/>
    <cellStyle name="40% - Accent6 5 6" xfId="4945"/>
    <cellStyle name="40% - Accent6 6" xfId="806"/>
    <cellStyle name="40% - Accent6 6 2" xfId="4946"/>
    <cellStyle name="40% - Accent6 6 2 2" xfId="4947"/>
    <cellStyle name="40% - Accent6 6 2 2 2" xfId="4948"/>
    <cellStyle name="40% - Accent6 6 2 3" xfId="4949"/>
    <cellStyle name="40% - Accent6 6 2 4" xfId="4950"/>
    <cellStyle name="40% - Accent6 6 2 5" xfId="4951"/>
    <cellStyle name="40% - Accent6 6 3" xfId="4952"/>
    <cellStyle name="40% - Accent6 6 3 2" xfId="4953"/>
    <cellStyle name="40% - Accent6 6 4" xfId="4954"/>
    <cellStyle name="40% - Accent6 6 5" xfId="4955"/>
    <cellStyle name="40% - Accent6 7" xfId="807"/>
    <cellStyle name="40% - Accent6 7 2" xfId="4956"/>
    <cellStyle name="40% - Accent6 7 2 2" xfId="4957"/>
    <cellStyle name="40% - Accent6 7 2 2 2" xfId="4958"/>
    <cellStyle name="40% - Accent6 7 2 3" xfId="4959"/>
    <cellStyle name="40% - Accent6 7 3" xfId="4960"/>
    <cellStyle name="40% - Accent6 7 3 2" xfId="4961"/>
    <cellStyle name="40% - Accent6 7 4" xfId="4962"/>
    <cellStyle name="40% - Accent6 7 5" xfId="4963"/>
    <cellStyle name="40% - Accent6 8" xfId="808"/>
    <cellStyle name="40% - Accent6 8 2" xfId="4964"/>
    <cellStyle name="40% - Accent6 8 2 2" xfId="4965"/>
    <cellStyle name="40% - Accent6 8 2 2 2" xfId="4966"/>
    <cellStyle name="40% - Accent6 8 2 3" xfId="4967"/>
    <cellStyle name="40% - Accent6 8 3" xfId="4968"/>
    <cellStyle name="40% - Accent6 8 3 2" xfId="4969"/>
    <cellStyle name="40% - Accent6 8 4" xfId="4970"/>
    <cellStyle name="40% - Accent6 8 5" xfId="4971"/>
    <cellStyle name="40% - Accent6 9" xfId="809"/>
    <cellStyle name="40% - Accent6 9 2" xfId="4972"/>
    <cellStyle name="40% - Accent6 9 2 2" xfId="4973"/>
    <cellStyle name="40% - Accent6 9 3" xfId="4974"/>
    <cellStyle name="40% - Accent6 9 4" xfId="4975"/>
    <cellStyle name="60% - Accent1 10" xfId="810"/>
    <cellStyle name="60% - Accent1 11" xfId="811"/>
    <cellStyle name="60% - Accent1 12" xfId="812"/>
    <cellStyle name="60% - Accent1 13" xfId="813"/>
    <cellStyle name="60% - Accent1 14" xfId="814"/>
    <cellStyle name="60% - Accent1 15" xfId="815"/>
    <cellStyle name="60% - Accent1 16" xfId="816"/>
    <cellStyle name="60% - Accent1 17" xfId="817"/>
    <cellStyle name="60% - Accent1 17 2" xfId="4976"/>
    <cellStyle name="60% - Accent1 18" xfId="818"/>
    <cellStyle name="60% - Accent1 19" xfId="819"/>
    <cellStyle name="60% - Accent1 2" xfId="820"/>
    <cellStyle name="60% - Accent1 2 2" xfId="821"/>
    <cellStyle name="60% - Accent1 2 2 2" xfId="822"/>
    <cellStyle name="60% - Accent1 2 2 2 2" xfId="823"/>
    <cellStyle name="60% - Accent1 2 2 2 3" xfId="824"/>
    <cellStyle name="60% - Accent1 2 2 2 4" xfId="825"/>
    <cellStyle name="60% - Accent1 2 2 2 5" xfId="826"/>
    <cellStyle name="60% - Accent1 2 2 3" xfId="827"/>
    <cellStyle name="60% - Accent1 2 2 4" xfId="828"/>
    <cellStyle name="60% - Accent1 2 2 5" xfId="829"/>
    <cellStyle name="60% - Accent1 2 3" xfId="830"/>
    <cellStyle name="60% - Accent1 2 4" xfId="831"/>
    <cellStyle name="60% - Accent1 2 5" xfId="832"/>
    <cellStyle name="60% - Accent1 2 6" xfId="833"/>
    <cellStyle name="60% - Accent1 2 7" xfId="834"/>
    <cellStyle name="60% - Accent1 2 8" xfId="835"/>
    <cellStyle name="60% - Accent1 2 9" xfId="836"/>
    <cellStyle name="60% - Accent1 20" xfId="837"/>
    <cellStyle name="60% - Accent1 21" xfId="838"/>
    <cellStyle name="60% - Accent1 22" xfId="839"/>
    <cellStyle name="60% - Accent1 3" xfId="840"/>
    <cellStyle name="60% - Accent1 3 2" xfId="4977"/>
    <cellStyle name="60% - Accent1 4" xfId="841"/>
    <cellStyle name="60% - Accent1 4 2" xfId="4978"/>
    <cellStyle name="60% - Accent1 5" xfId="842"/>
    <cellStyle name="60% - Accent1 6" xfId="843"/>
    <cellStyle name="60% - Accent1 7" xfId="844"/>
    <cellStyle name="60% - Accent1 8" xfId="845"/>
    <cellStyle name="60% - Accent1 9" xfId="846"/>
    <cellStyle name="60% - Accent2 10" xfId="847"/>
    <cellStyle name="60% - Accent2 11" xfId="848"/>
    <cellStyle name="60% - Accent2 12" xfId="849"/>
    <cellStyle name="60% - Accent2 13" xfId="850"/>
    <cellStyle name="60% - Accent2 14" xfId="851"/>
    <cellStyle name="60% - Accent2 15" xfId="852"/>
    <cellStyle name="60% - Accent2 16" xfId="853"/>
    <cellStyle name="60% - Accent2 17" xfId="854"/>
    <cellStyle name="60% - Accent2 17 2" xfId="4979"/>
    <cellStyle name="60% - Accent2 18" xfId="855"/>
    <cellStyle name="60% - Accent2 19" xfId="856"/>
    <cellStyle name="60% - Accent2 2" xfId="857"/>
    <cellStyle name="60% - Accent2 2 2" xfId="858"/>
    <cellStyle name="60% - Accent2 2 2 2" xfId="859"/>
    <cellStyle name="60% - Accent2 2 2 2 2" xfId="860"/>
    <cellStyle name="60% - Accent2 2 2 2 3" xfId="861"/>
    <cellStyle name="60% - Accent2 2 2 2 4" xfId="862"/>
    <cellStyle name="60% - Accent2 2 2 2 5" xfId="863"/>
    <cellStyle name="60% - Accent2 2 2 3" xfId="864"/>
    <cellStyle name="60% - Accent2 2 2 4" xfId="865"/>
    <cellStyle name="60% - Accent2 2 2 5" xfId="866"/>
    <cellStyle name="60% - Accent2 2 3" xfId="867"/>
    <cellStyle name="60% - Accent2 2 4" xfId="868"/>
    <cellStyle name="60% - Accent2 2 5" xfId="869"/>
    <cellStyle name="60% - Accent2 2 6" xfId="870"/>
    <cellStyle name="60% - Accent2 2 7" xfId="871"/>
    <cellStyle name="60% - Accent2 2 8" xfId="872"/>
    <cellStyle name="60% - Accent2 2 9" xfId="873"/>
    <cellStyle name="60% - Accent2 20" xfId="874"/>
    <cellStyle name="60% - Accent2 21" xfId="875"/>
    <cellStyle name="60% - Accent2 22" xfId="876"/>
    <cellStyle name="60% - Accent2 3" xfId="877"/>
    <cellStyle name="60% - Accent2 3 2" xfId="4980"/>
    <cellStyle name="60% - Accent2 4" xfId="878"/>
    <cellStyle name="60% - Accent2 4 2" xfId="4981"/>
    <cellStyle name="60% - Accent2 5" xfId="879"/>
    <cellStyle name="60% - Accent2 6" xfId="880"/>
    <cellStyle name="60% - Accent2 7" xfId="881"/>
    <cellStyle name="60% - Accent2 8" xfId="882"/>
    <cellStyle name="60% - Accent2 9" xfId="883"/>
    <cellStyle name="60% - Accent3 10" xfId="884"/>
    <cellStyle name="60% - Accent3 11" xfId="885"/>
    <cellStyle name="60% - Accent3 12" xfId="886"/>
    <cellStyle name="60% - Accent3 13" xfId="887"/>
    <cellStyle name="60% - Accent3 14" xfId="888"/>
    <cellStyle name="60% - Accent3 15" xfId="889"/>
    <cellStyle name="60% - Accent3 16" xfId="890"/>
    <cellStyle name="60% - Accent3 17" xfId="891"/>
    <cellStyle name="60% - Accent3 17 2" xfId="4982"/>
    <cellStyle name="60% - Accent3 18" xfId="892"/>
    <cellStyle name="60% - Accent3 19" xfId="893"/>
    <cellStyle name="60% - Accent3 2" xfId="894"/>
    <cellStyle name="60% - Accent3 2 2" xfId="895"/>
    <cellStyle name="60% - Accent3 2 2 2" xfId="896"/>
    <cellStyle name="60% - Accent3 2 2 2 2" xfId="897"/>
    <cellStyle name="60% - Accent3 2 2 2 3" xfId="898"/>
    <cellStyle name="60% - Accent3 2 2 2 4" xfId="899"/>
    <cellStyle name="60% - Accent3 2 2 2 5" xfId="900"/>
    <cellStyle name="60% - Accent3 2 2 3" xfId="901"/>
    <cellStyle name="60% - Accent3 2 2 4" xfId="902"/>
    <cellStyle name="60% - Accent3 2 2 5" xfId="903"/>
    <cellStyle name="60% - Accent3 2 3" xfId="904"/>
    <cellStyle name="60% - Accent3 2 4" xfId="905"/>
    <cellStyle name="60% - Accent3 2 5" xfId="906"/>
    <cellStyle name="60% - Accent3 2 6" xfId="907"/>
    <cellStyle name="60% - Accent3 2 7" xfId="908"/>
    <cellStyle name="60% - Accent3 2 8" xfId="909"/>
    <cellStyle name="60% - Accent3 2 9" xfId="910"/>
    <cellStyle name="60% - Accent3 20" xfId="911"/>
    <cellStyle name="60% - Accent3 21" xfId="912"/>
    <cellStyle name="60% - Accent3 22" xfId="913"/>
    <cellStyle name="60% - Accent3 3" xfId="914"/>
    <cellStyle name="60% - Accent3 3 2" xfId="4983"/>
    <cellStyle name="60% - Accent3 4" xfId="915"/>
    <cellStyle name="60% - Accent3 4 2" xfId="4984"/>
    <cellStyle name="60% - Accent3 5" xfId="916"/>
    <cellStyle name="60% - Accent3 6" xfId="917"/>
    <cellStyle name="60% - Accent3 7" xfId="918"/>
    <cellStyle name="60% - Accent3 8" xfId="919"/>
    <cellStyle name="60% - Accent3 9" xfId="920"/>
    <cellStyle name="60% - Accent4 10" xfId="921"/>
    <cellStyle name="60% - Accent4 11" xfId="922"/>
    <cellStyle name="60% - Accent4 12" xfId="923"/>
    <cellStyle name="60% - Accent4 13" xfId="924"/>
    <cellStyle name="60% - Accent4 14" xfId="925"/>
    <cellStyle name="60% - Accent4 15" xfId="926"/>
    <cellStyle name="60% - Accent4 16" xfId="927"/>
    <cellStyle name="60% - Accent4 17" xfId="928"/>
    <cellStyle name="60% - Accent4 17 2" xfId="4985"/>
    <cellStyle name="60% - Accent4 18" xfId="929"/>
    <cellStyle name="60% - Accent4 19" xfId="930"/>
    <cellStyle name="60% - Accent4 2" xfId="931"/>
    <cellStyle name="60% - Accent4 2 2" xfId="932"/>
    <cellStyle name="60% - Accent4 2 2 2" xfId="933"/>
    <cellStyle name="60% - Accent4 2 2 2 2" xfId="934"/>
    <cellStyle name="60% - Accent4 2 2 2 3" xfId="935"/>
    <cellStyle name="60% - Accent4 2 2 2 4" xfId="936"/>
    <cellStyle name="60% - Accent4 2 2 2 5" xfId="937"/>
    <cellStyle name="60% - Accent4 2 2 3" xfId="938"/>
    <cellStyle name="60% - Accent4 2 2 4" xfId="939"/>
    <cellStyle name="60% - Accent4 2 2 5" xfId="940"/>
    <cellStyle name="60% - Accent4 2 3" xfId="941"/>
    <cellStyle name="60% - Accent4 2 4" xfId="942"/>
    <cellStyle name="60% - Accent4 2 5" xfId="943"/>
    <cellStyle name="60% - Accent4 2 6" xfId="944"/>
    <cellStyle name="60% - Accent4 2 7" xfId="945"/>
    <cellStyle name="60% - Accent4 2 8" xfId="946"/>
    <cellStyle name="60% - Accent4 2 9" xfId="947"/>
    <cellStyle name="60% - Accent4 20" xfId="948"/>
    <cellStyle name="60% - Accent4 21" xfId="949"/>
    <cellStyle name="60% - Accent4 22" xfId="950"/>
    <cellStyle name="60% - Accent4 3" xfId="951"/>
    <cellStyle name="60% - Accent4 3 2" xfId="4986"/>
    <cellStyle name="60% - Accent4 4" xfId="952"/>
    <cellStyle name="60% - Accent4 4 2" xfId="4987"/>
    <cellStyle name="60% - Accent4 5" xfId="953"/>
    <cellStyle name="60% - Accent4 6" xfId="954"/>
    <cellStyle name="60% - Accent4 7" xfId="955"/>
    <cellStyle name="60% - Accent4 8" xfId="956"/>
    <cellStyle name="60% - Accent4 9" xfId="957"/>
    <cellStyle name="60% - Accent5 10" xfId="958"/>
    <cellStyle name="60% - Accent5 11" xfId="959"/>
    <cellStyle name="60% - Accent5 12" xfId="960"/>
    <cellStyle name="60% - Accent5 13" xfId="961"/>
    <cellStyle name="60% - Accent5 14" xfId="962"/>
    <cellStyle name="60% - Accent5 15" xfId="963"/>
    <cellStyle name="60% - Accent5 16" xfId="964"/>
    <cellStyle name="60% - Accent5 17" xfId="965"/>
    <cellStyle name="60% - Accent5 17 2" xfId="4988"/>
    <cellStyle name="60% - Accent5 18" xfId="966"/>
    <cellStyle name="60% - Accent5 19" xfId="967"/>
    <cellStyle name="60% - Accent5 2" xfId="968"/>
    <cellStyle name="60% - Accent5 2 2" xfId="969"/>
    <cellStyle name="60% - Accent5 2 2 2" xfId="970"/>
    <cellStyle name="60% - Accent5 2 2 2 2" xfId="971"/>
    <cellStyle name="60% - Accent5 2 2 2 3" xfId="972"/>
    <cellStyle name="60% - Accent5 2 2 2 4" xfId="973"/>
    <cellStyle name="60% - Accent5 2 2 2 5" xfId="974"/>
    <cellStyle name="60% - Accent5 2 2 3" xfId="975"/>
    <cellStyle name="60% - Accent5 2 2 4" xfId="976"/>
    <cellStyle name="60% - Accent5 2 2 5" xfId="977"/>
    <cellStyle name="60% - Accent5 2 3" xfId="978"/>
    <cellStyle name="60% - Accent5 2 4" xfId="979"/>
    <cellStyle name="60% - Accent5 2 5" xfId="980"/>
    <cellStyle name="60% - Accent5 2 6" xfId="981"/>
    <cellStyle name="60% - Accent5 2 7" xfId="982"/>
    <cellStyle name="60% - Accent5 2 8" xfId="983"/>
    <cellStyle name="60% - Accent5 2 9" xfId="984"/>
    <cellStyle name="60% - Accent5 20" xfId="985"/>
    <cellStyle name="60% - Accent5 21" xfId="986"/>
    <cellStyle name="60% - Accent5 22" xfId="987"/>
    <cellStyle name="60% - Accent5 3" xfId="988"/>
    <cellStyle name="60% - Accent5 3 2" xfId="4989"/>
    <cellStyle name="60% - Accent5 4" xfId="989"/>
    <cellStyle name="60% - Accent5 4 2" xfId="4990"/>
    <cellStyle name="60% - Accent5 5" xfId="990"/>
    <cellStyle name="60% - Accent5 6" xfId="991"/>
    <cellStyle name="60% - Accent5 7" xfId="992"/>
    <cellStyle name="60% - Accent5 8" xfId="993"/>
    <cellStyle name="60% - Accent5 9" xfId="994"/>
    <cellStyle name="60% - Accent6 10" xfId="995"/>
    <cellStyle name="60% - Accent6 11" xfId="996"/>
    <cellStyle name="60% - Accent6 12" xfId="997"/>
    <cellStyle name="60% - Accent6 13" xfId="998"/>
    <cellStyle name="60% - Accent6 14" xfId="999"/>
    <cellStyle name="60% - Accent6 15" xfId="1000"/>
    <cellStyle name="60% - Accent6 16" xfId="1001"/>
    <cellStyle name="60% - Accent6 17" xfId="1002"/>
    <cellStyle name="60% - Accent6 17 2" xfId="4991"/>
    <cellStyle name="60% - Accent6 18" xfId="1003"/>
    <cellStyle name="60% - Accent6 19" xfId="1004"/>
    <cellStyle name="60% - Accent6 2" xfId="1005"/>
    <cellStyle name="60% - Accent6 2 2" xfId="1006"/>
    <cellStyle name="60% - Accent6 2 2 2" xfId="1007"/>
    <cellStyle name="60% - Accent6 2 2 2 2" xfId="1008"/>
    <cellStyle name="60% - Accent6 2 2 2 3" xfId="1009"/>
    <cellStyle name="60% - Accent6 2 2 2 4" xfId="1010"/>
    <cellStyle name="60% - Accent6 2 2 2 5" xfId="1011"/>
    <cellStyle name="60% - Accent6 2 2 3" xfId="1012"/>
    <cellStyle name="60% - Accent6 2 2 4" xfId="1013"/>
    <cellStyle name="60% - Accent6 2 2 5" xfId="1014"/>
    <cellStyle name="60% - Accent6 2 3" xfId="1015"/>
    <cellStyle name="60% - Accent6 2 4" xfId="1016"/>
    <cellStyle name="60% - Accent6 2 5" xfId="1017"/>
    <cellStyle name="60% - Accent6 2 6" xfId="1018"/>
    <cellStyle name="60% - Accent6 2 7" xfId="1019"/>
    <cellStyle name="60% - Accent6 2 8" xfId="1020"/>
    <cellStyle name="60% - Accent6 2 9" xfId="1021"/>
    <cellStyle name="60% - Accent6 20" xfId="1022"/>
    <cellStyle name="60% - Accent6 21" xfId="1023"/>
    <cellStyle name="60% - Accent6 22" xfId="1024"/>
    <cellStyle name="60% - Accent6 3" xfId="1025"/>
    <cellStyle name="60% - Accent6 3 2" xfId="4992"/>
    <cellStyle name="60% - Accent6 4" xfId="1026"/>
    <cellStyle name="60% - Accent6 4 2" xfId="4993"/>
    <cellStyle name="60% - Accent6 5" xfId="1027"/>
    <cellStyle name="60% - Accent6 6" xfId="1028"/>
    <cellStyle name="60% - Accent6 7" xfId="1029"/>
    <cellStyle name="60% - Accent6 8" xfId="1030"/>
    <cellStyle name="60% - Accent6 9" xfId="1031"/>
    <cellStyle name="ac" xfId="4994"/>
    <cellStyle name="Accent1 10" xfId="1032"/>
    <cellStyle name="Accent1 11" xfId="1033"/>
    <cellStyle name="Accent1 12" xfId="1034"/>
    <cellStyle name="Accent1 13" xfId="1035"/>
    <cellStyle name="Accent1 14" xfId="1036"/>
    <cellStyle name="Accent1 15" xfId="1037"/>
    <cellStyle name="Accent1 16" xfId="1038"/>
    <cellStyle name="Accent1 17" xfId="1039"/>
    <cellStyle name="Accent1 17 2" xfId="4995"/>
    <cellStyle name="Accent1 18" xfId="1040"/>
    <cellStyle name="Accent1 19" xfId="1041"/>
    <cellStyle name="Accent1 2" xfId="1042"/>
    <cellStyle name="Accent1 2 2" xfId="1043"/>
    <cellStyle name="Accent1 2 2 2" xfId="1044"/>
    <cellStyle name="Accent1 2 2 2 2" xfId="1045"/>
    <cellStyle name="Accent1 2 2 2 3" xfId="1046"/>
    <cellStyle name="Accent1 2 2 2 4" xfId="1047"/>
    <cellStyle name="Accent1 2 2 2 5" xfId="1048"/>
    <cellStyle name="Accent1 2 2 3" xfId="1049"/>
    <cellStyle name="Accent1 2 2 4" xfId="1050"/>
    <cellStyle name="Accent1 2 2 5" xfId="1051"/>
    <cellStyle name="Accent1 2 3" xfId="1052"/>
    <cellStyle name="Accent1 2 4" xfId="1053"/>
    <cellStyle name="Accent1 2 5" xfId="1054"/>
    <cellStyle name="Accent1 2 6" xfId="1055"/>
    <cellStyle name="Accent1 2 7" xfId="1056"/>
    <cellStyle name="Accent1 2 8" xfId="1057"/>
    <cellStyle name="Accent1 2 9" xfId="1058"/>
    <cellStyle name="Accent1 20" xfId="1059"/>
    <cellStyle name="Accent1 21" xfId="1060"/>
    <cellStyle name="Accent1 22" xfId="1061"/>
    <cellStyle name="Accent1 3" xfId="1062"/>
    <cellStyle name="Accent1 3 2" xfId="4996"/>
    <cellStyle name="Accent1 4" xfId="1063"/>
    <cellStyle name="Accent1 4 2" xfId="4997"/>
    <cellStyle name="Accent1 5" xfId="1064"/>
    <cellStyle name="Accent1 6" xfId="1065"/>
    <cellStyle name="Accent1 7" xfId="1066"/>
    <cellStyle name="Accent1 8" xfId="1067"/>
    <cellStyle name="Accent1 9" xfId="1068"/>
    <cellStyle name="Accent2 10" xfId="1069"/>
    <cellStyle name="Accent2 11" xfId="1070"/>
    <cellStyle name="Accent2 12" xfId="1071"/>
    <cellStyle name="Accent2 13" xfId="1072"/>
    <cellStyle name="Accent2 14" xfId="1073"/>
    <cellStyle name="Accent2 15" xfId="1074"/>
    <cellStyle name="Accent2 16" xfId="1075"/>
    <cellStyle name="Accent2 17" xfId="1076"/>
    <cellStyle name="Accent2 17 2" xfId="4998"/>
    <cellStyle name="Accent2 18" xfId="1077"/>
    <cellStyle name="Accent2 19" xfId="1078"/>
    <cellStyle name="Accent2 2" xfId="1079"/>
    <cellStyle name="Accent2 2 2" xfId="1080"/>
    <cellStyle name="Accent2 2 2 2" xfId="1081"/>
    <cellStyle name="Accent2 2 2 2 2" xfId="1082"/>
    <cellStyle name="Accent2 2 2 2 3" xfId="1083"/>
    <cellStyle name="Accent2 2 2 2 4" xfId="1084"/>
    <cellStyle name="Accent2 2 2 2 5" xfId="1085"/>
    <cellStyle name="Accent2 2 2 3" xfId="1086"/>
    <cellStyle name="Accent2 2 2 4" xfId="1087"/>
    <cellStyle name="Accent2 2 2 5" xfId="1088"/>
    <cellStyle name="Accent2 2 3" xfId="1089"/>
    <cellStyle name="Accent2 2 4" xfId="1090"/>
    <cellStyle name="Accent2 2 5" xfId="1091"/>
    <cellStyle name="Accent2 2 6" xfId="1092"/>
    <cellStyle name="Accent2 2 7" xfId="1093"/>
    <cellStyle name="Accent2 2 8" xfId="1094"/>
    <cellStyle name="Accent2 2 9" xfId="1095"/>
    <cellStyle name="Accent2 20" xfId="1096"/>
    <cellStyle name="Accent2 21" xfId="1097"/>
    <cellStyle name="Accent2 22" xfId="1098"/>
    <cellStyle name="Accent2 3" xfId="1099"/>
    <cellStyle name="Accent2 3 2" xfId="4999"/>
    <cellStyle name="Accent2 4" xfId="1100"/>
    <cellStyle name="Accent2 4 2" xfId="50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7 2" xfId="5001"/>
    <cellStyle name="Accent3 18" xfId="1114"/>
    <cellStyle name="Accent3 19" xfId="1115"/>
    <cellStyle name="Accent3 2" xfId="1116"/>
    <cellStyle name="Accent3 2 2" xfId="1117"/>
    <cellStyle name="Accent3 2 2 2" xfId="1118"/>
    <cellStyle name="Accent3 2 2 2 2" xfId="1119"/>
    <cellStyle name="Accent3 2 2 2 3" xfId="1120"/>
    <cellStyle name="Accent3 2 2 2 4" xfId="1121"/>
    <cellStyle name="Accent3 2 2 2 5" xfId="1122"/>
    <cellStyle name="Accent3 2 2 3" xfId="1123"/>
    <cellStyle name="Accent3 2 2 4" xfId="1124"/>
    <cellStyle name="Accent3 2 2 5" xfId="1125"/>
    <cellStyle name="Accent3 2 3" xfId="1126"/>
    <cellStyle name="Accent3 2 4" xfId="1127"/>
    <cellStyle name="Accent3 2 5" xfId="1128"/>
    <cellStyle name="Accent3 2 6" xfId="1129"/>
    <cellStyle name="Accent3 2 7" xfId="1130"/>
    <cellStyle name="Accent3 2 8" xfId="1131"/>
    <cellStyle name="Accent3 2 9" xfId="1132"/>
    <cellStyle name="Accent3 20" xfId="1133"/>
    <cellStyle name="Accent3 21" xfId="1134"/>
    <cellStyle name="Accent3 22" xfId="1135"/>
    <cellStyle name="Accent3 3" xfId="1136"/>
    <cellStyle name="Accent3 3 2" xfId="5002"/>
    <cellStyle name="Accent3 4" xfId="1137"/>
    <cellStyle name="Accent3 4 2" xfId="5003"/>
    <cellStyle name="Accent3 5" xfId="1138"/>
    <cellStyle name="Accent3 6" xfId="1139"/>
    <cellStyle name="Accent3 7" xfId="1140"/>
    <cellStyle name="Accent3 8" xfId="1141"/>
    <cellStyle name="Accent3 9" xfId="1142"/>
    <cellStyle name="Accent4 10" xfId="1143"/>
    <cellStyle name="Accent4 11" xfId="1144"/>
    <cellStyle name="Accent4 12" xfId="1145"/>
    <cellStyle name="Accent4 13" xfId="1146"/>
    <cellStyle name="Accent4 14" xfId="1147"/>
    <cellStyle name="Accent4 15" xfId="1148"/>
    <cellStyle name="Accent4 16" xfId="1149"/>
    <cellStyle name="Accent4 17" xfId="1150"/>
    <cellStyle name="Accent4 17 2" xfId="5004"/>
    <cellStyle name="Accent4 18" xfId="1151"/>
    <cellStyle name="Accent4 19" xfId="1152"/>
    <cellStyle name="Accent4 2" xfId="1153"/>
    <cellStyle name="Accent4 2 2" xfId="1154"/>
    <cellStyle name="Accent4 2 2 2" xfId="1155"/>
    <cellStyle name="Accent4 2 2 2 2" xfId="1156"/>
    <cellStyle name="Accent4 2 2 2 3" xfId="1157"/>
    <cellStyle name="Accent4 2 2 2 4" xfId="1158"/>
    <cellStyle name="Accent4 2 2 2 5" xfId="1159"/>
    <cellStyle name="Accent4 2 2 3" xfId="1160"/>
    <cellStyle name="Accent4 2 2 4" xfId="1161"/>
    <cellStyle name="Accent4 2 2 5" xfId="1162"/>
    <cellStyle name="Accent4 2 3" xfId="1163"/>
    <cellStyle name="Accent4 2 4" xfId="1164"/>
    <cellStyle name="Accent4 2 5" xfId="1165"/>
    <cellStyle name="Accent4 2 6" xfId="1166"/>
    <cellStyle name="Accent4 2 7" xfId="1167"/>
    <cellStyle name="Accent4 2 8" xfId="1168"/>
    <cellStyle name="Accent4 2 9" xfId="1169"/>
    <cellStyle name="Accent4 20" xfId="1170"/>
    <cellStyle name="Accent4 21" xfId="1171"/>
    <cellStyle name="Accent4 22" xfId="1172"/>
    <cellStyle name="Accent4 3" xfId="1173"/>
    <cellStyle name="Accent4 3 2" xfId="5005"/>
    <cellStyle name="Accent4 4" xfId="1174"/>
    <cellStyle name="Accent4 4 2" xfId="5006"/>
    <cellStyle name="Accent4 5" xfId="1175"/>
    <cellStyle name="Accent4 6" xfId="1176"/>
    <cellStyle name="Accent4 7" xfId="1177"/>
    <cellStyle name="Accent4 8" xfId="1178"/>
    <cellStyle name="Accent4 9" xfId="1179"/>
    <cellStyle name="Accent5 10" xfId="1180"/>
    <cellStyle name="Accent5 11" xfId="1181"/>
    <cellStyle name="Accent5 12" xfId="1182"/>
    <cellStyle name="Accent5 13" xfId="1183"/>
    <cellStyle name="Accent5 14" xfId="1184"/>
    <cellStyle name="Accent5 15" xfId="1185"/>
    <cellStyle name="Accent5 16" xfId="1186"/>
    <cellStyle name="Accent5 17" xfId="1187"/>
    <cellStyle name="Accent5 18" xfId="1188"/>
    <cellStyle name="Accent5 19" xfId="1189"/>
    <cellStyle name="Accent5 2" xfId="1190"/>
    <cellStyle name="Accent5 2 2" xfId="1191"/>
    <cellStyle name="Accent5 2 2 2" xfId="1192"/>
    <cellStyle name="Accent5 2 2 2 2" xfId="1193"/>
    <cellStyle name="Accent5 2 2 2 3" xfId="1194"/>
    <cellStyle name="Accent5 2 2 2 4" xfId="1195"/>
    <cellStyle name="Accent5 2 2 2 5" xfId="1196"/>
    <cellStyle name="Accent5 2 2 3" xfId="1197"/>
    <cellStyle name="Accent5 2 2 4" xfId="1198"/>
    <cellStyle name="Accent5 2 2 5" xfId="1199"/>
    <cellStyle name="Accent5 2 3" xfId="1200"/>
    <cellStyle name="Accent5 2 4" xfId="1201"/>
    <cellStyle name="Accent5 2 5" xfId="1202"/>
    <cellStyle name="Accent5 2 6" xfId="1203"/>
    <cellStyle name="Accent5 2 7" xfId="1204"/>
    <cellStyle name="Accent5 2 8" xfId="1205"/>
    <cellStyle name="Accent5 2 9" xfId="1206"/>
    <cellStyle name="Accent5 20" xfId="1207"/>
    <cellStyle name="Accent5 21" xfId="1208"/>
    <cellStyle name="Accent5 22" xfId="1209"/>
    <cellStyle name="Accent5 3" xfId="1210"/>
    <cellStyle name="Accent5 3 2" xfId="5007"/>
    <cellStyle name="Accent5 4" xfId="1211"/>
    <cellStyle name="Accent5 4 2" xfId="5008"/>
    <cellStyle name="Accent5 5" xfId="1212"/>
    <cellStyle name="Accent5 6" xfId="1213"/>
    <cellStyle name="Accent5 7" xfId="1214"/>
    <cellStyle name="Accent5 8" xfId="1215"/>
    <cellStyle name="Accent5 9" xfId="1216"/>
    <cellStyle name="Accent6 10" xfId="1217"/>
    <cellStyle name="Accent6 11" xfId="1218"/>
    <cellStyle name="Accent6 12" xfId="1219"/>
    <cellStyle name="Accent6 13" xfId="1220"/>
    <cellStyle name="Accent6 14" xfId="1221"/>
    <cellStyle name="Accent6 15" xfId="1222"/>
    <cellStyle name="Accent6 16" xfId="1223"/>
    <cellStyle name="Accent6 17" xfId="1224"/>
    <cellStyle name="Accent6 17 2" xfId="5009"/>
    <cellStyle name="Accent6 18" xfId="1225"/>
    <cellStyle name="Accent6 19" xfId="1226"/>
    <cellStyle name="Accent6 2" xfId="1227"/>
    <cellStyle name="Accent6 2 2" xfId="1228"/>
    <cellStyle name="Accent6 2 2 2" xfId="1229"/>
    <cellStyle name="Accent6 2 2 2 2" xfId="1230"/>
    <cellStyle name="Accent6 2 2 2 3" xfId="1231"/>
    <cellStyle name="Accent6 2 2 2 4" xfId="1232"/>
    <cellStyle name="Accent6 2 2 2 5" xfId="1233"/>
    <cellStyle name="Accent6 2 2 3" xfId="1234"/>
    <cellStyle name="Accent6 2 2 4" xfId="1235"/>
    <cellStyle name="Accent6 2 2 5" xfId="1236"/>
    <cellStyle name="Accent6 2 3" xfId="1237"/>
    <cellStyle name="Accent6 2 4" xfId="1238"/>
    <cellStyle name="Accent6 2 5" xfId="1239"/>
    <cellStyle name="Accent6 2 6" xfId="1240"/>
    <cellStyle name="Accent6 2 7" xfId="1241"/>
    <cellStyle name="Accent6 2 8" xfId="1242"/>
    <cellStyle name="Accent6 2 9" xfId="1243"/>
    <cellStyle name="Accent6 20" xfId="1244"/>
    <cellStyle name="Accent6 21" xfId="1245"/>
    <cellStyle name="Accent6 22" xfId="1246"/>
    <cellStyle name="Accent6 3" xfId="1247"/>
    <cellStyle name="Accent6 3 2" xfId="5010"/>
    <cellStyle name="Accent6 4" xfId="1248"/>
    <cellStyle name="Accent6 4 2" xfId="5011"/>
    <cellStyle name="Accent6 5" xfId="1249"/>
    <cellStyle name="Accent6 6" xfId="1250"/>
    <cellStyle name="Accent6 7" xfId="1251"/>
    <cellStyle name="Accent6 8" xfId="1252"/>
    <cellStyle name="Accent6 9" xfId="1253"/>
    <cellStyle name="Bad 10" xfId="1254"/>
    <cellStyle name="Bad 11" xfId="1255"/>
    <cellStyle name="Bad 12" xfId="1256"/>
    <cellStyle name="Bad 13" xfId="1257"/>
    <cellStyle name="Bad 14" xfId="1258"/>
    <cellStyle name="Bad 15" xfId="1259"/>
    <cellStyle name="Bad 16" xfId="1260"/>
    <cellStyle name="Bad 17" xfId="1261"/>
    <cellStyle name="Bad 17 2" xfId="5012"/>
    <cellStyle name="Bad 18" xfId="1262"/>
    <cellStyle name="Bad 19" xfId="1263"/>
    <cellStyle name="Bad 2" xfId="1264"/>
    <cellStyle name="Bad 2 2" xfId="1265"/>
    <cellStyle name="Bad 2 2 2" xfId="1266"/>
    <cellStyle name="Bad 2 2 2 2" xfId="1267"/>
    <cellStyle name="Bad 2 2 2 3" xfId="1268"/>
    <cellStyle name="Bad 2 2 2 4" xfId="1269"/>
    <cellStyle name="Bad 2 2 2 5" xfId="1270"/>
    <cellStyle name="Bad 2 2 3" xfId="1271"/>
    <cellStyle name="Bad 2 2 4" xfId="1272"/>
    <cellStyle name="Bad 2 2 5" xfId="1273"/>
    <cellStyle name="Bad 2 3" xfId="1274"/>
    <cellStyle name="Bad 2 4" xfId="1275"/>
    <cellStyle name="Bad 2 5" xfId="1276"/>
    <cellStyle name="Bad 2 6" xfId="1277"/>
    <cellStyle name="Bad 2 7" xfId="1278"/>
    <cellStyle name="Bad 2 8" xfId="1279"/>
    <cellStyle name="Bad 2 9" xfId="1280"/>
    <cellStyle name="Bad 20" xfId="1281"/>
    <cellStyle name="Bad 21" xfId="1282"/>
    <cellStyle name="Bad 22" xfId="1283"/>
    <cellStyle name="Bad 3" xfId="1284"/>
    <cellStyle name="Bad 3 2" xfId="5013"/>
    <cellStyle name="Bad 4" xfId="1285"/>
    <cellStyle name="Bad 5" xfId="1286"/>
    <cellStyle name="Bad 6" xfId="1287"/>
    <cellStyle name="Bad 7" xfId="1288"/>
    <cellStyle name="Bad 8" xfId="1289"/>
    <cellStyle name="Bad 9" xfId="1290"/>
    <cellStyle name="c" xfId="5014"/>
    <cellStyle name="Calculation 10" xfId="1291"/>
    <cellStyle name="Calculation 10 10" xfId="5015"/>
    <cellStyle name="Calculation 10 11" xfId="5016"/>
    <cellStyle name="Calculation 10 12" xfId="5017"/>
    <cellStyle name="Calculation 10 2" xfId="5018"/>
    <cellStyle name="Calculation 10 2 2" xfId="5019"/>
    <cellStyle name="Calculation 10 2 2 2" xfId="5020"/>
    <cellStyle name="Calculation 10 2 3" xfId="5021"/>
    <cellStyle name="Calculation 10 2 3 2" xfId="5022"/>
    <cellStyle name="Calculation 10 2 4" xfId="5023"/>
    <cellStyle name="Calculation 10 2 4 2" xfId="5024"/>
    <cellStyle name="Calculation 10 2 5" xfId="5025"/>
    <cellStyle name="Calculation 10 2 5 2" xfId="5026"/>
    <cellStyle name="Calculation 10 2 6" xfId="5027"/>
    <cellStyle name="Calculation 10 2 6 2" xfId="5028"/>
    <cellStyle name="Calculation 10 2 7" xfId="5029"/>
    <cellStyle name="Calculation 10 2 7 2" xfId="5030"/>
    <cellStyle name="Calculation 10 2 8" xfId="5031"/>
    <cellStyle name="Calculation 10 2 8 2" xfId="5032"/>
    <cellStyle name="Calculation 10 2 9" xfId="5033"/>
    <cellStyle name="Calculation 10 3" xfId="5034"/>
    <cellStyle name="Calculation 10 3 2" xfId="5035"/>
    <cellStyle name="Calculation 10 4" xfId="5036"/>
    <cellStyle name="Calculation 10 4 2" xfId="5037"/>
    <cellStyle name="Calculation 10 5" xfId="5038"/>
    <cellStyle name="Calculation 10 5 2" xfId="5039"/>
    <cellStyle name="Calculation 10 6" xfId="5040"/>
    <cellStyle name="Calculation 10 6 2" xfId="5041"/>
    <cellStyle name="Calculation 10 7" xfId="5042"/>
    <cellStyle name="Calculation 10 7 2" xfId="5043"/>
    <cellStyle name="Calculation 10 8" xfId="5044"/>
    <cellStyle name="Calculation 10 8 2" xfId="5045"/>
    <cellStyle name="Calculation 10 9" xfId="5046"/>
    <cellStyle name="Calculation 10 9 2" xfId="5047"/>
    <cellStyle name="Calculation 11" xfId="1292"/>
    <cellStyle name="Calculation 11 10" xfId="5048"/>
    <cellStyle name="Calculation 11 11" xfId="5049"/>
    <cellStyle name="Calculation 11 12" xfId="5050"/>
    <cellStyle name="Calculation 11 2" xfId="5051"/>
    <cellStyle name="Calculation 11 2 2" xfId="5052"/>
    <cellStyle name="Calculation 11 2 2 2" xfId="5053"/>
    <cellStyle name="Calculation 11 2 3" xfId="5054"/>
    <cellStyle name="Calculation 11 2 3 2" xfId="5055"/>
    <cellStyle name="Calculation 11 2 4" xfId="5056"/>
    <cellStyle name="Calculation 11 2 4 2" xfId="5057"/>
    <cellStyle name="Calculation 11 2 5" xfId="5058"/>
    <cellStyle name="Calculation 11 2 5 2" xfId="5059"/>
    <cellStyle name="Calculation 11 2 6" xfId="5060"/>
    <cellStyle name="Calculation 11 2 6 2" xfId="5061"/>
    <cellStyle name="Calculation 11 2 7" xfId="5062"/>
    <cellStyle name="Calculation 11 2 7 2" xfId="5063"/>
    <cellStyle name="Calculation 11 2 8" xfId="5064"/>
    <cellStyle name="Calculation 11 2 8 2" xfId="5065"/>
    <cellStyle name="Calculation 11 2 9" xfId="5066"/>
    <cellStyle name="Calculation 11 3" xfId="5067"/>
    <cellStyle name="Calculation 11 3 2" xfId="5068"/>
    <cellStyle name="Calculation 11 4" xfId="5069"/>
    <cellStyle name="Calculation 11 4 2" xfId="5070"/>
    <cellStyle name="Calculation 11 5" xfId="5071"/>
    <cellStyle name="Calculation 11 5 2" xfId="5072"/>
    <cellStyle name="Calculation 11 6" xfId="5073"/>
    <cellStyle name="Calculation 11 6 2" xfId="5074"/>
    <cellStyle name="Calculation 11 7" xfId="5075"/>
    <cellStyle name="Calculation 11 7 2" xfId="5076"/>
    <cellStyle name="Calculation 11 8" xfId="5077"/>
    <cellStyle name="Calculation 11 8 2" xfId="5078"/>
    <cellStyle name="Calculation 11 9" xfId="5079"/>
    <cellStyle name="Calculation 11 9 2" xfId="5080"/>
    <cellStyle name="Calculation 12" xfId="1293"/>
    <cellStyle name="Calculation 12 10" xfId="5081"/>
    <cellStyle name="Calculation 12 11" xfId="5082"/>
    <cellStyle name="Calculation 12 12" xfId="5083"/>
    <cellStyle name="Calculation 12 2" xfId="5084"/>
    <cellStyle name="Calculation 12 2 2" xfId="5085"/>
    <cellStyle name="Calculation 12 2 2 2" xfId="5086"/>
    <cellStyle name="Calculation 12 2 3" xfId="5087"/>
    <cellStyle name="Calculation 12 2 3 2" xfId="5088"/>
    <cellStyle name="Calculation 12 2 4" xfId="5089"/>
    <cellStyle name="Calculation 12 2 4 2" xfId="5090"/>
    <cellStyle name="Calculation 12 2 5" xfId="5091"/>
    <cellStyle name="Calculation 12 2 5 2" xfId="5092"/>
    <cellStyle name="Calculation 12 2 6" xfId="5093"/>
    <cellStyle name="Calculation 12 2 6 2" xfId="5094"/>
    <cellStyle name="Calculation 12 2 7" xfId="5095"/>
    <cellStyle name="Calculation 12 2 7 2" xfId="5096"/>
    <cellStyle name="Calculation 12 2 8" xfId="5097"/>
    <cellStyle name="Calculation 12 2 8 2" xfId="5098"/>
    <cellStyle name="Calculation 12 2 9" xfId="5099"/>
    <cellStyle name="Calculation 12 3" xfId="5100"/>
    <cellStyle name="Calculation 12 3 2" xfId="5101"/>
    <cellStyle name="Calculation 12 4" xfId="5102"/>
    <cellStyle name="Calculation 12 4 2" xfId="5103"/>
    <cellStyle name="Calculation 12 5" xfId="5104"/>
    <cellStyle name="Calculation 12 5 2" xfId="5105"/>
    <cellStyle name="Calculation 12 6" xfId="5106"/>
    <cellStyle name="Calculation 12 6 2" xfId="5107"/>
    <cellStyle name="Calculation 12 7" xfId="5108"/>
    <cellStyle name="Calculation 12 7 2" xfId="5109"/>
    <cellStyle name="Calculation 12 8" xfId="5110"/>
    <cellStyle name="Calculation 12 8 2" xfId="5111"/>
    <cellStyle name="Calculation 12 9" xfId="5112"/>
    <cellStyle name="Calculation 12 9 2" xfId="5113"/>
    <cellStyle name="Calculation 13" xfId="1294"/>
    <cellStyle name="Calculation 13 10" xfId="5114"/>
    <cellStyle name="Calculation 13 11" xfId="5115"/>
    <cellStyle name="Calculation 13 12" xfId="5116"/>
    <cellStyle name="Calculation 13 2" xfId="5117"/>
    <cellStyle name="Calculation 13 2 2" xfId="5118"/>
    <cellStyle name="Calculation 13 2 2 2" xfId="5119"/>
    <cellStyle name="Calculation 13 2 3" xfId="5120"/>
    <cellStyle name="Calculation 13 2 3 2" xfId="5121"/>
    <cellStyle name="Calculation 13 2 4" xfId="5122"/>
    <cellStyle name="Calculation 13 2 4 2" xfId="5123"/>
    <cellStyle name="Calculation 13 2 5" xfId="5124"/>
    <cellStyle name="Calculation 13 2 5 2" xfId="5125"/>
    <cellStyle name="Calculation 13 2 6" xfId="5126"/>
    <cellStyle name="Calculation 13 2 6 2" xfId="5127"/>
    <cellStyle name="Calculation 13 2 7" xfId="5128"/>
    <cellStyle name="Calculation 13 2 7 2" xfId="5129"/>
    <cellStyle name="Calculation 13 2 8" xfId="5130"/>
    <cellStyle name="Calculation 13 2 8 2" xfId="5131"/>
    <cellStyle name="Calculation 13 2 9" xfId="5132"/>
    <cellStyle name="Calculation 13 3" xfId="5133"/>
    <cellStyle name="Calculation 13 3 2" xfId="5134"/>
    <cellStyle name="Calculation 13 4" xfId="5135"/>
    <cellStyle name="Calculation 13 4 2" xfId="5136"/>
    <cellStyle name="Calculation 13 5" xfId="5137"/>
    <cellStyle name="Calculation 13 5 2" xfId="5138"/>
    <cellStyle name="Calculation 13 6" xfId="5139"/>
    <cellStyle name="Calculation 13 6 2" xfId="5140"/>
    <cellStyle name="Calculation 13 7" xfId="5141"/>
    <cellStyle name="Calculation 13 7 2" xfId="5142"/>
    <cellStyle name="Calculation 13 8" xfId="5143"/>
    <cellStyle name="Calculation 13 8 2" xfId="5144"/>
    <cellStyle name="Calculation 13 9" xfId="5145"/>
    <cellStyle name="Calculation 13 9 2" xfId="5146"/>
    <cellStyle name="Calculation 14" xfId="1295"/>
    <cellStyle name="Calculation 14 10" xfId="5147"/>
    <cellStyle name="Calculation 14 11" xfId="5148"/>
    <cellStyle name="Calculation 14 12" xfId="5149"/>
    <cellStyle name="Calculation 14 2" xfId="5150"/>
    <cellStyle name="Calculation 14 2 2" xfId="5151"/>
    <cellStyle name="Calculation 14 2 2 2" xfId="5152"/>
    <cellStyle name="Calculation 14 2 3" xfId="5153"/>
    <cellStyle name="Calculation 14 2 3 2" xfId="5154"/>
    <cellStyle name="Calculation 14 2 4" xfId="5155"/>
    <cellStyle name="Calculation 14 2 4 2" xfId="5156"/>
    <cellStyle name="Calculation 14 2 5" xfId="5157"/>
    <cellStyle name="Calculation 14 2 5 2" xfId="5158"/>
    <cellStyle name="Calculation 14 2 6" xfId="5159"/>
    <cellStyle name="Calculation 14 2 6 2" xfId="5160"/>
    <cellStyle name="Calculation 14 2 7" xfId="5161"/>
    <cellStyle name="Calculation 14 2 7 2" xfId="5162"/>
    <cellStyle name="Calculation 14 2 8" xfId="5163"/>
    <cellStyle name="Calculation 14 2 8 2" xfId="5164"/>
    <cellStyle name="Calculation 14 2 9" xfId="5165"/>
    <cellStyle name="Calculation 14 3" xfId="5166"/>
    <cellStyle name="Calculation 14 3 2" xfId="5167"/>
    <cellStyle name="Calculation 14 4" xfId="5168"/>
    <cellStyle name="Calculation 14 4 2" xfId="5169"/>
    <cellStyle name="Calculation 14 5" xfId="5170"/>
    <cellStyle name="Calculation 14 5 2" xfId="5171"/>
    <cellStyle name="Calculation 14 6" xfId="5172"/>
    <cellStyle name="Calculation 14 6 2" xfId="5173"/>
    <cellStyle name="Calculation 14 7" xfId="5174"/>
    <cellStyle name="Calculation 14 7 2" xfId="5175"/>
    <cellStyle name="Calculation 14 8" xfId="5176"/>
    <cellStyle name="Calculation 14 8 2" xfId="5177"/>
    <cellStyle name="Calculation 14 9" xfId="5178"/>
    <cellStyle name="Calculation 14 9 2" xfId="5179"/>
    <cellStyle name="Calculation 15" xfId="1296"/>
    <cellStyle name="Calculation 15 10" xfId="5180"/>
    <cellStyle name="Calculation 15 11" xfId="5181"/>
    <cellStyle name="Calculation 15 12" xfId="5182"/>
    <cellStyle name="Calculation 15 2" xfId="5183"/>
    <cellStyle name="Calculation 15 2 2" xfId="5184"/>
    <cellStyle name="Calculation 15 2 2 2" xfId="5185"/>
    <cellStyle name="Calculation 15 2 3" xfId="5186"/>
    <cellStyle name="Calculation 15 2 3 2" xfId="5187"/>
    <cellStyle name="Calculation 15 2 4" xfId="5188"/>
    <cellStyle name="Calculation 15 2 4 2" xfId="5189"/>
    <cellStyle name="Calculation 15 2 5" xfId="5190"/>
    <cellStyle name="Calculation 15 2 5 2" xfId="5191"/>
    <cellStyle name="Calculation 15 2 6" xfId="5192"/>
    <cellStyle name="Calculation 15 2 6 2" xfId="5193"/>
    <cellStyle name="Calculation 15 2 7" xfId="5194"/>
    <cellStyle name="Calculation 15 2 7 2" xfId="5195"/>
    <cellStyle name="Calculation 15 2 8" xfId="5196"/>
    <cellStyle name="Calculation 15 2 8 2" xfId="5197"/>
    <cellStyle name="Calculation 15 2 9" xfId="5198"/>
    <cellStyle name="Calculation 15 3" xfId="5199"/>
    <cellStyle name="Calculation 15 3 2" xfId="5200"/>
    <cellStyle name="Calculation 15 4" xfId="5201"/>
    <cellStyle name="Calculation 15 4 2" xfId="5202"/>
    <cellStyle name="Calculation 15 5" xfId="5203"/>
    <cellStyle name="Calculation 15 5 2" xfId="5204"/>
    <cellStyle name="Calculation 15 6" xfId="5205"/>
    <cellStyle name="Calculation 15 6 2" xfId="5206"/>
    <cellStyle name="Calculation 15 7" xfId="5207"/>
    <cellStyle name="Calculation 15 7 2" xfId="5208"/>
    <cellStyle name="Calculation 15 8" xfId="5209"/>
    <cellStyle name="Calculation 15 8 2" xfId="5210"/>
    <cellStyle name="Calculation 15 9" xfId="5211"/>
    <cellStyle name="Calculation 15 9 2" xfId="5212"/>
    <cellStyle name="Calculation 16" xfId="1297"/>
    <cellStyle name="Calculation 16 10" xfId="5213"/>
    <cellStyle name="Calculation 16 11" xfId="5214"/>
    <cellStyle name="Calculation 16 12" xfId="5215"/>
    <cellStyle name="Calculation 16 2" xfId="5216"/>
    <cellStyle name="Calculation 16 2 2" xfId="5217"/>
    <cellStyle name="Calculation 16 2 2 2" xfId="5218"/>
    <cellStyle name="Calculation 16 2 3" xfId="5219"/>
    <cellStyle name="Calculation 16 2 3 2" xfId="5220"/>
    <cellStyle name="Calculation 16 2 4" xfId="5221"/>
    <cellStyle name="Calculation 16 2 4 2" xfId="5222"/>
    <cellStyle name="Calculation 16 2 5" xfId="5223"/>
    <cellStyle name="Calculation 16 2 5 2" xfId="5224"/>
    <cellStyle name="Calculation 16 2 6" xfId="5225"/>
    <cellStyle name="Calculation 16 2 6 2" xfId="5226"/>
    <cellStyle name="Calculation 16 2 7" xfId="5227"/>
    <cellStyle name="Calculation 16 2 7 2" xfId="5228"/>
    <cellStyle name="Calculation 16 2 8" xfId="5229"/>
    <cellStyle name="Calculation 16 2 8 2" xfId="5230"/>
    <cellStyle name="Calculation 16 2 9" xfId="5231"/>
    <cellStyle name="Calculation 16 3" xfId="5232"/>
    <cellStyle name="Calculation 16 3 2" xfId="5233"/>
    <cellStyle name="Calculation 16 4" xfId="5234"/>
    <cellStyle name="Calculation 16 4 2" xfId="5235"/>
    <cellStyle name="Calculation 16 5" xfId="5236"/>
    <cellStyle name="Calculation 16 5 2" xfId="5237"/>
    <cellStyle name="Calculation 16 6" xfId="5238"/>
    <cellStyle name="Calculation 16 6 2" xfId="5239"/>
    <cellStyle name="Calculation 16 7" xfId="5240"/>
    <cellStyle name="Calculation 16 7 2" xfId="5241"/>
    <cellStyle name="Calculation 16 8" xfId="5242"/>
    <cellStyle name="Calculation 16 8 2" xfId="5243"/>
    <cellStyle name="Calculation 16 9" xfId="5244"/>
    <cellStyle name="Calculation 16 9 2" xfId="5245"/>
    <cellStyle name="Calculation 17" xfId="1298"/>
    <cellStyle name="Calculation 17 10" xfId="5246"/>
    <cellStyle name="Calculation 17 11" xfId="5247"/>
    <cellStyle name="Calculation 17 2" xfId="5248"/>
    <cellStyle name="Calculation 17 2 2" xfId="5249"/>
    <cellStyle name="Calculation 17 2 2 2" xfId="5250"/>
    <cellStyle name="Calculation 17 2 3" xfId="5251"/>
    <cellStyle name="Calculation 17 2 3 2" xfId="5252"/>
    <cellStyle name="Calculation 17 2 4" xfId="5253"/>
    <cellStyle name="Calculation 17 2 4 2" xfId="5254"/>
    <cellStyle name="Calculation 17 2 5" xfId="5255"/>
    <cellStyle name="Calculation 17 2 5 2" xfId="5256"/>
    <cellStyle name="Calculation 17 2 6" xfId="5257"/>
    <cellStyle name="Calculation 17 2 6 2" xfId="5258"/>
    <cellStyle name="Calculation 17 2 7" xfId="5259"/>
    <cellStyle name="Calculation 17 2 7 2" xfId="5260"/>
    <cellStyle name="Calculation 17 2 8" xfId="5261"/>
    <cellStyle name="Calculation 17 2 8 2" xfId="5262"/>
    <cellStyle name="Calculation 17 2 9" xfId="5263"/>
    <cellStyle name="Calculation 17 3" xfId="5264"/>
    <cellStyle name="Calculation 17 3 2" xfId="5265"/>
    <cellStyle name="Calculation 17 4" xfId="5266"/>
    <cellStyle name="Calculation 17 4 2" xfId="5267"/>
    <cellStyle name="Calculation 17 5" xfId="5268"/>
    <cellStyle name="Calculation 17 5 2" xfId="5269"/>
    <cellStyle name="Calculation 17 6" xfId="5270"/>
    <cellStyle name="Calculation 17 6 2" xfId="5271"/>
    <cellStyle name="Calculation 17 7" xfId="5272"/>
    <cellStyle name="Calculation 17 7 2" xfId="5273"/>
    <cellStyle name="Calculation 17 8" xfId="5274"/>
    <cellStyle name="Calculation 17 8 2" xfId="5275"/>
    <cellStyle name="Calculation 17 9" xfId="5276"/>
    <cellStyle name="Calculation 17 9 2" xfId="5277"/>
    <cellStyle name="Calculation 18" xfId="1299"/>
    <cellStyle name="Calculation 18 10" xfId="5278"/>
    <cellStyle name="Calculation 18 2" xfId="5279"/>
    <cellStyle name="Calculation 18 2 2" xfId="5280"/>
    <cellStyle name="Calculation 18 2 2 2" xfId="5281"/>
    <cellStyle name="Calculation 18 2 3" xfId="5282"/>
    <cellStyle name="Calculation 18 2 3 2" xfId="5283"/>
    <cellStyle name="Calculation 18 2 4" xfId="5284"/>
    <cellStyle name="Calculation 18 2 4 2" xfId="5285"/>
    <cellStyle name="Calculation 18 2 5" xfId="5286"/>
    <cellStyle name="Calculation 18 2 5 2" xfId="5287"/>
    <cellStyle name="Calculation 18 2 6" xfId="5288"/>
    <cellStyle name="Calculation 18 2 6 2" xfId="5289"/>
    <cellStyle name="Calculation 18 2 7" xfId="5290"/>
    <cellStyle name="Calculation 18 2 7 2" xfId="5291"/>
    <cellStyle name="Calculation 18 2 8" xfId="5292"/>
    <cellStyle name="Calculation 18 2 8 2" xfId="5293"/>
    <cellStyle name="Calculation 18 2 9" xfId="5294"/>
    <cellStyle name="Calculation 18 3" xfId="5295"/>
    <cellStyle name="Calculation 18 3 2" xfId="5296"/>
    <cellStyle name="Calculation 18 4" xfId="5297"/>
    <cellStyle name="Calculation 18 4 2" xfId="5298"/>
    <cellStyle name="Calculation 18 5" xfId="5299"/>
    <cellStyle name="Calculation 18 5 2" xfId="5300"/>
    <cellStyle name="Calculation 18 6" xfId="5301"/>
    <cellStyle name="Calculation 18 6 2" xfId="5302"/>
    <cellStyle name="Calculation 18 7" xfId="5303"/>
    <cellStyle name="Calculation 18 7 2" xfId="5304"/>
    <cellStyle name="Calculation 18 8" xfId="5305"/>
    <cellStyle name="Calculation 18 8 2" xfId="5306"/>
    <cellStyle name="Calculation 18 9" xfId="5307"/>
    <cellStyle name="Calculation 18 9 2" xfId="5308"/>
    <cellStyle name="Calculation 19" xfId="1300"/>
    <cellStyle name="Calculation 19 10" xfId="5309"/>
    <cellStyle name="Calculation 19 2" xfId="5310"/>
    <cellStyle name="Calculation 19 2 2" xfId="5311"/>
    <cellStyle name="Calculation 19 2 2 2" xfId="5312"/>
    <cellStyle name="Calculation 19 2 3" xfId="5313"/>
    <cellStyle name="Calculation 19 2 3 2" xfId="5314"/>
    <cellStyle name="Calculation 19 2 4" xfId="5315"/>
    <cellStyle name="Calculation 19 2 4 2" xfId="5316"/>
    <cellStyle name="Calculation 19 2 5" xfId="5317"/>
    <cellStyle name="Calculation 19 2 5 2" xfId="5318"/>
    <cellStyle name="Calculation 19 2 6" xfId="5319"/>
    <cellStyle name="Calculation 19 2 6 2" xfId="5320"/>
    <cellStyle name="Calculation 19 2 7" xfId="5321"/>
    <cellStyle name="Calculation 19 2 7 2" xfId="5322"/>
    <cellStyle name="Calculation 19 2 8" xfId="5323"/>
    <cellStyle name="Calculation 19 2 8 2" xfId="5324"/>
    <cellStyle name="Calculation 19 2 9" xfId="5325"/>
    <cellStyle name="Calculation 19 3" xfId="5326"/>
    <cellStyle name="Calculation 19 3 2" xfId="5327"/>
    <cellStyle name="Calculation 19 4" xfId="5328"/>
    <cellStyle name="Calculation 19 4 2" xfId="5329"/>
    <cellStyle name="Calculation 19 5" xfId="5330"/>
    <cellStyle name="Calculation 19 5 2" xfId="5331"/>
    <cellStyle name="Calculation 19 6" xfId="5332"/>
    <cellStyle name="Calculation 19 6 2" xfId="5333"/>
    <cellStyle name="Calculation 19 7" xfId="5334"/>
    <cellStyle name="Calculation 19 7 2" xfId="5335"/>
    <cellStyle name="Calculation 19 8" xfId="5336"/>
    <cellStyle name="Calculation 19 8 2" xfId="5337"/>
    <cellStyle name="Calculation 19 9" xfId="5338"/>
    <cellStyle name="Calculation 19 9 2" xfId="5339"/>
    <cellStyle name="Calculation 2" xfId="1301"/>
    <cellStyle name="Calculation 2 10" xfId="5340"/>
    <cellStyle name="Calculation 2 2" xfId="1302"/>
    <cellStyle name="Calculation 2 2 10" xfId="5341"/>
    <cellStyle name="Calculation 2 2 11" xfId="5342"/>
    <cellStyle name="Calculation 2 2 2" xfId="1303"/>
    <cellStyle name="Calculation 2 2 2 2" xfId="1304"/>
    <cellStyle name="Calculation 2 2 2 3" xfId="1305"/>
    <cellStyle name="Calculation 2 2 2 4" xfId="1306"/>
    <cellStyle name="Calculation 2 2 2 5" xfId="1307"/>
    <cellStyle name="Calculation 2 2 3" xfId="1308"/>
    <cellStyle name="Calculation 2 2 3 2" xfId="5343"/>
    <cellStyle name="Calculation 2 2 4" xfId="1309"/>
    <cellStyle name="Calculation 2 2 4 2" xfId="5344"/>
    <cellStyle name="Calculation 2 2 5" xfId="1310"/>
    <cellStyle name="Calculation 2 2 5 2" xfId="5345"/>
    <cellStyle name="Calculation 2 2 6" xfId="5346"/>
    <cellStyle name="Calculation 2 2 6 2" xfId="5347"/>
    <cellStyle name="Calculation 2 2 7" xfId="5348"/>
    <cellStyle name="Calculation 2 2 7 2" xfId="5349"/>
    <cellStyle name="Calculation 2 2 8" xfId="5350"/>
    <cellStyle name="Calculation 2 2 8 2" xfId="5351"/>
    <cellStyle name="Calculation 2 2 9" xfId="5352"/>
    <cellStyle name="Calculation 2 3" xfId="1311"/>
    <cellStyle name="Calculation 2 3 2" xfId="5353"/>
    <cellStyle name="Calculation 2 4" xfId="1312"/>
    <cellStyle name="Calculation 2 4 2" xfId="5354"/>
    <cellStyle name="Calculation 2 5" xfId="1313"/>
    <cellStyle name="Calculation 2 5 2" xfId="5355"/>
    <cellStyle name="Calculation 2 6" xfId="1314"/>
    <cellStyle name="Calculation 2 6 2" xfId="5356"/>
    <cellStyle name="Calculation 2 7" xfId="1315"/>
    <cellStyle name="Calculation 2 7 2" xfId="5357"/>
    <cellStyle name="Calculation 2 8" xfId="1316"/>
    <cellStyle name="Calculation 2 8 2" xfId="5358"/>
    <cellStyle name="Calculation 2 9" xfId="1317"/>
    <cellStyle name="Calculation 20" xfId="1318"/>
    <cellStyle name="Calculation 20 10" xfId="5359"/>
    <cellStyle name="Calculation 20 2" xfId="5360"/>
    <cellStyle name="Calculation 20 2 2" xfId="5361"/>
    <cellStyle name="Calculation 20 2 2 2" xfId="5362"/>
    <cellStyle name="Calculation 20 2 3" xfId="5363"/>
    <cellStyle name="Calculation 20 2 3 2" xfId="5364"/>
    <cellStyle name="Calculation 20 2 4" xfId="5365"/>
    <cellStyle name="Calculation 20 2 4 2" xfId="5366"/>
    <cellStyle name="Calculation 20 2 5" xfId="5367"/>
    <cellStyle name="Calculation 20 2 5 2" xfId="5368"/>
    <cellStyle name="Calculation 20 2 6" xfId="5369"/>
    <cellStyle name="Calculation 20 2 6 2" xfId="5370"/>
    <cellStyle name="Calculation 20 2 7" xfId="5371"/>
    <cellStyle name="Calculation 20 2 7 2" xfId="5372"/>
    <cellStyle name="Calculation 20 2 8" xfId="5373"/>
    <cellStyle name="Calculation 20 2 8 2" xfId="5374"/>
    <cellStyle name="Calculation 20 2 9" xfId="5375"/>
    <cellStyle name="Calculation 20 3" xfId="5376"/>
    <cellStyle name="Calculation 20 3 2" xfId="5377"/>
    <cellStyle name="Calculation 20 4" xfId="5378"/>
    <cellStyle name="Calculation 20 4 2" xfId="5379"/>
    <cellStyle name="Calculation 20 5" xfId="5380"/>
    <cellStyle name="Calculation 20 5 2" xfId="5381"/>
    <cellStyle name="Calculation 20 6" xfId="5382"/>
    <cellStyle name="Calculation 20 6 2" xfId="5383"/>
    <cellStyle name="Calculation 20 7" xfId="5384"/>
    <cellStyle name="Calculation 20 7 2" xfId="5385"/>
    <cellStyle name="Calculation 20 8" xfId="5386"/>
    <cellStyle name="Calculation 20 8 2" xfId="5387"/>
    <cellStyle name="Calculation 20 9" xfId="5388"/>
    <cellStyle name="Calculation 20 9 2" xfId="5389"/>
    <cellStyle name="Calculation 21" xfId="1319"/>
    <cellStyle name="Calculation 21 10" xfId="5390"/>
    <cellStyle name="Calculation 21 2" xfId="5391"/>
    <cellStyle name="Calculation 21 2 2" xfId="5392"/>
    <cellStyle name="Calculation 21 2 2 2" xfId="5393"/>
    <cellStyle name="Calculation 21 2 3" xfId="5394"/>
    <cellStyle name="Calculation 21 2 3 2" xfId="5395"/>
    <cellStyle name="Calculation 21 2 4" xfId="5396"/>
    <cellStyle name="Calculation 21 2 4 2" xfId="5397"/>
    <cellStyle name="Calculation 21 2 5" xfId="5398"/>
    <cellStyle name="Calculation 21 2 5 2" xfId="5399"/>
    <cellStyle name="Calculation 21 2 6" xfId="5400"/>
    <cellStyle name="Calculation 21 2 6 2" xfId="5401"/>
    <cellStyle name="Calculation 21 2 7" xfId="5402"/>
    <cellStyle name="Calculation 21 2 7 2" xfId="5403"/>
    <cellStyle name="Calculation 21 2 8" xfId="5404"/>
    <cellStyle name="Calculation 21 2 8 2" xfId="5405"/>
    <cellStyle name="Calculation 21 2 9" xfId="5406"/>
    <cellStyle name="Calculation 21 3" xfId="5407"/>
    <cellStyle name="Calculation 21 3 2" xfId="5408"/>
    <cellStyle name="Calculation 21 4" xfId="5409"/>
    <cellStyle name="Calculation 21 4 2" xfId="5410"/>
    <cellStyle name="Calculation 21 5" xfId="5411"/>
    <cellStyle name="Calculation 21 5 2" xfId="5412"/>
    <cellStyle name="Calculation 21 6" xfId="5413"/>
    <cellStyle name="Calculation 21 6 2" xfId="5414"/>
    <cellStyle name="Calculation 21 7" xfId="5415"/>
    <cellStyle name="Calculation 21 7 2" xfId="5416"/>
    <cellStyle name="Calculation 21 8" xfId="5417"/>
    <cellStyle name="Calculation 21 8 2" xfId="5418"/>
    <cellStyle name="Calculation 21 9" xfId="5419"/>
    <cellStyle name="Calculation 21 9 2" xfId="5420"/>
    <cellStyle name="Calculation 22" xfId="1320"/>
    <cellStyle name="Calculation 22 2" xfId="5421"/>
    <cellStyle name="Calculation 22 2 2" xfId="5422"/>
    <cellStyle name="Calculation 22 3" xfId="5423"/>
    <cellStyle name="Calculation 22 3 2" xfId="5424"/>
    <cellStyle name="Calculation 22 4" xfId="5425"/>
    <cellStyle name="Calculation 22 4 2" xfId="5426"/>
    <cellStyle name="Calculation 22 5" xfId="5427"/>
    <cellStyle name="Calculation 22 5 2" xfId="5428"/>
    <cellStyle name="Calculation 22 6" xfId="5429"/>
    <cellStyle name="Calculation 22 6 2" xfId="5430"/>
    <cellStyle name="Calculation 22 7" xfId="5431"/>
    <cellStyle name="Calculation 22 7 2" xfId="5432"/>
    <cellStyle name="Calculation 22 8" xfId="5433"/>
    <cellStyle name="Calculation 22 8 2" xfId="5434"/>
    <cellStyle name="Calculation 22 9" xfId="5435"/>
    <cellStyle name="Calculation 3" xfId="1321"/>
    <cellStyle name="Calculation 3 10" xfId="5436"/>
    <cellStyle name="Calculation 3 11" xfId="5437"/>
    <cellStyle name="Calculation 3 2" xfId="5438"/>
    <cellStyle name="Calculation 3 2 10" xfId="5439"/>
    <cellStyle name="Calculation 3 2 2" xfId="5440"/>
    <cellStyle name="Calculation 3 2 2 2" xfId="5441"/>
    <cellStyle name="Calculation 3 2 3" xfId="5442"/>
    <cellStyle name="Calculation 3 2 3 2" xfId="5443"/>
    <cellStyle name="Calculation 3 2 4" xfId="5444"/>
    <cellStyle name="Calculation 3 2 4 2" xfId="5445"/>
    <cellStyle name="Calculation 3 2 5" xfId="5446"/>
    <cellStyle name="Calculation 3 2 5 2" xfId="5447"/>
    <cellStyle name="Calculation 3 2 6" xfId="5448"/>
    <cellStyle name="Calculation 3 2 6 2" xfId="5449"/>
    <cellStyle name="Calculation 3 2 7" xfId="5450"/>
    <cellStyle name="Calculation 3 2 7 2" xfId="5451"/>
    <cellStyle name="Calculation 3 2 8" xfId="5452"/>
    <cellStyle name="Calculation 3 2 8 2" xfId="5453"/>
    <cellStyle name="Calculation 3 2 9" xfId="5454"/>
    <cellStyle name="Calculation 3 3" xfId="5455"/>
    <cellStyle name="Calculation 3 3 2" xfId="5456"/>
    <cellStyle name="Calculation 3 4" xfId="5457"/>
    <cellStyle name="Calculation 3 4 2" xfId="5458"/>
    <cellStyle name="Calculation 3 5" xfId="5459"/>
    <cellStyle name="Calculation 3 5 2" xfId="5460"/>
    <cellStyle name="Calculation 3 6" xfId="5461"/>
    <cellStyle name="Calculation 3 6 2" xfId="5462"/>
    <cellStyle name="Calculation 3 7" xfId="5463"/>
    <cellStyle name="Calculation 3 7 2" xfId="5464"/>
    <cellStyle name="Calculation 3 8" xfId="5465"/>
    <cellStyle name="Calculation 3 8 2" xfId="5466"/>
    <cellStyle name="Calculation 3 9" xfId="5467"/>
    <cellStyle name="Calculation 3 9 2" xfId="5468"/>
    <cellStyle name="Calculation 4" xfId="1322"/>
    <cellStyle name="Calculation 4 10" xfId="5469"/>
    <cellStyle name="Calculation 4 11" xfId="5470"/>
    <cellStyle name="Calculation 4 12" xfId="5471"/>
    <cellStyle name="Calculation 4 2" xfId="5472"/>
    <cellStyle name="Calculation 4 2 2" xfId="5473"/>
    <cellStyle name="Calculation 4 2 2 2" xfId="5474"/>
    <cellStyle name="Calculation 4 2 3" xfId="5475"/>
    <cellStyle name="Calculation 4 2 3 2" xfId="5476"/>
    <cellStyle name="Calculation 4 2 4" xfId="5477"/>
    <cellStyle name="Calculation 4 2 4 2" xfId="5478"/>
    <cellStyle name="Calculation 4 2 5" xfId="5479"/>
    <cellStyle name="Calculation 4 2 5 2" xfId="5480"/>
    <cellStyle name="Calculation 4 2 6" xfId="5481"/>
    <cellStyle name="Calculation 4 2 6 2" xfId="5482"/>
    <cellStyle name="Calculation 4 2 7" xfId="5483"/>
    <cellStyle name="Calculation 4 2 7 2" xfId="5484"/>
    <cellStyle name="Calculation 4 2 8" xfId="5485"/>
    <cellStyle name="Calculation 4 2 8 2" xfId="5486"/>
    <cellStyle name="Calculation 4 2 9" xfId="5487"/>
    <cellStyle name="Calculation 4 3" xfId="5488"/>
    <cellStyle name="Calculation 4 3 2" xfId="5489"/>
    <cellStyle name="Calculation 4 4" xfId="5490"/>
    <cellStyle name="Calculation 4 4 2" xfId="5491"/>
    <cellStyle name="Calculation 4 5" xfId="5492"/>
    <cellStyle name="Calculation 4 5 2" xfId="5493"/>
    <cellStyle name="Calculation 4 6" xfId="5494"/>
    <cellStyle name="Calculation 4 6 2" xfId="5495"/>
    <cellStyle name="Calculation 4 7" xfId="5496"/>
    <cellStyle name="Calculation 4 7 2" xfId="5497"/>
    <cellStyle name="Calculation 4 8" xfId="5498"/>
    <cellStyle name="Calculation 4 8 2" xfId="5499"/>
    <cellStyle name="Calculation 4 9" xfId="5500"/>
    <cellStyle name="Calculation 4 9 2" xfId="5501"/>
    <cellStyle name="Calculation 5" xfId="1323"/>
    <cellStyle name="Calculation 5 10" xfId="5502"/>
    <cellStyle name="Calculation 5 11" xfId="5503"/>
    <cellStyle name="Calculation 5 12" xfId="5504"/>
    <cellStyle name="Calculation 5 2" xfId="5505"/>
    <cellStyle name="Calculation 5 2 2" xfId="5506"/>
    <cellStyle name="Calculation 5 2 2 2" xfId="5507"/>
    <cellStyle name="Calculation 5 2 3" xfId="5508"/>
    <cellStyle name="Calculation 5 2 3 2" xfId="5509"/>
    <cellStyle name="Calculation 5 2 4" xfId="5510"/>
    <cellStyle name="Calculation 5 2 4 2" xfId="5511"/>
    <cellStyle name="Calculation 5 2 5" xfId="5512"/>
    <cellStyle name="Calculation 5 2 5 2" xfId="5513"/>
    <cellStyle name="Calculation 5 2 6" xfId="5514"/>
    <cellStyle name="Calculation 5 2 6 2" xfId="5515"/>
    <cellStyle name="Calculation 5 2 7" xfId="5516"/>
    <cellStyle name="Calculation 5 2 7 2" xfId="5517"/>
    <cellStyle name="Calculation 5 2 8" xfId="5518"/>
    <cellStyle name="Calculation 5 2 8 2" xfId="5519"/>
    <cellStyle name="Calculation 5 2 9" xfId="5520"/>
    <cellStyle name="Calculation 5 3" xfId="5521"/>
    <cellStyle name="Calculation 5 3 2" xfId="5522"/>
    <cellStyle name="Calculation 5 4" xfId="5523"/>
    <cellStyle name="Calculation 5 4 2" xfId="5524"/>
    <cellStyle name="Calculation 5 5" xfId="5525"/>
    <cellStyle name="Calculation 5 5 2" xfId="5526"/>
    <cellStyle name="Calculation 5 6" xfId="5527"/>
    <cellStyle name="Calculation 5 6 2" xfId="5528"/>
    <cellStyle name="Calculation 5 7" xfId="5529"/>
    <cellStyle name="Calculation 5 7 2" xfId="5530"/>
    <cellStyle name="Calculation 5 8" xfId="5531"/>
    <cellStyle name="Calculation 5 8 2" xfId="5532"/>
    <cellStyle name="Calculation 5 9" xfId="5533"/>
    <cellStyle name="Calculation 5 9 2" xfId="5534"/>
    <cellStyle name="Calculation 6" xfId="1324"/>
    <cellStyle name="Calculation 6 10" xfId="5535"/>
    <cellStyle name="Calculation 6 11" xfId="5536"/>
    <cellStyle name="Calculation 6 12" xfId="5537"/>
    <cellStyle name="Calculation 6 2" xfId="5538"/>
    <cellStyle name="Calculation 6 2 2" xfId="5539"/>
    <cellStyle name="Calculation 6 2 2 2" xfId="5540"/>
    <cellStyle name="Calculation 6 2 3" xfId="5541"/>
    <cellStyle name="Calculation 6 2 3 2" xfId="5542"/>
    <cellStyle name="Calculation 6 2 4" xfId="5543"/>
    <cellStyle name="Calculation 6 2 4 2" xfId="5544"/>
    <cellStyle name="Calculation 6 2 5" xfId="5545"/>
    <cellStyle name="Calculation 6 2 5 2" xfId="5546"/>
    <cellStyle name="Calculation 6 2 6" xfId="5547"/>
    <cellStyle name="Calculation 6 2 6 2" xfId="5548"/>
    <cellStyle name="Calculation 6 2 7" xfId="5549"/>
    <cellStyle name="Calculation 6 2 7 2" xfId="5550"/>
    <cellStyle name="Calculation 6 2 8" xfId="5551"/>
    <cellStyle name="Calculation 6 2 8 2" xfId="5552"/>
    <cellStyle name="Calculation 6 2 9" xfId="5553"/>
    <cellStyle name="Calculation 6 3" xfId="5554"/>
    <cellStyle name="Calculation 6 3 2" xfId="5555"/>
    <cellStyle name="Calculation 6 4" xfId="5556"/>
    <cellStyle name="Calculation 6 4 2" xfId="5557"/>
    <cellStyle name="Calculation 6 5" xfId="5558"/>
    <cellStyle name="Calculation 6 5 2" xfId="5559"/>
    <cellStyle name="Calculation 6 6" xfId="5560"/>
    <cellStyle name="Calculation 6 6 2" xfId="5561"/>
    <cellStyle name="Calculation 6 7" xfId="5562"/>
    <cellStyle name="Calculation 6 7 2" xfId="5563"/>
    <cellStyle name="Calculation 6 8" xfId="5564"/>
    <cellStyle name="Calculation 6 8 2" xfId="5565"/>
    <cellStyle name="Calculation 6 9" xfId="5566"/>
    <cellStyle name="Calculation 6 9 2" xfId="5567"/>
    <cellStyle name="Calculation 7" xfId="1325"/>
    <cellStyle name="Calculation 7 10" xfId="5568"/>
    <cellStyle name="Calculation 7 11" xfId="5569"/>
    <cellStyle name="Calculation 7 12" xfId="5570"/>
    <cellStyle name="Calculation 7 2" xfId="5571"/>
    <cellStyle name="Calculation 7 2 2" xfId="5572"/>
    <cellStyle name="Calculation 7 2 2 2" xfId="5573"/>
    <cellStyle name="Calculation 7 2 3" xfId="5574"/>
    <cellStyle name="Calculation 7 2 3 2" xfId="5575"/>
    <cellStyle name="Calculation 7 2 4" xfId="5576"/>
    <cellStyle name="Calculation 7 2 4 2" xfId="5577"/>
    <cellStyle name="Calculation 7 2 5" xfId="5578"/>
    <cellStyle name="Calculation 7 2 5 2" xfId="5579"/>
    <cellStyle name="Calculation 7 2 6" xfId="5580"/>
    <cellStyle name="Calculation 7 2 6 2" xfId="5581"/>
    <cellStyle name="Calculation 7 2 7" xfId="5582"/>
    <cellStyle name="Calculation 7 2 7 2" xfId="5583"/>
    <cellStyle name="Calculation 7 2 8" xfId="5584"/>
    <cellStyle name="Calculation 7 2 8 2" xfId="5585"/>
    <cellStyle name="Calculation 7 2 9" xfId="5586"/>
    <cellStyle name="Calculation 7 3" xfId="5587"/>
    <cellStyle name="Calculation 7 3 2" xfId="5588"/>
    <cellStyle name="Calculation 7 4" xfId="5589"/>
    <cellStyle name="Calculation 7 4 2" xfId="5590"/>
    <cellStyle name="Calculation 7 5" xfId="5591"/>
    <cellStyle name="Calculation 7 5 2" xfId="5592"/>
    <cellStyle name="Calculation 7 6" xfId="5593"/>
    <cellStyle name="Calculation 7 6 2" xfId="5594"/>
    <cellStyle name="Calculation 7 7" xfId="5595"/>
    <cellStyle name="Calculation 7 7 2" xfId="5596"/>
    <cellStyle name="Calculation 7 8" xfId="5597"/>
    <cellStyle name="Calculation 7 8 2" xfId="5598"/>
    <cellStyle name="Calculation 7 9" xfId="5599"/>
    <cellStyle name="Calculation 7 9 2" xfId="5600"/>
    <cellStyle name="Calculation 8" xfId="1326"/>
    <cellStyle name="Calculation 8 10" xfId="5601"/>
    <cellStyle name="Calculation 8 11" xfId="5602"/>
    <cellStyle name="Calculation 8 12" xfId="5603"/>
    <cellStyle name="Calculation 8 2" xfId="5604"/>
    <cellStyle name="Calculation 8 2 2" xfId="5605"/>
    <cellStyle name="Calculation 8 2 2 2" xfId="5606"/>
    <cellStyle name="Calculation 8 2 3" xfId="5607"/>
    <cellStyle name="Calculation 8 2 3 2" xfId="5608"/>
    <cellStyle name="Calculation 8 2 4" xfId="5609"/>
    <cellStyle name="Calculation 8 2 4 2" xfId="5610"/>
    <cellStyle name="Calculation 8 2 5" xfId="5611"/>
    <cellStyle name="Calculation 8 2 5 2" xfId="5612"/>
    <cellStyle name="Calculation 8 2 6" xfId="5613"/>
    <cellStyle name="Calculation 8 2 6 2" xfId="5614"/>
    <cellStyle name="Calculation 8 2 7" xfId="5615"/>
    <cellStyle name="Calculation 8 2 7 2" xfId="5616"/>
    <cellStyle name="Calculation 8 2 8" xfId="5617"/>
    <cellStyle name="Calculation 8 2 8 2" xfId="5618"/>
    <cellStyle name="Calculation 8 2 9" xfId="5619"/>
    <cellStyle name="Calculation 8 3" xfId="5620"/>
    <cellStyle name="Calculation 8 3 2" xfId="5621"/>
    <cellStyle name="Calculation 8 4" xfId="5622"/>
    <cellStyle name="Calculation 8 4 2" xfId="5623"/>
    <cellStyle name="Calculation 8 5" xfId="5624"/>
    <cellStyle name="Calculation 8 5 2" xfId="5625"/>
    <cellStyle name="Calculation 8 6" xfId="5626"/>
    <cellStyle name="Calculation 8 6 2" xfId="5627"/>
    <cellStyle name="Calculation 8 7" xfId="5628"/>
    <cellStyle name="Calculation 8 7 2" xfId="5629"/>
    <cellStyle name="Calculation 8 8" xfId="5630"/>
    <cellStyle name="Calculation 8 8 2" xfId="5631"/>
    <cellStyle name="Calculation 8 9" xfId="5632"/>
    <cellStyle name="Calculation 8 9 2" xfId="5633"/>
    <cellStyle name="Calculation 9" xfId="1327"/>
    <cellStyle name="Calculation 9 10" xfId="5634"/>
    <cellStyle name="Calculation 9 11" xfId="5635"/>
    <cellStyle name="Calculation 9 12" xfId="5636"/>
    <cellStyle name="Calculation 9 2" xfId="5637"/>
    <cellStyle name="Calculation 9 2 2" xfId="5638"/>
    <cellStyle name="Calculation 9 2 2 2" xfId="5639"/>
    <cellStyle name="Calculation 9 2 3" xfId="5640"/>
    <cellStyle name="Calculation 9 2 3 2" xfId="5641"/>
    <cellStyle name="Calculation 9 2 4" xfId="5642"/>
    <cellStyle name="Calculation 9 2 4 2" xfId="5643"/>
    <cellStyle name="Calculation 9 2 5" xfId="5644"/>
    <cellStyle name="Calculation 9 2 5 2" xfId="5645"/>
    <cellStyle name="Calculation 9 2 6" xfId="5646"/>
    <cellStyle name="Calculation 9 2 6 2" xfId="5647"/>
    <cellStyle name="Calculation 9 2 7" xfId="5648"/>
    <cellStyle name="Calculation 9 2 7 2" xfId="5649"/>
    <cellStyle name="Calculation 9 2 8" xfId="5650"/>
    <cellStyle name="Calculation 9 2 8 2" xfId="5651"/>
    <cellStyle name="Calculation 9 2 9" xfId="5652"/>
    <cellStyle name="Calculation 9 3" xfId="5653"/>
    <cellStyle name="Calculation 9 3 2" xfId="5654"/>
    <cellStyle name="Calculation 9 4" xfId="5655"/>
    <cellStyle name="Calculation 9 4 2" xfId="5656"/>
    <cellStyle name="Calculation 9 5" xfId="5657"/>
    <cellStyle name="Calculation 9 5 2" xfId="5658"/>
    <cellStyle name="Calculation 9 6" xfId="5659"/>
    <cellStyle name="Calculation 9 6 2" xfId="5660"/>
    <cellStyle name="Calculation 9 7" xfId="5661"/>
    <cellStyle name="Calculation 9 7 2" xfId="5662"/>
    <cellStyle name="Calculation 9 8" xfId="5663"/>
    <cellStyle name="Calculation 9 8 2" xfId="5664"/>
    <cellStyle name="Calculation 9 9" xfId="5665"/>
    <cellStyle name="Calculation 9 9 2" xfId="5666"/>
    <cellStyle name="Check Cell 10" xfId="1328"/>
    <cellStyle name="Check Cell 11" xfId="1329"/>
    <cellStyle name="Check Cell 12" xfId="1330"/>
    <cellStyle name="Check Cell 13" xfId="1331"/>
    <cellStyle name="Check Cell 14" xfId="1332"/>
    <cellStyle name="Check Cell 15" xfId="1333"/>
    <cellStyle name="Check Cell 16" xfId="1334"/>
    <cellStyle name="Check Cell 17" xfId="1335"/>
    <cellStyle name="Check Cell 18" xfId="1336"/>
    <cellStyle name="Check Cell 19" xfId="1337"/>
    <cellStyle name="Check Cell 2" xfId="1338"/>
    <cellStyle name="Check Cell 2 2" xfId="1339"/>
    <cellStyle name="Check Cell 2 2 2" xfId="1340"/>
    <cellStyle name="Check Cell 2 2 2 2" xfId="1341"/>
    <cellStyle name="Check Cell 2 2 2 3" xfId="1342"/>
    <cellStyle name="Check Cell 2 2 2 4" xfId="1343"/>
    <cellStyle name="Check Cell 2 2 2 5" xfId="1344"/>
    <cellStyle name="Check Cell 2 2 3" xfId="1345"/>
    <cellStyle name="Check Cell 2 2 4" xfId="1346"/>
    <cellStyle name="Check Cell 2 2 5" xfId="1347"/>
    <cellStyle name="Check Cell 2 3" xfId="1348"/>
    <cellStyle name="Check Cell 2 4" xfId="1349"/>
    <cellStyle name="Check Cell 2 5" xfId="1350"/>
    <cellStyle name="Check Cell 2 6" xfId="1351"/>
    <cellStyle name="Check Cell 2 7" xfId="1352"/>
    <cellStyle name="Check Cell 2 8" xfId="1353"/>
    <cellStyle name="Check Cell 2 9" xfId="1354"/>
    <cellStyle name="Check Cell 20" xfId="1355"/>
    <cellStyle name="Check Cell 21" xfId="1356"/>
    <cellStyle name="Check Cell 22" xfId="1357"/>
    <cellStyle name="Check Cell 3" xfId="1358"/>
    <cellStyle name="Check Cell 3 2" xfId="5667"/>
    <cellStyle name="Check Cell 4" xfId="1359"/>
    <cellStyle name="Check Cell 5" xfId="1360"/>
    <cellStyle name="Check Cell 6" xfId="1361"/>
    <cellStyle name="Check Cell 7" xfId="1362"/>
    <cellStyle name="Check Cell 8" xfId="1363"/>
    <cellStyle name="Check Cell 9" xfId="1364"/>
    <cellStyle name="CodeEingabe" xfId="5668"/>
    <cellStyle name="ColumnAttributeAbovePrompt" xfId="1"/>
    <cellStyle name="ColumnAttributeAbovePrompt 2" xfId="5670"/>
    <cellStyle name="ColumnAttributeAbovePrompt 2 2" xfId="5671"/>
    <cellStyle name="ColumnAttributeAbovePrompt 2 3" xfId="5672"/>
    <cellStyle name="ColumnAttributeAbovePrompt 3" xfId="5673"/>
    <cellStyle name="ColumnAttributeAbovePrompt 4" xfId="5669"/>
    <cellStyle name="ColumnAttributePrompt" xfId="2"/>
    <cellStyle name="ColumnAttributePrompt 2" xfId="5675"/>
    <cellStyle name="ColumnAttributePrompt 2 2" xfId="5676"/>
    <cellStyle name="ColumnAttributePrompt 2 3" xfId="5677"/>
    <cellStyle name="ColumnAttributePrompt 3" xfId="5678"/>
    <cellStyle name="ColumnAttributePrompt 4" xfId="5674"/>
    <cellStyle name="ColumnAttributeValue" xfId="3"/>
    <cellStyle name="ColumnAttributeValue 2" xfId="5680"/>
    <cellStyle name="ColumnAttributeValue 2 2" xfId="5681"/>
    <cellStyle name="ColumnAttributeValue 2 3" xfId="5682"/>
    <cellStyle name="ColumnAttributeValue 3" xfId="5683"/>
    <cellStyle name="ColumnAttributeValue 4" xfId="5679"/>
    <cellStyle name="ColumnHeadingPrompt" xfId="4"/>
    <cellStyle name="ColumnHeadingPrompt 2" xfId="5685"/>
    <cellStyle name="ColumnHeadingPrompt 2 2" xfId="5686"/>
    <cellStyle name="ColumnHeadingPrompt 2 3" xfId="5687"/>
    <cellStyle name="ColumnHeadingPrompt 3" xfId="5688"/>
    <cellStyle name="ColumnHeadingPrompt 4" xfId="5684"/>
    <cellStyle name="ColumnHeadingValue" xfId="5"/>
    <cellStyle name="ColumnHeadingValue 2" xfId="5690"/>
    <cellStyle name="ColumnHeadingValue 2 2" xfId="5691"/>
    <cellStyle name="ColumnHeadingValue 3" xfId="5692"/>
    <cellStyle name="ColumnHeadingValue 4" xfId="5689"/>
    <cellStyle name="Comma" xfId="6" builtinId="3"/>
    <cellStyle name="Comma [0] 2" xfId="5693"/>
    <cellStyle name="Comma [0] 2 2" xfId="5694"/>
    <cellStyle name="Comma [0] 3" xfId="5695"/>
    <cellStyle name="Comma [0] 3 2" xfId="5696"/>
    <cellStyle name="Comma [0] 3 2 2" xfId="5697"/>
    <cellStyle name="Comma [0] 3 2 2 2" xfId="5698"/>
    <cellStyle name="Comma [0] 3 2 3" xfId="5699"/>
    <cellStyle name="Comma [0] 3 2 4" xfId="5700"/>
    <cellStyle name="Comma [0] 3 3" xfId="5701"/>
    <cellStyle name="Comma [0] 3 4" xfId="5702"/>
    <cellStyle name="Comma [0] 3 4 2" xfId="5703"/>
    <cellStyle name="Comma [0] 3 5" xfId="5704"/>
    <cellStyle name="Comma [0] 4" xfId="5705"/>
    <cellStyle name="Comma [0] 4 2" xfId="5706"/>
    <cellStyle name="Comma [0] 5" xfId="5707"/>
    <cellStyle name="Comma [0] 5 2" xfId="5708"/>
    <cellStyle name="Comma [0] 5 2 2" xfId="5709"/>
    <cellStyle name="Comma [0] 5 2 3" xfId="5710"/>
    <cellStyle name="Comma [0] 5 3" xfId="5711"/>
    <cellStyle name="Comma [0] 5 4" xfId="5712"/>
    <cellStyle name="Comma [0] 6" xfId="5713"/>
    <cellStyle name="Comma [0] 6 2" xfId="5714"/>
    <cellStyle name="Comma [0] 6 2 2" xfId="5715"/>
    <cellStyle name="Comma [0] 6 3" xfId="5716"/>
    <cellStyle name="Comma 10" xfId="1365"/>
    <cellStyle name="Comma 10 2" xfId="5717"/>
    <cellStyle name="Comma 10 2 2" xfId="5718"/>
    <cellStyle name="Comma 10 2 2 2" xfId="5719"/>
    <cellStyle name="Comma 10 2 2 2 2" xfId="5720"/>
    <cellStyle name="Comma 10 2 2 2 2 2" xfId="5721"/>
    <cellStyle name="Comma 10 2 2 2 2 2 2" xfId="5722"/>
    <cellStyle name="Comma 10 2 2 2 2 3" xfId="5723"/>
    <cellStyle name="Comma 10 2 2 2 3" xfId="5724"/>
    <cellStyle name="Comma 10 2 2 2 3 2" xfId="5725"/>
    <cellStyle name="Comma 10 2 2 2 4" xfId="5726"/>
    <cellStyle name="Comma 10 2 2 3" xfId="5727"/>
    <cellStyle name="Comma 10 2 2 3 2" xfId="5728"/>
    <cellStyle name="Comma 10 2 2 3 2 2" xfId="5729"/>
    <cellStyle name="Comma 10 2 2 3 3" xfId="5730"/>
    <cellStyle name="Comma 10 2 2 4" xfId="5731"/>
    <cellStyle name="Comma 10 2 2 4 2" xfId="5732"/>
    <cellStyle name="Comma 10 2 2 5" xfId="5733"/>
    <cellStyle name="Comma 10 2 2 6" xfId="5734"/>
    <cellStyle name="Comma 10 2 3" xfId="5735"/>
    <cellStyle name="Comma 10 2 3 2" xfId="5736"/>
    <cellStyle name="Comma 10 2 3 2 2" xfId="5737"/>
    <cellStyle name="Comma 10 2 3 2 2 2" xfId="5738"/>
    <cellStyle name="Comma 10 2 3 2 3" xfId="5739"/>
    <cellStyle name="Comma 10 2 3 3" xfId="5740"/>
    <cellStyle name="Comma 10 2 3 3 2" xfId="5741"/>
    <cellStyle name="Comma 10 2 3 4" xfId="5742"/>
    <cellStyle name="Comma 10 2 4" xfId="5743"/>
    <cellStyle name="Comma 10 2 4 2" xfId="5744"/>
    <cellStyle name="Comma 10 2 4 2 2" xfId="5745"/>
    <cellStyle name="Comma 10 2 4 3" xfId="5746"/>
    <cellStyle name="Comma 10 2 5" xfId="5747"/>
    <cellStyle name="Comma 10 2 5 2" xfId="5748"/>
    <cellStyle name="Comma 10 2 6" xfId="5749"/>
    <cellStyle name="Comma 10 2 7" xfId="5750"/>
    <cellStyle name="Comma 10 3" xfId="5751"/>
    <cellStyle name="Comma 10 3 2" xfId="5752"/>
    <cellStyle name="Comma 10 3 2 2" xfId="5753"/>
    <cellStyle name="Comma 10 3 2 2 2" xfId="5754"/>
    <cellStyle name="Comma 10 3 2 2 2 2" xfId="5755"/>
    <cellStyle name="Comma 10 3 2 2 3" xfId="5756"/>
    <cellStyle name="Comma 10 3 2 3" xfId="5757"/>
    <cellStyle name="Comma 10 3 2 3 2" xfId="5758"/>
    <cellStyle name="Comma 10 3 2 4" xfId="5759"/>
    <cellStyle name="Comma 10 3 3" xfId="5760"/>
    <cellStyle name="Comma 10 3 3 2" xfId="5761"/>
    <cellStyle name="Comma 10 3 3 2 2" xfId="5762"/>
    <cellStyle name="Comma 10 3 3 3" xfId="5763"/>
    <cellStyle name="Comma 10 3 4" xfId="5764"/>
    <cellStyle name="Comma 10 3 4 2" xfId="5765"/>
    <cellStyle name="Comma 10 3 5" xfId="5766"/>
    <cellStyle name="Comma 10 3 6" xfId="5767"/>
    <cellStyle name="Comma 10 4" xfId="5768"/>
    <cellStyle name="Comma 10 4 2" xfId="5769"/>
    <cellStyle name="Comma 10 4 2 2" xfId="5770"/>
    <cellStyle name="Comma 10 4 2 2 2" xfId="5771"/>
    <cellStyle name="Comma 10 4 2 3" xfId="5772"/>
    <cellStyle name="Comma 10 4 3" xfId="5773"/>
    <cellStyle name="Comma 10 4 3 2" xfId="5774"/>
    <cellStyle name="Comma 10 4 4" xfId="5775"/>
    <cellStyle name="Comma 10 5" xfId="5776"/>
    <cellStyle name="Comma 10 5 2" xfId="5777"/>
    <cellStyle name="Comma 10 5 2 2" xfId="5778"/>
    <cellStyle name="Comma 10 5 3" xfId="5779"/>
    <cellStyle name="Comma 10 6" xfId="5780"/>
    <cellStyle name="Comma 10 6 2" xfId="5781"/>
    <cellStyle name="Comma 10 7" xfId="5782"/>
    <cellStyle name="Comma 10 8" xfId="5783"/>
    <cellStyle name="Comma 10 9" xfId="5784"/>
    <cellStyle name="Comma 11" xfId="1366"/>
    <cellStyle name="Comma 11 10" xfId="5785"/>
    <cellStyle name="Comma 11 2" xfId="5786"/>
    <cellStyle name="Comma 11 2 2" xfId="5787"/>
    <cellStyle name="Comma 11 2 2 2" xfId="5788"/>
    <cellStyle name="Comma 11 2 2 2 2" xfId="5789"/>
    <cellStyle name="Comma 11 2 2 2 3" xfId="5790"/>
    <cellStyle name="Comma 11 2 2 3" xfId="5791"/>
    <cellStyle name="Comma 11 2 2 3 2" xfId="5792"/>
    <cellStyle name="Comma 11 2 2 4" xfId="5793"/>
    <cellStyle name="Comma 11 2 2 5" xfId="5794"/>
    <cellStyle name="Comma 11 2 3" xfId="5795"/>
    <cellStyle name="Comma 11 2 3 2" xfId="5796"/>
    <cellStyle name="Comma 11 2 3 3" xfId="5797"/>
    <cellStyle name="Comma 11 2 4" xfId="5798"/>
    <cellStyle name="Comma 11 2 4 2" xfId="5799"/>
    <cellStyle name="Comma 11 2 5" xfId="5800"/>
    <cellStyle name="Comma 11 2 6" xfId="5801"/>
    <cellStyle name="Comma 11 3" xfId="5802"/>
    <cellStyle name="Comma 11 3 2" xfId="5803"/>
    <cellStyle name="Comma 11 3 2 2" xfId="5804"/>
    <cellStyle name="Comma 11 3 2 2 2" xfId="5805"/>
    <cellStyle name="Comma 11 3 2 3" xfId="5806"/>
    <cellStyle name="Comma 11 3 2 4" xfId="5807"/>
    <cellStyle name="Comma 11 3 2 5" xfId="5808"/>
    <cellStyle name="Comma 11 3 3" xfId="5809"/>
    <cellStyle name="Comma 11 3 3 2" xfId="5810"/>
    <cellStyle name="Comma 11 3 4" xfId="5811"/>
    <cellStyle name="Comma 11 3 5" xfId="5812"/>
    <cellStyle name="Comma 11 3 6" xfId="5813"/>
    <cellStyle name="Comma 11 4" xfId="5814"/>
    <cellStyle name="Comma 11 4 2" xfId="5815"/>
    <cellStyle name="Comma 11 4 2 2" xfId="5816"/>
    <cellStyle name="Comma 11 4 3" xfId="5817"/>
    <cellStyle name="Comma 11 4 4" xfId="5818"/>
    <cellStyle name="Comma 11 4 5" xfId="5819"/>
    <cellStyle name="Comma 11 5" xfId="5820"/>
    <cellStyle name="Comma 11 5 2" xfId="5821"/>
    <cellStyle name="Comma 11 5 2 2" xfId="5822"/>
    <cellStyle name="Comma 11 5 3" xfId="5823"/>
    <cellStyle name="Comma 11 5 4" xfId="5824"/>
    <cellStyle name="Comma 11 5 5" xfId="5825"/>
    <cellStyle name="Comma 11 6" xfId="5826"/>
    <cellStyle name="Comma 11 6 2" xfId="5827"/>
    <cellStyle name="Comma 11 6 3" xfId="5828"/>
    <cellStyle name="Comma 11 7" xfId="5829"/>
    <cellStyle name="Comma 11 7 2" xfId="5830"/>
    <cellStyle name="Comma 11 8" xfId="5831"/>
    <cellStyle name="Comma 11 9" xfId="5832"/>
    <cellStyle name="Comma 12" xfId="1367"/>
    <cellStyle name="Comma 12 2" xfId="5833"/>
    <cellStyle name="Comma 12 2 2" xfId="5834"/>
    <cellStyle name="Comma 12 2 3" xfId="5835"/>
    <cellStyle name="Comma 12 3" xfId="5836"/>
    <cellStyle name="Comma 12 3 2" xfId="5837"/>
    <cellStyle name="Comma 12 4" xfId="5838"/>
    <cellStyle name="Comma 12 5" xfId="5839"/>
    <cellStyle name="Comma 12 6" xfId="5840"/>
    <cellStyle name="Comma 13" xfId="1368"/>
    <cellStyle name="Comma 13 2" xfId="5841"/>
    <cellStyle name="Comma 13 2 2" xfId="5842"/>
    <cellStyle name="Comma 13 2 3" xfId="5843"/>
    <cellStyle name="Comma 13 2 4" xfId="5844"/>
    <cellStyle name="Comma 13 3" xfId="5845"/>
    <cellStyle name="Comma 13 3 2" xfId="5846"/>
    <cellStyle name="Comma 13 4" xfId="5847"/>
    <cellStyle name="Comma 13 5" xfId="5848"/>
    <cellStyle name="Comma 13 6" xfId="5849"/>
    <cellStyle name="Comma 14" xfId="1369"/>
    <cellStyle name="Comma 14 2" xfId="5850"/>
    <cellStyle name="Comma 14 2 2" xfId="5851"/>
    <cellStyle name="Comma 14 3" xfId="5852"/>
    <cellStyle name="Comma 14 4" xfId="5853"/>
    <cellStyle name="Comma 14 5" xfId="5854"/>
    <cellStyle name="Comma 15" xfId="1370"/>
    <cellStyle name="Comma 15 2" xfId="5855"/>
    <cellStyle name="Comma 15 2 2" xfId="5856"/>
    <cellStyle name="Comma 15 3" xfId="5857"/>
    <cellStyle name="Comma 15 4" xfId="5858"/>
    <cellStyle name="Comma 15 5" xfId="5859"/>
    <cellStyle name="Comma 16" xfId="64"/>
    <cellStyle name="Comma 16 2" xfId="5860"/>
    <cellStyle name="Comma 16 2 2" xfId="5861"/>
    <cellStyle name="Comma 16 3" xfId="5862"/>
    <cellStyle name="Comma 16 4" xfId="5863"/>
    <cellStyle name="Comma 16 5" xfId="5864"/>
    <cellStyle name="Comma 17" xfId="1371"/>
    <cellStyle name="Comma 17 2" xfId="5865"/>
    <cellStyle name="Comma 17 2 2" xfId="5866"/>
    <cellStyle name="Comma 17 3" xfId="5867"/>
    <cellStyle name="Comma 17 4" xfId="5868"/>
    <cellStyle name="Comma 17 5" xfId="5869"/>
    <cellStyle name="Comma 18" xfId="2158"/>
    <cellStyle name="Comma 18 2" xfId="5870"/>
    <cellStyle name="Comma 18 2 2" xfId="5871"/>
    <cellStyle name="Comma 18 3" xfId="5872"/>
    <cellStyle name="Comma 18 4" xfId="5873"/>
    <cellStyle name="Comma 18 5" xfId="5874"/>
    <cellStyle name="Comma 19" xfId="5875"/>
    <cellStyle name="Comma 19 2" xfId="5876"/>
    <cellStyle name="Comma 2" xfId="59"/>
    <cellStyle name="Comma 2 10" xfId="1372"/>
    <cellStyle name="Comma 2 10 2" xfId="5877"/>
    <cellStyle name="Comma 2 10 2 2" xfId="5878"/>
    <cellStyle name="Comma 2 10 2 2 2" xfId="5879"/>
    <cellStyle name="Comma 2 10 2 3" xfId="5880"/>
    <cellStyle name="Comma 2 10 2 4" xfId="5881"/>
    <cellStyle name="Comma 2 10 2 5" xfId="5882"/>
    <cellStyle name="Comma 2 10 3" xfId="5883"/>
    <cellStyle name="Comma 2 10 3 2" xfId="5884"/>
    <cellStyle name="Comma 2 10 3 2 2" xfId="5885"/>
    <cellStyle name="Comma 2 10 3 3" xfId="5886"/>
    <cellStyle name="Comma 2 10 3 4" xfId="5887"/>
    <cellStyle name="Comma 2 10 3 5" xfId="5888"/>
    <cellStyle name="Comma 2 10 4" xfId="5889"/>
    <cellStyle name="Comma 2 11" xfId="1373"/>
    <cellStyle name="Comma 2 11 2" xfId="5890"/>
    <cellStyle name="Comma 2 11 2 2" xfId="5891"/>
    <cellStyle name="Comma 2 11 2 2 2" xfId="5892"/>
    <cellStyle name="Comma 2 11 2 3" xfId="5893"/>
    <cellStyle name="Comma 2 11 2 4" xfId="5894"/>
    <cellStyle name="Comma 2 11 2 5" xfId="5895"/>
    <cellStyle name="Comma 2 11 2 6" xfId="5896"/>
    <cellStyle name="Comma 2 11 3" xfId="5897"/>
    <cellStyle name="Comma 2 12" xfId="1374"/>
    <cellStyle name="Comma 2 12 2" xfId="5898"/>
    <cellStyle name="Comma 2 12 3" xfId="5899"/>
    <cellStyle name="Comma 2 13" xfId="1375"/>
    <cellStyle name="Comma 2 13 2" xfId="5900"/>
    <cellStyle name="Comma 2 14" xfId="1376"/>
    <cellStyle name="Comma 2 14 2" xfId="5901"/>
    <cellStyle name="Comma 2 15" xfId="1377"/>
    <cellStyle name="Comma 2 15 2" xfId="5902"/>
    <cellStyle name="Comma 2 16" xfId="1378"/>
    <cellStyle name="Comma 2 17" xfId="1379"/>
    <cellStyle name="Comma 2 18" xfId="1380"/>
    <cellStyle name="Comma 2 19" xfId="1381"/>
    <cellStyle name="Comma 2 2" xfId="1382"/>
    <cellStyle name="Comma 2 2 2" xfId="5903"/>
    <cellStyle name="Comma 2 2 2 2" xfId="5904"/>
    <cellStyle name="Comma 2 2 2 2 2" xfId="5905"/>
    <cellStyle name="Comma 2 2 2 2 2 2" xfId="5906"/>
    <cellStyle name="Comma 2 2 2 2 2 2 2" xfId="5907"/>
    <cellStyle name="Comma 2 2 2 2 2 3" xfId="5908"/>
    <cellStyle name="Comma 2 2 2 2 2 4" xfId="5909"/>
    <cellStyle name="Comma 2 2 2 2 3" xfId="5910"/>
    <cellStyle name="Comma 2 2 2 2 3 2" xfId="5911"/>
    <cellStyle name="Comma 2 2 2 2 4" xfId="5912"/>
    <cellStyle name="Comma 2 2 2 2 5" xfId="5913"/>
    <cellStyle name="Comma 2 2 2 2 6" xfId="5914"/>
    <cellStyle name="Comma 2 2 2 3" xfId="5915"/>
    <cellStyle name="Comma 2 2 2 3 2" xfId="5916"/>
    <cellStyle name="Comma 2 2 2 3 2 2" xfId="5917"/>
    <cellStyle name="Comma 2 2 2 3 3" xfId="5918"/>
    <cellStyle name="Comma 2 2 2 3 4" xfId="5919"/>
    <cellStyle name="Comma 2 2 2 4" xfId="5920"/>
    <cellStyle name="Comma 2 2 2 4 2" xfId="5921"/>
    <cellStyle name="Comma 2 2 2 5" xfId="5922"/>
    <cellStyle name="Comma 2 2 2 5 2" xfId="5923"/>
    <cellStyle name="Comma 2 2 2 6" xfId="5924"/>
    <cellStyle name="Comma 2 2 2 7" xfId="5925"/>
    <cellStyle name="Comma 2 2 2 8" xfId="5926"/>
    <cellStyle name="Comma 2 2 3" xfId="5927"/>
    <cellStyle name="Comma 2 2 3 2" xfId="5928"/>
    <cellStyle name="Comma 2 2 3 3" xfId="5929"/>
    <cellStyle name="Comma 2 2 4" xfId="5930"/>
    <cellStyle name="Comma 2 2 5" xfId="5931"/>
    <cellStyle name="Comma 2 20" xfId="1383"/>
    <cellStyle name="Comma 2 21" xfId="1384"/>
    <cellStyle name="Comma 2 3" xfId="1385"/>
    <cellStyle name="Comma 2 3 2" xfId="5932"/>
    <cellStyle name="Comma 2 3 2 2" xfId="5933"/>
    <cellStyle name="Comma 2 3 2 2 2" xfId="5934"/>
    <cellStyle name="Comma 2 3 2 2 2 2" xfId="5935"/>
    <cellStyle name="Comma 2 3 2 2 2 2 2" xfId="5936"/>
    <cellStyle name="Comma 2 3 2 2 2 3" xfId="5937"/>
    <cellStyle name="Comma 2 3 2 2 3" xfId="5938"/>
    <cellStyle name="Comma 2 3 2 2 3 2" xfId="5939"/>
    <cellStyle name="Comma 2 3 2 2 4" xfId="5940"/>
    <cellStyle name="Comma 2 3 2 2 5" xfId="5941"/>
    <cellStyle name="Comma 2 3 2 2 6" xfId="5942"/>
    <cellStyle name="Comma 2 3 2 3" xfId="5943"/>
    <cellStyle name="Comma 2 3 2 3 2" xfId="5944"/>
    <cellStyle name="Comma 2 3 2 3 2 2" xfId="5945"/>
    <cellStyle name="Comma 2 3 2 3 3" xfId="5946"/>
    <cellStyle name="Comma 2 3 2 3 4" xfId="5947"/>
    <cellStyle name="Comma 2 3 2 4" xfId="5948"/>
    <cellStyle name="Comma 2 3 2 4 2" xfId="5949"/>
    <cellStyle name="Comma 2 3 2 5" xfId="5950"/>
    <cellStyle name="Comma 2 3 2 5 2" xfId="5951"/>
    <cellStyle name="Comma 2 3 2 6" xfId="5952"/>
    <cellStyle name="Comma 2 3 2 7" xfId="5953"/>
    <cellStyle name="Comma 2 3 2 8" xfId="5954"/>
    <cellStyle name="Comma 2 3 3" xfId="5955"/>
    <cellStyle name="Comma 2 3 3 2" xfId="5956"/>
    <cellStyle name="Comma 2 3 3 2 2" xfId="5957"/>
    <cellStyle name="Comma 2 3 3 2 2 2" xfId="5958"/>
    <cellStyle name="Comma 2 3 3 2 3" xfId="5959"/>
    <cellStyle name="Comma 2 3 3 3" xfId="5960"/>
    <cellStyle name="Comma 2 3 3 3 2" xfId="5961"/>
    <cellStyle name="Comma 2 3 3 4" xfId="5962"/>
    <cellStyle name="Comma 2 3 3 5" xfId="5963"/>
    <cellStyle name="Comma 2 3 3 6" xfId="5964"/>
    <cellStyle name="Comma 2 3 4" xfId="5965"/>
    <cellStyle name="Comma 2 3 4 2" xfId="5966"/>
    <cellStyle name="Comma 2 3 4 2 2" xfId="5967"/>
    <cellStyle name="Comma 2 3 4 3" xfId="5968"/>
    <cellStyle name="Comma 2 3 4 4" xfId="5969"/>
    <cellStyle name="Comma 2 3 5" xfId="5970"/>
    <cellStyle name="Comma 2 3 5 2" xfId="5971"/>
    <cellStyle name="Comma 2 3 6" xfId="5972"/>
    <cellStyle name="Comma 2 3 7" xfId="5973"/>
    <cellStyle name="Comma 2 4" xfId="1386"/>
    <cellStyle name="Comma 2 4 2" xfId="5974"/>
    <cellStyle name="Comma 2 4 2 10" xfId="5975"/>
    <cellStyle name="Comma 2 4 2 2" xfId="5976"/>
    <cellStyle name="Comma 2 4 2 2 2" xfId="5977"/>
    <cellStyle name="Comma 2 4 2 2 2 2" xfId="5978"/>
    <cellStyle name="Comma 2 4 2 2 2 2 2" xfId="5979"/>
    <cellStyle name="Comma 2 4 2 2 2 2 2 2" xfId="5980"/>
    <cellStyle name="Comma 2 4 2 2 2 2 2 3" xfId="5981"/>
    <cellStyle name="Comma 2 4 2 2 2 2 3" xfId="5982"/>
    <cellStyle name="Comma 2 4 2 2 2 2 3 2" xfId="5983"/>
    <cellStyle name="Comma 2 4 2 2 2 2 4" xfId="5984"/>
    <cellStyle name="Comma 2 4 2 2 2 2 5" xfId="5985"/>
    <cellStyle name="Comma 2 4 2 2 2 3" xfId="5986"/>
    <cellStyle name="Comma 2 4 2 2 2 3 2" xfId="5987"/>
    <cellStyle name="Comma 2 4 2 2 2 3 3" xfId="5988"/>
    <cellStyle name="Comma 2 4 2 2 2 4" xfId="5989"/>
    <cellStyle name="Comma 2 4 2 2 2 4 2" xfId="5990"/>
    <cellStyle name="Comma 2 4 2 2 2 5" xfId="5991"/>
    <cellStyle name="Comma 2 4 2 2 2 6" xfId="5992"/>
    <cellStyle name="Comma 2 4 2 2 3" xfId="5993"/>
    <cellStyle name="Comma 2 4 2 2 3 2" xfId="5994"/>
    <cellStyle name="Comma 2 4 2 2 3 2 2" xfId="5995"/>
    <cellStyle name="Comma 2 4 2 2 3 2 2 2" xfId="5996"/>
    <cellStyle name="Comma 2 4 2 2 3 2 3" xfId="5997"/>
    <cellStyle name="Comma 2 4 2 2 3 2 4" xfId="5998"/>
    <cellStyle name="Comma 2 4 2 2 3 2 5" xfId="5999"/>
    <cellStyle name="Comma 2 4 2 2 3 3" xfId="6000"/>
    <cellStyle name="Comma 2 4 2 2 3 3 2" xfId="6001"/>
    <cellStyle name="Comma 2 4 2 2 3 4" xfId="6002"/>
    <cellStyle name="Comma 2 4 2 2 3 5" xfId="6003"/>
    <cellStyle name="Comma 2 4 2 2 3 6" xfId="6004"/>
    <cellStyle name="Comma 2 4 2 2 4" xfId="6005"/>
    <cellStyle name="Comma 2 4 2 2 4 2" xfId="6006"/>
    <cellStyle name="Comma 2 4 2 2 4 2 2" xfId="6007"/>
    <cellStyle name="Comma 2 4 2 2 4 3" xfId="6008"/>
    <cellStyle name="Comma 2 4 2 2 4 4" xfId="6009"/>
    <cellStyle name="Comma 2 4 2 2 4 5" xfId="6010"/>
    <cellStyle name="Comma 2 4 2 2 5" xfId="6011"/>
    <cellStyle name="Comma 2 4 2 2 5 2" xfId="6012"/>
    <cellStyle name="Comma 2 4 2 2 5 2 2" xfId="6013"/>
    <cellStyle name="Comma 2 4 2 2 5 3" xfId="6014"/>
    <cellStyle name="Comma 2 4 2 2 5 4" xfId="6015"/>
    <cellStyle name="Comma 2 4 2 2 5 5" xfId="6016"/>
    <cellStyle name="Comma 2 4 2 2 6" xfId="6017"/>
    <cellStyle name="Comma 2 4 2 2 6 2" xfId="6018"/>
    <cellStyle name="Comma 2 4 2 2 7" xfId="6019"/>
    <cellStyle name="Comma 2 4 2 2 8" xfId="6020"/>
    <cellStyle name="Comma 2 4 2 2 9" xfId="6021"/>
    <cellStyle name="Comma 2 4 2 3" xfId="6022"/>
    <cellStyle name="Comma 2 4 2 3 2" xfId="6023"/>
    <cellStyle name="Comma 2 4 2 3 2 2" xfId="6024"/>
    <cellStyle name="Comma 2 4 2 3 2 2 2" xfId="6025"/>
    <cellStyle name="Comma 2 4 2 3 2 2 3" xfId="6026"/>
    <cellStyle name="Comma 2 4 2 3 2 3" xfId="6027"/>
    <cellStyle name="Comma 2 4 2 3 2 3 2" xfId="6028"/>
    <cellStyle name="Comma 2 4 2 3 2 4" xfId="6029"/>
    <cellStyle name="Comma 2 4 2 3 2 5" xfId="6030"/>
    <cellStyle name="Comma 2 4 2 3 3" xfId="6031"/>
    <cellStyle name="Comma 2 4 2 3 3 2" xfId="6032"/>
    <cellStyle name="Comma 2 4 2 3 3 3" xfId="6033"/>
    <cellStyle name="Comma 2 4 2 3 4" xfId="6034"/>
    <cellStyle name="Comma 2 4 2 3 4 2" xfId="6035"/>
    <cellStyle name="Comma 2 4 2 3 5" xfId="6036"/>
    <cellStyle name="Comma 2 4 2 3 6" xfId="6037"/>
    <cellStyle name="Comma 2 4 2 4" xfId="6038"/>
    <cellStyle name="Comma 2 4 2 4 2" xfId="6039"/>
    <cellStyle name="Comma 2 4 2 4 2 2" xfId="6040"/>
    <cellStyle name="Comma 2 4 2 4 2 2 2" xfId="6041"/>
    <cellStyle name="Comma 2 4 2 4 2 3" xfId="6042"/>
    <cellStyle name="Comma 2 4 2 4 2 4" xfId="6043"/>
    <cellStyle name="Comma 2 4 2 4 2 5" xfId="6044"/>
    <cellStyle name="Comma 2 4 2 4 3" xfId="6045"/>
    <cellStyle name="Comma 2 4 2 4 3 2" xfId="6046"/>
    <cellStyle name="Comma 2 4 2 4 4" xfId="6047"/>
    <cellStyle name="Comma 2 4 2 4 5" xfId="6048"/>
    <cellStyle name="Comma 2 4 2 4 6" xfId="6049"/>
    <cellStyle name="Comma 2 4 2 5" xfId="6050"/>
    <cellStyle name="Comma 2 4 2 5 2" xfId="6051"/>
    <cellStyle name="Comma 2 4 2 5 2 2" xfId="6052"/>
    <cellStyle name="Comma 2 4 2 5 3" xfId="6053"/>
    <cellStyle name="Comma 2 4 2 5 4" xfId="6054"/>
    <cellStyle name="Comma 2 4 2 5 5" xfId="6055"/>
    <cellStyle name="Comma 2 4 2 6" xfId="6056"/>
    <cellStyle name="Comma 2 4 2 6 2" xfId="6057"/>
    <cellStyle name="Comma 2 4 2 6 2 2" xfId="6058"/>
    <cellStyle name="Comma 2 4 2 6 3" xfId="6059"/>
    <cellStyle name="Comma 2 4 2 6 4" xfId="6060"/>
    <cellStyle name="Comma 2 4 2 6 5" xfId="6061"/>
    <cellStyle name="Comma 2 4 2 7" xfId="6062"/>
    <cellStyle name="Comma 2 4 2 7 2" xfId="6063"/>
    <cellStyle name="Comma 2 4 2 8" xfId="6064"/>
    <cellStyle name="Comma 2 4 2 9" xfId="6065"/>
    <cellStyle name="Comma 2 4 3" xfId="6066"/>
    <cellStyle name="Comma 2 4 3 2" xfId="6067"/>
    <cellStyle name="Comma 2 4 3 2 2" xfId="6068"/>
    <cellStyle name="Comma 2 4 3 2 2 2" xfId="6069"/>
    <cellStyle name="Comma 2 4 3 2 2 2 2" xfId="6070"/>
    <cellStyle name="Comma 2 4 3 2 2 2 3" xfId="6071"/>
    <cellStyle name="Comma 2 4 3 2 2 3" xfId="6072"/>
    <cellStyle name="Comma 2 4 3 2 2 3 2" xfId="6073"/>
    <cellStyle name="Comma 2 4 3 2 2 4" xfId="6074"/>
    <cellStyle name="Comma 2 4 3 2 2 5" xfId="6075"/>
    <cellStyle name="Comma 2 4 3 2 3" xfId="6076"/>
    <cellStyle name="Comma 2 4 3 2 3 2" xfId="6077"/>
    <cellStyle name="Comma 2 4 3 2 3 3" xfId="6078"/>
    <cellStyle name="Comma 2 4 3 2 4" xfId="6079"/>
    <cellStyle name="Comma 2 4 3 2 4 2" xfId="6080"/>
    <cellStyle name="Comma 2 4 3 2 5" xfId="6081"/>
    <cellStyle name="Comma 2 4 3 2 6" xfId="6082"/>
    <cellStyle name="Comma 2 4 3 3" xfId="6083"/>
    <cellStyle name="Comma 2 4 3 3 2" xfId="6084"/>
    <cellStyle name="Comma 2 4 3 3 2 2" xfId="6085"/>
    <cellStyle name="Comma 2 4 3 3 2 2 2" xfId="6086"/>
    <cellStyle name="Comma 2 4 3 3 2 3" xfId="6087"/>
    <cellStyle name="Comma 2 4 3 3 2 4" xfId="6088"/>
    <cellStyle name="Comma 2 4 3 3 2 5" xfId="6089"/>
    <cellStyle name="Comma 2 4 3 3 3" xfId="6090"/>
    <cellStyle name="Comma 2 4 3 3 3 2" xfId="6091"/>
    <cellStyle name="Comma 2 4 3 3 4" xfId="6092"/>
    <cellStyle name="Comma 2 4 3 3 5" xfId="6093"/>
    <cellStyle name="Comma 2 4 3 3 6" xfId="6094"/>
    <cellStyle name="Comma 2 4 3 4" xfId="6095"/>
    <cellStyle name="Comma 2 4 3 4 2" xfId="6096"/>
    <cellStyle name="Comma 2 4 3 4 2 2" xfId="6097"/>
    <cellStyle name="Comma 2 4 3 4 3" xfId="6098"/>
    <cellStyle name="Comma 2 4 3 4 4" xfId="6099"/>
    <cellStyle name="Comma 2 4 3 4 5" xfId="6100"/>
    <cellStyle name="Comma 2 4 3 5" xfId="6101"/>
    <cellStyle name="Comma 2 4 3 5 2" xfId="6102"/>
    <cellStyle name="Comma 2 4 3 5 2 2" xfId="6103"/>
    <cellStyle name="Comma 2 4 3 5 3" xfId="6104"/>
    <cellStyle name="Comma 2 4 3 5 4" xfId="6105"/>
    <cellStyle name="Comma 2 4 3 5 5" xfId="6106"/>
    <cellStyle name="Comma 2 4 3 6" xfId="6107"/>
    <cellStyle name="Comma 2 4 3 6 2" xfId="6108"/>
    <cellStyle name="Comma 2 4 3 7" xfId="6109"/>
    <cellStyle name="Comma 2 4 3 8" xfId="6110"/>
    <cellStyle name="Comma 2 4 3 9" xfId="6111"/>
    <cellStyle name="Comma 2 4 4" xfId="6112"/>
    <cellStyle name="Comma 2 4 4 2" xfId="6113"/>
    <cellStyle name="Comma 2 4 4 2 2" xfId="6114"/>
    <cellStyle name="Comma 2 4 4 2 2 2" xfId="6115"/>
    <cellStyle name="Comma 2 4 4 2 2 3" xfId="6116"/>
    <cellStyle name="Comma 2 4 4 2 3" xfId="6117"/>
    <cellStyle name="Comma 2 4 4 2 3 2" xfId="6118"/>
    <cellStyle name="Comma 2 4 4 2 4" xfId="6119"/>
    <cellStyle name="Comma 2 4 4 2 5" xfId="6120"/>
    <cellStyle name="Comma 2 4 4 3" xfId="6121"/>
    <cellStyle name="Comma 2 4 4 3 2" xfId="6122"/>
    <cellStyle name="Comma 2 4 4 3 3" xfId="6123"/>
    <cellStyle name="Comma 2 4 4 4" xfId="6124"/>
    <cellStyle name="Comma 2 4 4 4 2" xfId="6125"/>
    <cellStyle name="Comma 2 4 4 5" xfId="6126"/>
    <cellStyle name="Comma 2 4 4 6" xfId="6127"/>
    <cellStyle name="Comma 2 4 5" xfId="6128"/>
    <cellStyle name="Comma 2 4 5 2" xfId="6129"/>
    <cellStyle name="Comma 2 4 5 2 2" xfId="6130"/>
    <cellStyle name="Comma 2 4 5 2 2 2" xfId="6131"/>
    <cellStyle name="Comma 2 4 5 2 3" xfId="6132"/>
    <cellStyle name="Comma 2 4 5 2 4" xfId="6133"/>
    <cellStyle name="Comma 2 4 5 2 5" xfId="6134"/>
    <cellStyle name="Comma 2 4 5 3" xfId="6135"/>
    <cellStyle name="Comma 2 4 5 3 2" xfId="6136"/>
    <cellStyle name="Comma 2 4 5 4" xfId="6137"/>
    <cellStyle name="Comma 2 4 5 5" xfId="6138"/>
    <cellStyle name="Comma 2 4 5 6" xfId="6139"/>
    <cellStyle name="Comma 2 4 6" xfId="6140"/>
    <cellStyle name="Comma 2 4 6 2" xfId="6141"/>
    <cellStyle name="Comma 2 4 6 2 2" xfId="6142"/>
    <cellStyle name="Comma 2 4 6 3" xfId="6143"/>
    <cellStyle name="Comma 2 4 6 4" xfId="6144"/>
    <cellStyle name="Comma 2 4 6 5" xfId="6145"/>
    <cellStyle name="Comma 2 4 7" xfId="6146"/>
    <cellStyle name="Comma 2 4 7 2" xfId="6147"/>
    <cellStyle name="Comma 2 4 7 2 2" xfId="6148"/>
    <cellStyle name="Comma 2 4 7 3" xfId="6149"/>
    <cellStyle name="Comma 2 4 7 4" xfId="6150"/>
    <cellStyle name="Comma 2 4 7 5" xfId="6151"/>
    <cellStyle name="Comma 2 4 8" xfId="6152"/>
    <cellStyle name="Comma 2 4 8 2" xfId="6153"/>
    <cellStyle name="Comma 2 4 8 2 2" xfId="6154"/>
    <cellStyle name="Comma 2 4 8 3" xfId="6155"/>
    <cellStyle name="Comma 2 4 8 4" xfId="6156"/>
    <cellStyle name="Comma 2 4 8 5" xfId="6157"/>
    <cellStyle name="Comma 2 4 9" xfId="6158"/>
    <cellStyle name="Comma 2 5" xfId="1387"/>
    <cellStyle name="Comma 2 5 2" xfId="6159"/>
    <cellStyle name="Comma 2 5 2 10" xfId="6160"/>
    <cellStyle name="Comma 2 5 2 2" xfId="6161"/>
    <cellStyle name="Comma 2 5 2 2 2" xfId="6162"/>
    <cellStyle name="Comma 2 5 2 2 2 2" xfId="6163"/>
    <cellStyle name="Comma 2 5 2 2 2 2 2" xfId="6164"/>
    <cellStyle name="Comma 2 5 2 2 2 2 2 2" xfId="6165"/>
    <cellStyle name="Comma 2 5 2 2 2 2 2 3" xfId="6166"/>
    <cellStyle name="Comma 2 5 2 2 2 2 3" xfId="6167"/>
    <cellStyle name="Comma 2 5 2 2 2 2 3 2" xfId="6168"/>
    <cellStyle name="Comma 2 5 2 2 2 2 4" xfId="6169"/>
    <cellStyle name="Comma 2 5 2 2 2 2 5" xfId="6170"/>
    <cellStyle name="Comma 2 5 2 2 2 3" xfId="6171"/>
    <cellStyle name="Comma 2 5 2 2 2 3 2" xfId="6172"/>
    <cellStyle name="Comma 2 5 2 2 2 3 3" xfId="6173"/>
    <cellStyle name="Comma 2 5 2 2 2 4" xfId="6174"/>
    <cellStyle name="Comma 2 5 2 2 2 4 2" xfId="6175"/>
    <cellStyle name="Comma 2 5 2 2 2 5" xfId="6176"/>
    <cellStyle name="Comma 2 5 2 2 2 6" xfId="6177"/>
    <cellStyle name="Comma 2 5 2 2 3" xfId="6178"/>
    <cellStyle name="Comma 2 5 2 2 3 2" xfId="6179"/>
    <cellStyle name="Comma 2 5 2 2 3 2 2" xfId="6180"/>
    <cellStyle name="Comma 2 5 2 2 3 2 2 2" xfId="6181"/>
    <cellStyle name="Comma 2 5 2 2 3 2 3" xfId="6182"/>
    <cellStyle name="Comma 2 5 2 2 3 2 4" xfId="6183"/>
    <cellStyle name="Comma 2 5 2 2 3 2 5" xfId="6184"/>
    <cellStyle name="Comma 2 5 2 2 3 3" xfId="6185"/>
    <cellStyle name="Comma 2 5 2 2 3 3 2" xfId="6186"/>
    <cellStyle name="Comma 2 5 2 2 3 4" xfId="6187"/>
    <cellStyle name="Comma 2 5 2 2 3 5" xfId="6188"/>
    <cellStyle name="Comma 2 5 2 2 3 6" xfId="6189"/>
    <cellStyle name="Comma 2 5 2 2 4" xfId="6190"/>
    <cellStyle name="Comma 2 5 2 2 4 2" xfId="6191"/>
    <cellStyle name="Comma 2 5 2 2 4 2 2" xfId="6192"/>
    <cellStyle name="Comma 2 5 2 2 4 3" xfId="6193"/>
    <cellStyle name="Comma 2 5 2 2 4 4" xfId="6194"/>
    <cellStyle name="Comma 2 5 2 2 4 5" xfId="6195"/>
    <cellStyle name="Comma 2 5 2 2 5" xfId="6196"/>
    <cellStyle name="Comma 2 5 2 2 5 2" xfId="6197"/>
    <cellStyle name="Comma 2 5 2 2 5 2 2" xfId="6198"/>
    <cellStyle name="Comma 2 5 2 2 5 3" xfId="6199"/>
    <cellStyle name="Comma 2 5 2 2 5 4" xfId="6200"/>
    <cellStyle name="Comma 2 5 2 2 5 5" xfId="6201"/>
    <cellStyle name="Comma 2 5 2 2 6" xfId="6202"/>
    <cellStyle name="Comma 2 5 2 2 6 2" xfId="6203"/>
    <cellStyle name="Comma 2 5 2 2 7" xfId="6204"/>
    <cellStyle name="Comma 2 5 2 2 8" xfId="6205"/>
    <cellStyle name="Comma 2 5 2 2 9" xfId="6206"/>
    <cellStyle name="Comma 2 5 2 3" xfId="6207"/>
    <cellStyle name="Comma 2 5 2 3 2" xfId="6208"/>
    <cellStyle name="Comma 2 5 2 3 2 2" xfId="6209"/>
    <cellStyle name="Comma 2 5 2 3 2 2 2" xfId="6210"/>
    <cellStyle name="Comma 2 5 2 3 2 2 3" xfId="6211"/>
    <cellStyle name="Comma 2 5 2 3 2 3" xfId="6212"/>
    <cellStyle name="Comma 2 5 2 3 2 3 2" xfId="6213"/>
    <cellStyle name="Comma 2 5 2 3 2 4" xfId="6214"/>
    <cellStyle name="Comma 2 5 2 3 2 5" xfId="6215"/>
    <cellStyle name="Comma 2 5 2 3 3" xfId="6216"/>
    <cellStyle name="Comma 2 5 2 3 3 2" xfId="6217"/>
    <cellStyle name="Comma 2 5 2 3 3 3" xfId="6218"/>
    <cellStyle name="Comma 2 5 2 3 4" xfId="6219"/>
    <cellStyle name="Comma 2 5 2 3 4 2" xfId="6220"/>
    <cellStyle name="Comma 2 5 2 3 5" xfId="6221"/>
    <cellStyle name="Comma 2 5 2 3 6" xfId="6222"/>
    <cellStyle name="Comma 2 5 2 4" xfId="6223"/>
    <cellStyle name="Comma 2 5 2 4 2" xfId="6224"/>
    <cellStyle name="Comma 2 5 2 4 2 2" xfId="6225"/>
    <cellStyle name="Comma 2 5 2 4 2 2 2" xfId="6226"/>
    <cellStyle name="Comma 2 5 2 4 2 3" xfId="6227"/>
    <cellStyle name="Comma 2 5 2 4 2 4" xfId="6228"/>
    <cellStyle name="Comma 2 5 2 4 2 5" xfId="6229"/>
    <cellStyle name="Comma 2 5 2 4 3" xfId="6230"/>
    <cellStyle name="Comma 2 5 2 4 3 2" xfId="6231"/>
    <cellStyle name="Comma 2 5 2 4 4" xfId="6232"/>
    <cellStyle name="Comma 2 5 2 4 5" xfId="6233"/>
    <cellStyle name="Comma 2 5 2 4 6" xfId="6234"/>
    <cellStyle name="Comma 2 5 2 5" xfId="6235"/>
    <cellStyle name="Comma 2 5 2 5 2" xfId="6236"/>
    <cellStyle name="Comma 2 5 2 5 2 2" xfId="6237"/>
    <cellStyle name="Comma 2 5 2 5 3" xfId="6238"/>
    <cellStyle name="Comma 2 5 2 5 4" xfId="6239"/>
    <cellStyle name="Comma 2 5 2 5 5" xfId="6240"/>
    <cellStyle name="Comma 2 5 2 6" xfId="6241"/>
    <cellStyle name="Comma 2 5 2 6 2" xfId="6242"/>
    <cellStyle name="Comma 2 5 2 6 2 2" xfId="6243"/>
    <cellStyle name="Comma 2 5 2 6 3" xfId="6244"/>
    <cellStyle name="Comma 2 5 2 6 4" xfId="6245"/>
    <cellStyle name="Comma 2 5 2 6 5" xfId="6246"/>
    <cellStyle name="Comma 2 5 2 7" xfId="6247"/>
    <cellStyle name="Comma 2 5 2 7 2" xfId="6248"/>
    <cellStyle name="Comma 2 5 2 8" xfId="6249"/>
    <cellStyle name="Comma 2 5 2 9" xfId="6250"/>
    <cellStyle name="Comma 2 5 3" xfId="6251"/>
    <cellStyle name="Comma 2 5 3 2" xfId="6252"/>
    <cellStyle name="Comma 2 5 3 2 2" xfId="6253"/>
    <cellStyle name="Comma 2 5 3 2 2 2" xfId="6254"/>
    <cellStyle name="Comma 2 5 3 2 2 2 2" xfId="6255"/>
    <cellStyle name="Comma 2 5 3 2 2 2 3" xfId="6256"/>
    <cellStyle name="Comma 2 5 3 2 2 3" xfId="6257"/>
    <cellStyle name="Comma 2 5 3 2 2 3 2" xfId="6258"/>
    <cellStyle name="Comma 2 5 3 2 2 4" xfId="6259"/>
    <cellStyle name="Comma 2 5 3 2 2 5" xfId="6260"/>
    <cellStyle name="Comma 2 5 3 2 3" xfId="6261"/>
    <cellStyle name="Comma 2 5 3 2 3 2" xfId="6262"/>
    <cellStyle name="Comma 2 5 3 2 3 3" xfId="6263"/>
    <cellStyle name="Comma 2 5 3 2 4" xfId="6264"/>
    <cellStyle name="Comma 2 5 3 2 4 2" xfId="6265"/>
    <cellStyle name="Comma 2 5 3 2 5" xfId="6266"/>
    <cellStyle name="Comma 2 5 3 2 6" xfId="6267"/>
    <cellStyle name="Comma 2 5 3 3" xfId="6268"/>
    <cellStyle name="Comma 2 5 3 3 2" xfId="6269"/>
    <cellStyle name="Comma 2 5 3 3 2 2" xfId="6270"/>
    <cellStyle name="Comma 2 5 3 3 2 2 2" xfId="6271"/>
    <cellStyle name="Comma 2 5 3 3 2 3" xfId="6272"/>
    <cellStyle name="Comma 2 5 3 3 2 4" xfId="6273"/>
    <cellStyle name="Comma 2 5 3 3 2 5" xfId="6274"/>
    <cellStyle name="Comma 2 5 3 3 3" xfId="6275"/>
    <cellStyle name="Comma 2 5 3 3 3 2" xfId="6276"/>
    <cellStyle name="Comma 2 5 3 3 4" xfId="6277"/>
    <cellStyle name="Comma 2 5 3 3 5" xfId="6278"/>
    <cellStyle name="Comma 2 5 3 3 6" xfId="6279"/>
    <cellStyle name="Comma 2 5 3 4" xfId="6280"/>
    <cellStyle name="Comma 2 5 3 4 2" xfId="6281"/>
    <cellStyle name="Comma 2 5 3 4 2 2" xfId="6282"/>
    <cellStyle name="Comma 2 5 3 4 3" xfId="6283"/>
    <cellStyle name="Comma 2 5 3 4 4" xfId="6284"/>
    <cellStyle name="Comma 2 5 3 4 5" xfId="6285"/>
    <cellStyle name="Comma 2 5 3 5" xfId="6286"/>
    <cellStyle name="Comma 2 5 3 5 2" xfId="6287"/>
    <cellStyle name="Comma 2 5 3 5 2 2" xfId="6288"/>
    <cellStyle name="Comma 2 5 3 5 3" xfId="6289"/>
    <cellStyle name="Comma 2 5 3 5 4" xfId="6290"/>
    <cellStyle name="Comma 2 5 3 5 5" xfId="6291"/>
    <cellStyle name="Comma 2 5 3 6" xfId="6292"/>
    <cellStyle name="Comma 2 5 3 6 2" xfId="6293"/>
    <cellStyle name="Comma 2 5 3 7" xfId="6294"/>
    <cellStyle name="Comma 2 5 3 8" xfId="6295"/>
    <cellStyle name="Comma 2 5 3 9" xfId="6296"/>
    <cellStyle name="Comma 2 5 4" xfId="6297"/>
    <cellStyle name="Comma 2 5 4 2" xfId="6298"/>
    <cellStyle name="Comma 2 5 4 2 2" xfId="6299"/>
    <cellStyle name="Comma 2 5 4 2 2 2" xfId="6300"/>
    <cellStyle name="Comma 2 5 4 2 2 3" xfId="6301"/>
    <cellStyle name="Comma 2 5 4 2 3" xfId="6302"/>
    <cellStyle name="Comma 2 5 4 2 3 2" xfId="6303"/>
    <cellStyle name="Comma 2 5 4 2 4" xfId="6304"/>
    <cellStyle name="Comma 2 5 4 2 5" xfId="6305"/>
    <cellStyle name="Comma 2 5 4 3" xfId="6306"/>
    <cellStyle name="Comma 2 5 4 3 2" xfId="6307"/>
    <cellStyle name="Comma 2 5 4 3 3" xfId="6308"/>
    <cellStyle name="Comma 2 5 4 4" xfId="6309"/>
    <cellStyle name="Comma 2 5 4 4 2" xfId="6310"/>
    <cellStyle name="Comma 2 5 4 5" xfId="6311"/>
    <cellStyle name="Comma 2 5 4 6" xfId="6312"/>
    <cellStyle name="Comma 2 5 5" xfId="6313"/>
    <cellStyle name="Comma 2 5 5 2" xfId="6314"/>
    <cellStyle name="Comma 2 5 5 2 2" xfId="6315"/>
    <cellStyle name="Comma 2 5 5 2 2 2" xfId="6316"/>
    <cellStyle name="Comma 2 5 5 2 3" xfId="6317"/>
    <cellStyle name="Comma 2 5 5 2 4" xfId="6318"/>
    <cellStyle name="Comma 2 5 5 2 5" xfId="6319"/>
    <cellStyle name="Comma 2 5 5 3" xfId="6320"/>
    <cellStyle name="Comma 2 5 5 3 2" xfId="6321"/>
    <cellStyle name="Comma 2 5 5 4" xfId="6322"/>
    <cellStyle name="Comma 2 5 5 5" xfId="6323"/>
    <cellStyle name="Comma 2 5 5 6" xfId="6324"/>
    <cellStyle name="Comma 2 5 6" xfId="6325"/>
    <cellStyle name="Comma 2 5 6 2" xfId="6326"/>
    <cellStyle name="Comma 2 5 6 2 2" xfId="6327"/>
    <cellStyle name="Comma 2 5 6 3" xfId="6328"/>
    <cellStyle name="Comma 2 5 6 4" xfId="6329"/>
    <cellStyle name="Comma 2 5 6 5" xfId="6330"/>
    <cellStyle name="Comma 2 5 7" xfId="6331"/>
    <cellStyle name="Comma 2 5 7 2" xfId="6332"/>
    <cellStyle name="Comma 2 5 7 2 2" xfId="6333"/>
    <cellStyle name="Comma 2 5 7 3" xfId="6334"/>
    <cellStyle name="Comma 2 5 7 4" xfId="6335"/>
    <cellStyle name="Comma 2 5 7 5" xfId="6336"/>
    <cellStyle name="Comma 2 5 8" xfId="6337"/>
    <cellStyle name="Comma 2 5 8 2" xfId="6338"/>
    <cellStyle name="Comma 2 5 8 2 2" xfId="6339"/>
    <cellStyle name="Comma 2 5 8 3" xfId="6340"/>
    <cellStyle name="Comma 2 5 8 4" xfId="6341"/>
    <cellStyle name="Comma 2 5 8 5" xfId="6342"/>
    <cellStyle name="Comma 2 5 9" xfId="6343"/>
    <cellStyle name="Comma 2 6" xfId="1388"/>
    <cellStyle name="Comma 2 6 2" xfId="6344"/>
    <cellStyle name="Comma 2 6 2 2" xfId="6345"/>
    <cellStyle name="Comma 2 6 2 2 2" xfId="6346"/>
    <cellStyle name="Comma 2 6 2 2 2 2" xfId="6347"/>
    <cellStyle name="Comma 2 6 2 2 2 2 2" xfId="6348"/>
    <cellStyle name="Comma 2 6 2 2 2 2 3" xfId="6349"/>
    <cellStyle name="Comma 2 6 2 2 2 3" xfId="6350"/>
    <cellStyle name="Comma 2 6 2 2 2 3 2" xfId="6351"/>
    <cellStyle name="Comma 2 6 2 2 2 4" xfId="6352"/>
    <cellStyle name="Comma 2 6 2 2 2 5" xfId="6353"/>
    <cellStyle name="Comma 2 6 2 2 3" xfId="6354"/>
    <cellStyle name="Comma 2 6 2 2 3 2" xfId="6355"/>
    <cellStyle name="Comma 2 6 2 2 3 3" xfId="6356"/>
    <cellStyle name="Comma 2 6 2 2 4" xfId="6357"/>
    <cellStyle name="Comma 2 6 2 2 4 2" xfId="6358"/>
    <cellStyle name="Comma 2 6 2 2 5" xfId="6359"/>
    <cellStyle name="Comma 2 6 2 2 6" xfId="6360"/>
    <cellStyle name="Comma 2 6 2 3" xfId="6361"/>
    <cellStyle name="Comma 2 6 2 3 2" xfId="6362"/>
    <cellStyle name="Comma 2 6 2 3 2 2" xfId="6363"/>
    <cellStyle name="Comma 2 6 2 3 2 2 2" xfId="6364"/>
    <cellStyle name="Comma 2 6 2 3 2 3" xfId="6365"/>
    <cellStyle name="Comma 2 6 2 3 2 4" xfId="6366"/>
    <cellStyle name="Comma 2 6 2 3 2 5" xfId="6367"/>
    <cellStyle name="Comma 2 6 2 3 3" xfId="6368"/>
    <cellStyle name="Comma 2 6 2 3 3 2" xfId="6369"/>
    <cellStyle name="Comma 2 6 2 3 4" xfId="6370"/>
    <cellStyle name="Comma 2 6 2 3 5" xfId="6371"/>
    <cellStyle name="Comma 2 6 2 3 6" xfId="6372"/>
    <cellStyle name="Comma 2 6 2 4" xfId="6373"/>
    <cellStyle name="Comma 2 6 2 4 2" xfId="6374"/>
    <cellStyle name="Comma 2 6 2 4 2 2" xfId="6375"/>
    <cellStyle name="Comma 2 6 2 4 3" xfId="6376"/>
    <cellStyle name="Comma 2 6 2 4 4" xfId="6377"/>
    <cellStyle name="Comma 2 6 2 4 5" xfId="6378"/>
    <cellStyle name="Comma 2 6 2 5" xfId="6379"/>
    <cellStyle name="Comma 2 6 2 5 2" xfId="6380"/>
    <cellStyle name="Comma 2 6 2 5 2 2" xfId="6381"/>
    <cellStyle name="Comma 2 6 2 5 3" xfId="6382"/>
    <cellStyle name="Comma 2 6 2 5 4" xfId="6383"/>
    <cellStyle name="Comma 2 6 2 5 5" xfId="6384"/>
    <cellStyle name="Comma 2 6 2 6" xfId="6385"/>
    <cellStyle name="Comma 2 6 2 6 2" xfId="6386"/>
    <cellStyle name="Comma 2 6 2 7" xfId="6387"/>
    <cellStyle name="Comma 2 6 2 8" xfId="6388"/>
    <cellStyle name="Comma 2 6 2 9" xfId="6389"/>
    <cellStyle name="Comma 2 6 3" xfId="6390"/>
    <cellStyle name="Comma 2 6 3 2" xfId="6391"/>
    <cellStyle name="Comma 2 6 3 2 2" xfId="6392"/>
    <cellStyle name="Comma 2 6 3 2 2 2" xfId="6393"/>
    <cellStyle name="Comma 2 6 3 2 2 3" xfId="6394"/>
    <cellStyle name="Comma 2 6 3 2 3" xfId="6395"/>
    <cellStyle name="Comma 2 6 3 2 3 2" xfId="6396"/>
    <cellStyle name="Comma 2 6 3 2 4" xfId="6397"/>
    <cellStyle name="Comma 2 6 3 2 5" xfId="6398"/>
    <cellStyle name="Comma 2 6 3 3" xfId="6399"/>
    <cellStyle name="Comma 2 6 3 3 2" xfId="6400"/>
    <cellStyle name="Comma 2 6 3 3 3" xfId="6401"/>
    <cellStyle name="Comma 2 6 3 4" xfId="6402"/>
    <cellStyle name="Comma 2 6 3 4 2" xfId="6403"/>
    <cellStyle name="Comma 2 6 3 5" xfId="6404"/>
    <cellStyle name="Comma 2 6 3 6" xfId="6405"/>
    <cellStyle name="Comma 2 6 4" xfId="6406"/>
    <cellStyle name="Comma 2 6 4 2" xfId="6407"/>
    <cellStyle name="Comma 2 6 4 2 2" xfId="6408"/>
    <cellStyle name="Comma 2 6 4 2 2 2" xfId="6409"/>
    <cellStyle name="Comma 2 6 4 2 3" xfId="6410"/>
    <cellStyle name="Comma 2 6 4 2 4" xfId="6411"/>
    <cellStyle name="Comma 2 6 4 2 5" xfId="6412"/>
    <cellStyle name="Comma 2 6 4 3" xfId="6413"/>
    <cellStyle name="Comma 2 6 4 3 2" xfId="6414"/>
    <cellStyle name="Comma 2 6 4 4" xfId="6415"/>
    <cellStyle name="Comma 2 6 4 5" xfId="6416"/>
    <cellStyle name="Comma 2 6 4 6" xfId="6417"/>
    <cellStyle name="Comma 2 6 5" xfId="6418"/>
    <cellStyle name="Comma 2 6 5 2" xfId="6419"/>
    <cellStyle name="Comma 2 6 5 2 2" xfId="6420"/>
    <cellStyle name="Comma 2 6 5 3" xfId="6421"/>
    <cellStyle name="Comma 2 6 5 4" xfId="6422"/>
    <cellStyle name="Comma 2 6 5 5" xfId="6423"/>
    <cellStyle name="Comma 2 6 6" xfId="6424"/>
    <cellStyle name="Comma 2 6 6 2" xfId="6425"/>
    <cellStyle name="Comma 2 6 6 2 2" xfId="6426"/>
    <cellStyle name="Comma 2 6 6 3" xfId="6427"/>
    <cellStyle name="Comma 2 6 6 4" xfId="6428"/>
    <cellStyle name="Comma 2 6 6 5" xfId="6429"/>
    <cellStyle name="Comma 2 6 7" xfId="6430"/>
    <cellStyle name="Comma 2 6 7 2" xfId="6431"/>
    <cellStyle name="Comma 2 6 7 2 2" xfId="6432"/>
    <cellStyle name="Comma 2 6 7 3" xfId="6433"/>
    <cellStyle name="Comma 2 6 7 4" xfId="6434"/>
    <cellStyle name="Comma 2 6 7 5" xfId="6435"/>
    <cellStyle name="Comma 2 6 8" xfId="6436"/>
    <cellStyle name="Comma 2 7" xfId="1389"/>
    <cellStyle name="Comma 2 7 2" xfId="6437"/>
    <cellStyle name="Comma 2 7 2 2" xfId="6438"/>
    <cellStyle name="Comma 2 7 2 2 2" xfId="6439"/>
    <cellStyle name="Comma 2 7 2 2 2 2" xfId="6440"/>
    <cellStyle name="Comma 2 7 2 2 2 3" xfId="6441"/>
    <cellStyle name="Comma 2 7 2 2 3" xfId="6442"/>
    <cellStyle name="Comma 2 7 2 2 3 2" xfId="6443"/>
    <cellStyle name="Comma 2 7 2 2 4" xfId="6444"/>
    <cellStyle name="Comma 2 7 2 2 5" xfId="6445"/>
    <cellStyle name="Comma 2 7 2 3" xfId="6446"/>
    <cellStyle name="Comma 2 7 2 3 2" xfId="6447"/>
    <cellStyle name="Comma 2 7 2 3 3" xfId="6448"/>
    <cellStyle name="Comma 2 7 2 4" xfId="6449"/>
    <cellStyle name="Comma 2 7 2 4 2" xfId="6450"/>
    <cellStyle name="Comma 2 7 2 5" xfId="6451"/>
    <cellStyle name="Comma 2 7 2 6" xfId="6452"/>
    <cellStyle name="Comma 2 7 3" xfId="6453"/>
    <cellStyle name="Comma 2 7 3 2" xfId="6454"/>
    <cellStyle name="Comma 2 7 3 2 2" xfId="6455"/>
    <cellStyle name="Comma 2 7 3 2 2 2" xfId="6456"/>
    <cellStyle name="Comma 2 7 3 2 3" xfId="6457"/>
    <cellStyle name="Comma 2 7 3 2 4" xfId="6458"/>
    <cellStyle name="Comma 2 7 3 2 5" xfId="6459"/>
    <cellStyle name="Comma 2 7 3 3" xfId="6460"/>
    <cellStyle name="Comma 2 7 3 3 2" xfId="6461"/>
    <cellStyle name="Comma 2 7 3 4" xfId="6462"/>
    <cellStyle name="Comma 2 7 3 5" xfId="6463"/>
    <cellStyle name="Comma 2 7 3 6" xfId="6464"/>
    <cellStyle name="Comma 2 7 4" xfId="6465"/>
    <cellStyle name="Comma 2 7 4 2" xfId="6466"/>
    <cellStyle name="Comma 2 7 4 2 2" xfId="6467"/>
    <cellStyle name="Comma 2 7 4 3" xfId="6468"/>
    <cellStyle name="Comma 2 7 4 4" xfId="6469"/>
    <cellStyle name="Comma 2 7 4 5" xfId="6470"/>
    <cellStyle name="Comma 2 7 5" xfId="6471"/>
    <cellStyle name="Comma 2 7 5 2" xfId="6472"/>
    <cellStyle name="Comma 2 7 5 2 2" xfId="6473"/>
    <cellStyle name="Comma 2 7 5 3" xfId="6474"/>
    <cellStyle name="Comma 2 7 5 4" xfId="6475"/>
    <cellStyle name="Comma 2 7 5 5" xfId="6476"/>
    <cellStyle name="Comma 2 7 6" xfId="6477"/>
    <cellStyle name="Comma 2 7 6 2" xfId="6478"/>
    <cellStyle name="Comma 2 7 6 2 2" xfId="6479"/>
    <cellStyle name="Comma 2 7 6 3" xfId="6480"/>
    <cellStyle name="Comma 2 7 6 4" xfId="6481"/>
    <cellStyle name="Comma 2 7 6 5" xfId="6482"/>
    <cellStyle name="Comma 2 7 7" xfId="6483"/>
    <cellStyle name="Comma 2 8" xfId="1390"/>
    <cellStyle name="Comma 2 8 2" xfId="6484"/>
    <cellStyle name="Comma 2 8 2 2" xfId="6485"/>
    <cellStyle name="Comma 2 8 2 2 2" xfId="6486"/>
    <cellStyle name="Comma 2 8 2 2 3" xfId="6487"/>
    <cellStyle name="Comma 2 8 2 3" xfId="6488"/>
    <cellStyle name="Comma 2 8 2 3 2" xfId="6489"/>
    <cellStyle name="Comma 2 8 2 4" xfId="6490"/>
    <cellStyle name="Comma 2 8 2 5" xfId="6491"/>
    <cellStyle name="Comma 2 8 3" xfId="6492"/>
    <cellStyle name="Comma 2 8 3 2" xfId="6493"/>
    <cellStyle name="Comma 2 8 3 2 2" xfId="6494"/>
    <cellStyle name="Comma 2 8 3 3" xfId="6495"/>
    <cellStyle name="Comma 2 8 3 4" xfId="6496"/>
    <cellStyle name="Comma 2 8 3 5" xfId="6497"/>
    <cellStyle name="Comma 2 8 4" xfId="6498"/>
    <cellStyle name="Comma 2 8 4 2" xfId="6499"/>
    <cellStyle name="Comma 2 8 4 2 2" xfId="6500"/>
    <cellStyle name="Comma 2 8 4 3" xfId="6501"/>
    <cellStyle name="Comma 2 8 4 4" xfId="6502"/>
    <cellStyle name="Comma 2 8 4 5" xfId="6503"/>
    <cellStyle name="Comma 2 8 5" xfId="6504"/>
    <cellStyle name="Comma 2 9" xfId="1391"/>
    <cellStyle name="Comma 2 9 2" xfId="6505"/>
    <cellStyle name="Comma 2 9 2 2" xfId="6506"/>
    <cellStyle name="Comma 2 9 2 2 2" xfId="6507"/>
    <cellStyle name="Comma 2 9 2 3" xfId="6508"/>
    <cellStyle name="Comma 2 9 2 4" xfId="6509"/>
    <cellStyle name="Comma 2 9 2 5" xfId="6510"/>
    <cellStyle name="Comma 2 9 3" xfId="6511"/>
    <cellStyle name="Comma 2 9 3 2" xfId="6512"/>
    <cellStyle name="Comma 2 9 3 2 2" xfId="6513"/>
    <cellStyle name="Comma 2 9 3 3" xfId="6514"/>
    <cellStyle name="Comma 2 9 3 4" xfId="6515"/>
    <cellStyle name="Comma 2 9 3 5" xfId="6516"/>
    <cellStyle name="Comma 2 9 4" xfId="6517"/>
    <cellStyle name="Comma 20" xfId="6518"/>
    <cellStyle name="Comma 20 2" xfId="6519"/>
    <cellStyle name="Comma 21" xfId="6520"/>
    <cellStyle name="Comma 21 2" xfId="6521"/>
    <cellStyle name="Comma 22" xfId="6522"/>
    <cellStyle name="Comma 23" xfId="6523"/>
    <cellStyle name="Comma 24" xfId="6524"/>
    <cellStyle name="Comma 25" xfId="6525"/>
    <cellStyle name="Comma 26" xfId="6526"/>
    <cellStyle name="Comma 27" xfId="6527"/>
    <cellStyle name="Comma 28" xfId="6528"/>
    <cellStyle name="Comma 29" xfId="6529"/>
    <cellStyle name="Comma 29 2" xfId="6530"/>
    <cellStyle name="Comma 3" xfId="65"/>
    <cellStyle name="Comma 3 10" xfId="6531"/>
    <cellStyle name="Comma 3 11" xfId="6532"/>
    <cellStyle name="Comma 3 2" xfId="1392"/>
    <cellStyle name="Comma 3 2 2" xfId="2152"/>
    <cellStyle name="Comma 3 2 2 2" xfId="6533"/>
    <cellStyle name="Comma 3 2 2 2 2" xfId="6534"/>
    <cellStyle name="Comma 3 2 2 2 2 2" xfId="6535"/>
    <cellStyle name="Comma 3 2 2 2 2 2 2" xfId="6536"/>
    <cellStyle name="Comma 3 2 2 2 2 2 2 2" xfId="6537"/>
    <cellStyle name="Comma 3 2 2 2 2 2 3" xfId="6538"/>
    <cellStyle name="Comma 3 2 2 2 2 3" xfId="6539"/>
    <cellStyle name="Comma 3 2 2 2 2 3 2" xfId="6540"/>
    <cellStyle name="Comma 3 2 2 2 2 4" xfId="6541"/>
    <cellStyle name="Comma 3 2 2 2 3" xfId="6542"/>
    <cellStyle name="Comma 3 2 2 2 3 2" xfId="6543"/>
    <cellStyle name="Comma 3 2 2 2 3 2 2" xfId="6544"/>
    <cellStyle name="Comma 3 2 2 2 3 3" xfId="6545"/>
    <cellStyle name="Comma 3 2 2 2 4" xfId="6546"/>
    <cellStyle name="Comma 3 2 2 2 4 2" xfId="6547"/>
    <cellStyle name="Comma 3 2 2 2 5" xfId="6548"/>
    <cellStyle name="Comma 3 2 2 2 6" xfId="6549"/>
    <cellStyle name="Comma 3 2 2 2 7" xfId="6550"/>
    <cellStyle name="Comma 3 2 2 3" xfId="6551"/>
    <cellStyle name="Comma 3 2 2 3 2" xfId="6552"/>
    <cellStyle name="Comma 3 2 2 3 2 2" xfId="6553"/>
    <cellStyle name="Comma 3 2 2 3 2 2 2" xfId="6554"/>
    <cellStyle name="Comma 3 2 2 3 2 3" xfId="6555"/>
    <cellStyle name="Comma 3 2 2 3 3" xfId="6556"/>
    <cellStyle name="Comma 3 2 2 3 3 2" xfId="6557"/>
    <cellStyle name="Comma 3 2 2 3 4" xfId="6558"/>
    <cellStyle name="Comma 3 2 2 4" xfId="6559"/>
    <cellStyle name="Comma 3 2 2 4 2" xfId="6560"/>
    <cellStyle name="Comma 3 2 2 4 2 2" xfId="6561"/>
    <cellStyle name="Comma 3 2 2 4 3" xfId="6562"/>
    <cellStyle name="Comma 3 2 2 5" xfId="6563"/>
    <cellStyle name="Comma 3 2 2 5 2" xfId="6564"/>
    <cellStyle name="Comma 3 2 2 6" xfId="6565"/>
    <cellStyle name="Comma 3 2 2 7" xfId="6566"/>
    <cellStyle name="Comma 3 2 2 8" xfId="6567"/>
    <cellStyle name="Comma 3 2 3" xfId="6568"/>
    <cellStyle name="Comma 3 2 3 2" xfId="6569"/>
    <cellStyle name="Comma 3 2 3 2 2" xfId="6570"/>
    <cellStyle name="Comma 3 2 3 2 2 2" xfId="6571"/>
    <cellStyle name="Comma 3 2 3 2 2 2 2" xfId="6572"/>
    <cellStyle name="Comma 3 2 3 2 2 3" xfId="6573"/>
    <cellStyle name="Comma 3 2 3 2 3" xfId="6574"/>
    <cellStyle name="Comma 3 2 3 2 3 2" xfId="6575"/>
    <cellStyle name="Comma 3 2 3 2 4" xfId="6576"/>
    <cellStyle name="Comma 3 2 3 3" xfId="6577"/>
    <cellStyle name="Comma 3 2 3 3 2" xfId="6578"/>
    <cellStyle name="Comma 3 2 3 3 2 2" xfId="6579"/>
    <cellStyle name="Comma 3 2 3 3 3" xfId="6580"/>
    <cellStyle name="Comma 3 2 3 4" xfId="6581"/>
    <cellStyle name="Comma 3 2 3 4 2" xfId="6582"/>
    <cellStyle name="Comma 3 2 3 5" xfId="6583"/>
    <cellStyle name="Comma 3 2 3 6" xfId="6584"/>
    <cellStyle name="Comma 3 2 3 7" xfId="6585"/>
    <cellStyle name="Comma 3 2 4" xfId="6586"/>
    <cellStyle name="Comma 3 2 4 2" xfId="6587"/>
    <cellStyle name="Comma 3 2 4 2 2" xfId="6588"/>
    <cellStyle name="Comma 3 2 4 2 2 2" xfId="6589"/>
    <cellStyle name="Comma 3 2 4 2 2 2 2" xfId="6590"/>
    <cellStyle name="Comma 3 2 4 2 2 3" xfId="6591"/>
    <cellStyle name="Comma 3 2 4 2 3" xfId="6592"/>
    <cellStyle name="Comma 3 2 4 2 3 2" xfId="6593"/>
    <cellStyle name="Comma 3 2 4 2 4" xfId="6594"/>
    <cellStyle name="Comma 3 2 4 3" xfId="6595"/>
    <cellStyle name="Comma 3 2 4 3 2" xfId="6596"/>
    <cellStyle name="Comma 3 2 4 3 2 2" xfId="6597"/>
    <cellStyle name="Comma 3 2 4 3 3" xfId="6598"/>
    <cellStyle name="Comma 3 2 4 4" xfId="6599"/>
    <cellStyle name="Comma 3 2 4 4 2" xfId="6600"/>
    <cellStyle name="Comma 3 2 4 5" xfId="6601"/>
    <cellStyle name="Comma 3 2 5" xfId="6602"/>
    <cellStyle name="Comma 3 2 5 2" xfId="6603"/>
    <cellStyle name="Comma 3 2 5 2 2" xfId="6604"/>
    <cellStyle name="Comma 3 2 5 2 2 2" xfId="6605"/>
    <cellStyle name="Comma 3 2 5 2 3" xfId="6606"/>
    <cellStyle name="Comma 3 2 5 3" xfId="6607"/>
    <cellStyle name="Comma 3 2 5 3 2" xfId="6608"/>
    <cellStyle name="Comma 3 2 5 4" xfId="6609"/>
    <cellStyle name="Comma 3 2 6" xfId="6610"/>
    <cellStyle name="Comma 3 2 6 2" xfId="6611"/>
    <cellStyle name="Comma 3 2 6 2 2" xfId="6612"/>
    <cellStyle name="Comma 3 2 6 3" xfId="6613"/>
    <cellStyle name="Comma 3 2 7" xfId="6614"/>
    <cellStyle name="Comma 3 2 7 2" xfId="6615"/>
    <cellStyle name="Comma 3 2 8" xfId="6616"/>
    <cellStyle name="Comma 3 3" xfId="1393"/>
    <cellStyle name="Comma 3 3 2" xfId="6617"/>
    <cellStyle name="Comma 3 3 2 2" xfId="6618"/>
    <cellStyle name="Comma 3 3 2 2 2" xfId="6619"/>
    <cellStyle name="Comma 3 3 2 2 2 2" xfId="6620"/>
    <cellStyle name="Comma 3 3 2 2 2 2 2" xfId="6621"/>
    <cellStyle name="Comma 3 3 2 2 2 3" xfId="6622"/>
    <cellStyle name="Comma 3 3 2 2 3" xfId="6623"/>
    <cellStyle name="Comma 3 3 2 2 3 2" xfId="6624"/>
    <cellStyle name="Comma 3 3 2 2 4" xfId="6625"/>
    <cellStyle name="Comma 3 3 2 2 5" xfId="6626"/>
    <cellStyle name="Comma 3 3 2 2 6" xfId="6627"/>
    <cellStyle name="Comma 3 3 2 3" xfId="6628"/>
    <cellStyle name="Comma 3 3 2 3 2" xfId="6629"/>
    <cellStyle name="Comma 3 3 2 3 2 2" xfId="6630"/>
    <cellStyle name="Comma 3 3 2 3 3" xfId="6631"/>
    <cellStyle name="Comma 3 3 2 4" xfId="6632"/>
    <cellStyle name="Comma 3 3 2 4 2" xfId="6633"/>
    <cellStyle name="Comma 3 3 2 5" xfId="6634"/>
    <cellStyle name="Comma 3 3 2 6" xfId="6635"/>
    <cellStyle name="Comma 3 3 2 7" xfId="6636"/>
    <cellStyle name="Comma 3 3 3" xfId="6637"/>
    <cellStyle name="Comma 3 3 3 2" xfId="6638"/>
    <cellStyle name="Comma 3 3 3 2 2" xfId="6639"/>
    <cellStyle name="Comma 3 3 3 2 2 2" xfId="6640"/>
    <cellStyle name="Comma 3 3 3 2 3" xfId="6641"/>
    <cellStyle name="Comma 3 3 3 3" xfId="6642"/>
    <cellStyle name="Comma 3 3 3 3 2" xfId="6643"/>
    <cellStyle name="Comma 3 3 3 4" xfId="6644"/>
    <cellStyle name="Comma 3 3 3 5" xfId="6645"/>
    <cellStyle name="Comma 3 3 3 6" xfId="6646"/>
    <cellStyle name="Comma 3 3 4" xfId="6647"/>
    <cellStyle name="Comma 3 3 4 2" xfId="6648"/>
    <cellStyle name="Comma 3 3 4 2 2" xfId="6649"/>
    <cellStyle name="Comma 3 3 4 3" xfId="6650"/>
    <cellStyle name="Comma 3 3 5" xfId="6651"/>
    <cellStyle name="Comma 3 3 5 2" xfId="6652"/>
    <cellStyle name="Comma 3 3 6" xfId="6653"/>
    <cellStyle name="Comma 3 3 7" xfId="6654"/>
    <cellStyle name="Comma 3 3 8" xfId="6655"/>
    <cellStyle name="Comma 3 4" xfId="1394"/>
    <cellStyle name="Comma 3 4 2" xfId="6656"/>
    <cellStyle name="Comma 3 4 2 2" xfId="6657"/>
    <cellStyle name="Comma 3 4 2 2 2" xfId="6658"/>
    <cellStyle name="Comma 3 4 2 2 2 2" xfId="6659"/>
    <cellStyle name="Comma 3 4 2 2 3" xfId="6660"/>
    <cellStyle name="Comma 3 4 2 2 4" xfId="6661"/>
    <cellStyle name="Comma 3 4 2 3" xfId="6662"/>
    <cellStyle name="Comma 3 4 2 3 2" xfId="6663"/>
    <cellStyle name="Comma 3 4 2 4" xfId="6664"/>
    <cellStyle name="Comma 3 4 2 5" xfId="6665"/>
    <cellStyle name="Comma 3 4 2 6" xfId="6666"/>
    <cellStyle name="Comma 3 4 3" xfId="6667"/>
    <cellStyle name="Comma 3 4 3 2" xfId="6668"/>
    <cellStyle name="Comma 3 4 3 2 2" xfId="6669"/>
    <cellStyle name="Comma 3 4 3 3" xfId="6670"/>
    <cellStyle name="Comma 3 4 3 4" xfId="6671"/>
    <cellStyle name="Comma 3 4 4" xfId="6672"/>
    <cellStyle name="Comma 3 4 4 2" xfId="6673"/>
    <cellStyle name="Comma 3 4 5" xfId="6674"/>
    <cellStyle name="Comma 3 4 5 2" xfId="6675"/>
    <cellStyle name="Comma 3 4 6" xfId="6676"/>
    <cellStyle name="Comma 3 4 7" xfId="6677"/>
    <cellStyle name="Comma 3 4 8" xfId="6678"/>
    <cellStyle name="Comma 3 5" xfId="1395"/>
    <cellStyle name="Comma 3 5 2" xfId="6679"/>
    <cellStyle name="Comma 3 5 2 2" xfId="6680"/>
    <cellStyle name="Comma 3 5 2 2 2" xfId="6681"/>
    <cellStyle name="Comma 3 5 2 2 2 2" xfId="6682"/>
    <cellStyle name="Comma 3 5 2 2 3" xfId="6683"/>
    <cellStyle name="Comma 3 5 2 3" xfId="6684"/>
    <cellStyle name="Comma 3 5 2 3 2" xfId="6685"/>
    <cellStyle name="Comma 3 5 2 4" xfId="6686"/>
    <cellStyle name="Comma 3 5 2 5" xfId="6687"/>
    <cellStyle name="Comma 3 5 3" xfId="6688"/>
    <cellStyle name="Comma 3 5 3 2" xfId="6689"/>
    <cellStyle name="Comma 3 5 3 2 2" xfId="6690"/>
    <cellStyle name="Comma 3 5 3 3" xfId="6691"/>
    <cellStyle name="Comma 3 5 4" xfId="6692"/>
    <cellStyle name="Comma 3 5 4 2" xfId="6693"/>
    <cellStyle name="Comma 3 5 5" xfId="6694"/>
    <cellStyle name="Comma 3 5 6" xfId="6695"/>
    <cellStyle name="Comma 3 5 7" xfId="6696"/>
    <cellStyle name="Comma 3 6" xfId="6697"/>
    <cellStyle name="Comma 3 6 2" xfId="6698"/>
    <cellStyle name="Comma 3 6 2 2" xfId="6699"/>
    <cellStyle name="Comma 3 6 2 2 2" xfId="6700"/>
    <cellStyle name="Comma 3 6 2 3" xfId="6701"/>
    <cellStyle name="Comma 3 6 2 4" xfId="6702"/>
    <cellStyle name="Comma 3 6 3" xfId="6703"/>
    <cellStyle name="Comma 3 6 3 2" xfId="6704"/>
    <cellStyle name="Comma 3 6 4" xfId="6705"/>
    <cellStyle name="Comma 3 6 5" xfId="6706"/>
    <cellStyle name="Comma 3 7" xfId="6707"/>
    <cellStyle name="Comma 3 7 2" xfId="6708"/>
    <cellStyle name="Comma 3 7 2 2" xfId="6709"/>
    <cellStyle name="Comma 3 7 3" xfId="6710"/>
    <cellStyle name="Comma 3 7 4" xfId="6711"/>
    <cellStyle name="Comma 3 8" xfId="6712"/>
    <cellStyle name="Comma 3 8 2" xfId="6713"/>
    <cellStyle name="Comma 3 8 2 2" xfId="6714"/>
    <cellStyle name="Comma 3 8 3" xfId="6715"/>
    <cellStyle name="Comma 3 9" xfId="6716"/>
    <cellStyle name="Comma 3 9 2" xfId="6717"/>
    <cellStyle name="Comma 30" xfId="6718"/>
    <cellStyle name="Comma 30 2" xfId="6719"/>
    <cellStyle name="Comma 30 2 2" xfId="6720"/>
    <cellStyle name="Comma 30 2 2 2" xfId="6721"/>
    <cellStyle name="Comma 30 2 3" xfId="6722"/>
    <cellStyle name="Comma 30 3" xfId="6723"/>
    <cellStyle name="Comma 30 3 2" xfId="6724"/>
    <cellStyle name="Comma 30 4" xfId="6725"/>
    <cellStyle name="Comma 30 5" xfId="6726"/>
    <cellStyle name="Comma 31" xfId="6727"/>
    <cellStyle name="Comma 31 2" xfId="6728"/>
    <cellStyle name="Comma 32" xfId="6729"/>
    <cellStyle name="Comma 33" xfId="6730"/>
    <cellStyle name="Comma 33 2" xfId="6731"/>
    <cellStyle name="Comma 34" xfId="6732"/>
    <cellStyle name="Comma 34 2" xfId="6733"/>
    <cellStyle name="Comma 35" xfId="6734"/>
    <cellStyle name="Comma 35 2" xfId="6735"/>
    <cellStyle name="Comma 36" xfId="6736"/>
    <cellStyle name="Comma 36 2" xfId="6737"/>
    <cellStyle name="Comma 37" xfId="6738"/>
    <cellStyle name="Comma 37 2" xfId="6739"/>
    <cellStyle name="Comma 38" xfId="6740"/>
    <cellStyle name="Comma 39" xfId="6741"/>
    <cellStyle name="Comma 4" xfId="1396"/>
    <cellStyle name="Comma 4 10" xfId="6742"/>
    <cellStyle name="Comma 4 2" xfId="1397"/>
    <cellStyle name="Comma 4 2 2" xfId="6743"/>
    <cellStyle name="Comma 4 2 2 2" xfId="6744"/>
    <cellStyle name="Comma 4 2 2 2 2" xfId="6745"/>
    <cellStyle name="Comma 4 2 2 2 2 2" xfId="6746"/>
    <cellStyle name="Comma 4 2 2 2 3" xfId="6747"/>
    <cellStyle name="Comma 4 2 2 2 4" xfId="6748"/>
    <cellStyle name="Comma 4 2 2 2 5" xfId="6749"/>
    <cellStyle name="Comma 4 2 2 3" xfId="6750"/>
    <cellStyle name="Comma 4 2 2 3 2" xfId="6751"/>
    <cellStyle name="Comma 4 2 2 4" xfId="6752"/>
    <cellStyle name="Comma 4 2 2 4 2" xfId="6753"/>
    <cellStyle name="Comma 4 2 2 5" xfId="6754"/>
    <cellStyle name="Comma 4 2 2 6" xfId="6755"/>
    <cellStyle name="Comma 4 2 3" xfId="6756"/>
    <cellStyle name="Comma 4 2 3 2" xfId="6757"/>
    <cellStyle name="Comma 4 2 3 2 2" xfId="6758"/>
    <cellStyle name="Comma 4 2 3 3" xfId="6759"/>
    <cellStyle name="Comma 4 2 3 3 2" xfId="6760"/>
    <cellStyle name="Comma 4 2 3 4" xfId="6761"/>
    <cellStyle name="Comma 4 2 3 5" xfId="6762"/>
    <cellStyle name="Comma 4 2 4" xfId="6763"/>
    <cellStyle name="Comma 4 2 4 2" xfId="6764"/>
    <cellStyle name="Comma 4 2 4 3" xfId="6765"/>
    <cellStyle name="Comma 4 2 4 4" xfId="6766"/>
    <cellStyle name="Comma 4 2 5" xfId="6767"/>
    <cellStyle name="Comma 4 2 5 2" xfId="6768"/>
    <cellStyle name="Comma 4 2 6" xfId="6769"/>
    <cellStyle name="Comma 4 2 7" xfId="6770"/>
    <cellStyle name="Comma 4 2 8" xfId="6771"/>
    <cellStyle name="Comma 4 2 9" xfId="6772"/>
    <cellStyle name="Comma 4 3" xfId="1398"/>
    <cellStyle name="Comma 4 3 2" xfId="6773"/>
    <cellStyle name="Comma 4 3 2 2" xfId="6774"/>
    <cellStyle name="Comma 4 3 2 2 2" xfId="6775"/>
    <cellStyle name="Comma 4 3 2 2 2 2" xfId="6776"/>
    <cellStyle name="Comma 4 3 2 2 2 2 2" xfId="6777"/>
    <cellStyle name="Comma 4 3 2 2 2 3" xfId="6778"/>
    <cellStyle name="Comma 4 3 2 2 3" xfId="6779"/>
    <cellStyle name="Comma 4 3 2 2 3 2" xfId="6780"/>
    <cellStyle name="Comma 4 3 2 2 4" xfId="6781"/>
    <cellStyle name="Comma 4 3 2 2 5" xfId="6782"/>
    <cellStyle name="Comma 4 3 2 3" xfId="6783"/>
    <cellStyle name="Comma 4 3 2 3 2" xfId="6784"/>
    <cellStyle name="Comma 4 3 2 3 2 2" xfId="6785"/>
    <cellStyle name="Comma 4 3 2 3 3" xfId="6786"/>
    <cellStyle name="Comma 4 3 2 4" xfId="6787"/>
    <cellStyle name="Comma 4 3 2 4 2" xfId="6788"/>
    <cellStyle name="Comma 4 3 2 5" xfId="6789"/>
    <cellStyle name="Comma 4 3 2 6" xfId="6790"/>
    <cellStyle name="Comma 4 3 2 7" xfId="6791"/>
    <cellStyle name="Comma 4 3 3" xfId="6792"/>
    <cellStyle name="Comma 4 3 3 2" xfId="6793"/>
    <cellStyle name="Comma 4 3 3 2 2" xfId="6794"/>
    <cellStyle name="Comma 4 3 3 2 2 2" xfId="6795"/>
    <cellStyle name="Comma 4 3 3 2 3" xfId="6796"/>
    <cellStyle name="Comma 4 3 3 3" xfId="6797"/>
    <cellStyle name="Comma 4 3 3 3 2" xfId="6798"/>
    <cellStyle name="Comma 4 3 3 4" xfId="6799"/>
    <cellStyle name="Comma 4 3 3 5" xfId="6800"/>
    <cellStyle name="Comma 4 3 4" xfId="6801"/>
    <cellStyle name="Comma 4 3 4 2" xfId="6802"/>
    <cellStyle name="Comma 4 3 4 2 2" xfId="6803"/>
    <cellStyle name="Comma 4 3 4 3" xfId="6804"/>
    <cellStyle name="Comma 4 3 5" xfId="6805"/>
    <cellStyle name="Comma 4 3 5 2" xfId="6806"/>
    <cellStyle name="Comma 4 3 6" xfId="6807"/>
    <cellStyle name="Comma 4 3 7" xfId="6808"/>
    <cellStyle name="Comma 4 3 8" xfId="6809"/>
    <cellStyle name="Comma 4 4" xfId="1399"/>
    <cellStyle name="Comma 4 4 2" xfId="6810"/>
    <cellStyle name="Comma 4 4 2 2" xfId="6811"/>
    <cellStyle name="Comma 4 4 2 2 2" xfId="6812"/>
    <cellStyle name="Comma 4 4 2 2 2 2" xfId="6813"/>
    <cellStyle name="Comma 4 4 2 2 3" xfId="6814"/>
    <cellStyle name="Comma 4 4 2 2 4" xfId="6815"/>
    <cellStyle name="Comma 4 4 2 3" xfId="6816"/>
    <cellStyle name="Comma 4 4 2 3 2" xfId="6817"/>
    <cellStyle name="Comma 4 4 2 4" xfId="6818"/>
    <cellStyle name="Comma 4 4 2 5" xfId="6819"/>
    <cellStyle name="Comma 4 4 3" xfId="6820"/>
    <cellStyle name="Comma 4 4 3 2" xfId="6821"/>
    <cellStyle name="Comma 4 4 3 2 2" xfId="6822"/>
    <cellStyle name="Comma 4 4 3 3" xfId="6823"/>
    <cellStyle name="Comma 4 4 3 4" xfId="6824"/>
    <cellStyle name="Comma 4 4 4" xfId="6825"/>
    <cellStyle name="Comma 4 4 4 2" xfId="6826"/>
    <cellStyle name="Comma 4 4 5" xfId="6827"/>
    <cellStyle name="Comma 4 4 6" xfId="6828"/>
    <cellStyle name="Comma 4 4 7" xfId="6829"/>
    <cellStyle name="Comma 4 5" xfId="1400"/>
    <cellStyle name="Comma 4 5 2" xfId="6830"/>
    <cellStyle name="Comma 4 5 2 2" xfId="6831"/>
    <cellStyle name="Comma 4 5 2 2 2" xfId="6832"/>
    <cellStyle name="Comma 4 5 2 3" xfId="6833"/>
    <cellStyle name="Comma 4 5 2 4" xfId="6834"/>
    <cellStyle name="Comma 4 5 3" xfId="6835"/>
    <cellStyle name="Comma 4 5 3 2" xfId="6836"/>
    <cellStyle name="Comma 4 5 4" xfId="6837"/>
    <cellStyle name="Comma 4 5 5" xfId="6838"/>
    <cellStyle name="Comma 4 6" xfId="6839"/>
    <cellStyle name="Comma 4 6 2" xfId="6840"/>
    <cellStyle name="Comma 4 6 2 2" xfId="6841"/>
    <cellStyle name="Comma 4 6 3" xfId="6842"/>
    <cellStyle name="Comma 4 6 4" xfId="6843"/>
    <cellStyle name="Comma 4 7" xfId="6844"/>
    <cellStyle name="Comma 4 7 2" xfId="6845"/>
    <cellStyle name="Comma 4 8" xfId="6846"/>
    <cellStyle name="Comma 4 9" xfId="6847"/>
    <cellStyle name="Comma 40" xfId="6848"/>
    <cellStyle name="Comma 41" xfId="6849"/>
    <cellStyle name="Comma 42" xfId="6850"/>
    <cellStyle name="Comma 43" xfId="6851"/>
    <cellStyle name="Comma 44" xfId="6852"/>
    <cellStyle name="Comma 45" xfId="6853"/>
    <cellStyle name="Comma 46" xfId="6854"/>
    <cellStyle name="Comma 47" xfId="6855"/>
    <cellStyle name="Comma 48" xfId="6856"/>
    <cellStyle name="Comma 49" xfId="6857"/>
    <cellStyle name="Comma 5" xfId="1401"/>
    <cellStyle name="Comma 5 2" xfId="6858"/>
    <cellStyle name="Comma 5 2 2" xfId="6859"/>
    <cellStyle name="Comma 5 2 3" xfId="6860"/>
    <cellStyle name="Comma 5 3" xfId="6861"/>
    <cellStyle name="Comma 50" xfId="6862"/>
    <cellStyle name="Comma 50 2" xfId="6863"/>
    <cellStyle name="Comma 51" xfId="6864"/>
    <cellStyle name="Comma 52" xfId="6865"/>
    <cellStyle name="Comma 53" xfId="6866"/>
    <cellStyle name="Comma 54" xfId="6867"/>
    <cellStyle name="Comma 55" xfId="6868"/>
    <cellStyle name="Comma 56" xfId="6869"/>
    <cellStyle name="Comma 57" xfId="6870"/>
    <cellStyle name="Comma 58" xfId="6871"/>
    <cellStyle name="Comma 59" xfId="6872"/>
    <cellStyle name="Comma 6" xfId="1402"/>
    <cellStyle name="Comma 6 10" xfId="6873"/>
    <cellStyle name="Comma 6 10 2" xfId="6874"/>
    <cellStyle name="Comma 6 11" xfId="6875"/>
    <cellStyle name="Comma 6 12" xfId="6876"/>
    <cellStyle name="Comma 6 13" xfId="6877"/>
    <cellStyle name="Comma 6 2" xfId="6878"/>
    <cellStyle name="Comma 6 2 2" xfId="6879"/>
    <cellStyle name="Comma 6 2 2 2" xfId="6880"/>
    <cellStyle name="Comma 6 2 3" xfId="6881"/>
    <cellStyle name="Comma 6 2 3 2" xfId="6882"/>
    <cellStyle name="Comma 6 2 3 3" xfId="6883"/>
    <cellStyle name="Comma 6 2 3 4" xfId="6884"/>
    <cellStyle name="Comma 6 2 4" xfId="6885"/>
    <cellStyle name="Comma 6 2 4 2" xfId="6886"/>
    <cellStyle name="Comma 6 2 5" xfId="6887"/>
    <cellStyle name="Comma 6 2 6" xfId="6888"/>
    <cellStyle name="Comma 6 2 7" xfId="6889"/>
    <cellStyle name="Comma 6 3" xfId="6890"/>
    <cellStyle name="Comma 6 3 2" xfId="6891"/>
    <cellStyle name="Comma 6 3 2 2" xfId="6892"/>
    <cellStyle name="Comma 6 3 2 2 2" xfId="6893"/>
    <cellStyle name="Comma 6 3 2 2 2 2" xfId="6894"/>
    <cellStyle name="Comma 6 3 2 2 2 3" xfId="6895"/>
    <cellStyle name="Comma 6 3 2 2 3" xfId="6896"/>
    <cellStyle name="Comma 6 3 2 2 3 2" xfId="6897"/>
    <cellStyle name="Comma 6 3 2 2 4" xfId="6898"/>
    <cellStyle name="Comma 6 3 2 2 5" xfId="6899"/>
    <cellStyle name="Comma 6 3 2 3" xfId="6900"/>
    <cellStyle name="Comma 6 3 2 3 2" xfId="6901"/>
    <cellStyle name="Comma 6 3 2 3 3" xfId="6902"/>
    <cellStyle name="Comma 6 3 2 4" xfId="6903"/>
    <cellStyle name="Comma 6 3 2 4 2" xfId="6904"/>
    <cellStyle name="Comma 6 3 2 5" xfId="6905"/>
    <cellStyle name="Comma 6 3 2 6" xfId="6906"/>
    <cellStyle name="Comma 6 3 3" xfId="6907"/>
    <cellStyle name="Comma 6 3 3 2" xfId="6908"/>
    <cellStyle name="Comma 6 3 3 2 2" xfId="6909"/>
    <cellStyle name="Comma 6 3 3 2 2 2" xfId="6910"/>
    <cellStyle name="Comma 6 3 3 2 3" xfId="6911"/>
    <cellStyle name="Comma 6 3 3 2 4" xfId="6912"/>
    <cellStyle name="Comma 6 3 3 2 5" xfId="6913"/>
    <cellStyle name="Comma 6 3 3 3" xfId="6914"/>
    <cellStyle name="Comma 6 3 3 3 2" xfId="6915"/>
    <cellStyle name="Comma 6 3 3 4" xfId="6916"/>
    <cellStyle name="Comma 6 3 3 5" xfId="6917"/>
    <cellStyle name="Comma 6 3 3 6" xfId="6918"/>
    <cellStyle name="Comma 6 3 4" xfId="6919"/>
    <cellStyle name="Comma 6 3 4 2" xfId="6920"/>
    <cellStyle name="Comma 6 3 4 2 2" xfId="6921"/>
    <cellStyle name="Comma 6 3 4 3" xfId="6922"/>
    <cellStyle name="Comma 6 3 4 4" xfId="6923"/>
    <cellStyle name="Comma 6 3 4 5" xfId="6924"/>
    <cellStyle name="Comma 6 3 5" xfId="6925"/>
    <cellStyle name="Comma 6 3 5 2" xfId="6926"/>
    <cellStyle name="Comma 6 3 5 2 2" xfId="6927"/>
    <cellStyle name="Comma 6 3 5 3" xfId="6928"/>
    <cellStyle name="Comma 6 3 5 4" xfId="6929"/>
    <cellStyle name="Comma 6 3 5 5" xfId="6930"/>
    <cellStyle name="Comma 6 3 6" xfId="6931"/>
    <cellStyle name="Comma 6 3 6 2" xfId="6932"/>
    <cellStyle name="Comma 6 3 6 3" xfId="6933"/>
    <cellStyle name="Comma 6 3 7" xfId="6934"/>
    <cellStyle name="Comma 6 3 8" xfId="6935"/>
    <cellStyle name="Comma 6 3 9" xfId="6936"/>
    <cellStyle name="Comma 6 4" xfId="6937"/>
    <cellStyle name="Comma 6 4 2" xfId="6938"/>
    <cellStyle name="Comma 6 4 2 2" xfId="6939"/>
    <cellStyle name="Comma 6 4 2 2 2" xfId="6940"/>
    <cellStyle name="Comma 6 4 2 2 3" xfId="6941"/>
    <cellStyle name="Comma 6 4 2 3" xfId="6942"/>
    <cellStyle name="Comma 6 4 2 3 2" xfId="6943"/>
    <cellStyle name="Comma 6 4 2 4" xfId="6944"/>
    <cellStyle name="Comma 6 4 2 5" xfId="6945"/>
    <cellStyle name="Comma 6 4 3" xfId="6946"/>
    <cellStyle name="Comma 6 4 3 2" xfId="6947"/>
    <cellStyle name="Comma 6 4 3 3" xfId="6948"/>
    <cellStyle name="Comma 6 4 4" xfId="6949"/>
    <cellStyle name="Comma 6 4 4 2" xfId="6950"/>
    <cellStyle name="Comma 6 4 5" xfId="6951"/>
    <cellStyle name="Comma 6 4 6" xfId="6952"/>
    <cellStyle name="Comma 6 5" xfId="6953"/>
    <cellStyle name="Comma 6 5 2" xfId="6954"/>
    <cellStyle name="Comma 6 5 2 2" xfId="6955"/>
    <cellStyle name="Comma 6 5 2 2 2" xfId="6956"/>
    <cellStyle name="Comma 6 5 2 3" xfId="6957"/>
    <cellStyle name="Comma 6 5 2 4" xfId="6958"/>
    <cellStyle name="Comma 6 5 2 5" xfId="6959"/>
    <cellStyle name="Comma 6 5 3" xfId="6960"/>
    <cellStyle name="Comma 6 5 3 2" xfId="6961"/>
    <cellStyle name="Comma 6 5 4" xfId="6962"/>
    <cellStyle name="Comma 6 5 5" xfId="6963"/>
    <cellStyle name="Comma 6 5 6" xfId="6964"/>
    <cellStyle name="Comma 6 6" xfId="6965"/>
    <cellStyle name="Comma 6 6 2" xfId="6966"/>
    <cellStyle name="Comma 6 6 2 2" xfId="6967"/>
    <cellStyle name="Comma 6 6 3" xfId="6968"/>
    <cellStyle name="Comma 6 6 4" xfId="6969"/>
    <cellStyle name="Comma 6 6 5" xfId="6970"/>
    <cellStyle name="Comma 6 7" xfId="6971"/>
    <cellStyle name="Comma 6 7 2" xfId="6972"/>
    <cellStyle name="Comma 6 7 2 2" xfId="6973"/>
    <cellStyle name="Comma 6 7 3" xfId="6974"/>
    <cellStyle name="Comma 6 7 4" xfId="6975"/>
    <cellStyle name="Comma 6 7 5" xfId="6976"/>
    <cellStyle name="Comma 6 8" xfId="6977"/>
    <cellStyle name="Comma 6 8 2" xfId="6978"/>
    <cellStyle name="Comma 6 8 2 2" xfId="6979"/>
    <cellStyle name="Comma 6 8 3" xfId="6980"/>
    <cellStyle name="Comma 6 8 4" xfId="6981"/>
    <cellStyle name="Comma 6 8 5" xfId="6982"/>
    <cellStyle name="Comma 6 9" xfId="6983"/>
    <cellStyle name="Comma 6 9 2" xfId="6984"/>
    <cellStyle name="Comma 6 9 3" xfId="6985"/>
    <cellStyle name="Comma 60" xfId="6986"/>
    <cellStyle name="Comma 61" xfId="6987"/>
    <cellStyle name="Comma 62" xfId="6988"/>
    <cellStyle name="Comma 62 2" xfId="6989"/>
    <cellStyle name="Comma 62 2 2" xfId="6990"/>
    <cellStyle name="Comma 62 3" xfId="6991"/>
    <cellStyle name="Comma 63" xfId="6992"/>
    <cellStyle name="Comma 63 2" xfId="6993"/>
    <cellStyle name="Comma 63 2 2" xfId="6994"/>
    <cellStyle name="Comma 63 3" xfId="6995"/>
    <cellStyle name="Comma 64" xfId="6996"/>
    <cellStyle name="Comma 64 2" xfId="6997"/>
    <cellStyle name="Comma 64 2 2" xfId="6998"/>
    <cellStyle name="Comma 64 3" xfId="6999"/>
    <cellStyle name="Comma 65" xfId="7000"/>
    <cellStyle name="Comma 65 2" xfId="7001"/>
    <cellStyle name="Comma 66" xfId="7002"/>
    <cellStyle name="Comma 66 2" xfId="7003"/>
    <cellStyle name="Comma 67" xfId="7004"/>
    <cellStyle name="Comma 68" xfId="7005"/>
    <cellStyle name="Comma 69" xfId="7006"/>
    <cellStyle name="Comma 7" xfId="1403"/>
    <cellStyle name="Comma 7 2" xfId="7007"/>
    <cellStyle name="Comma 7 2 2" xfId="7008"/>
    <cellStyle name="Comma 7 2 2 2" xfId="7009"/>
    <cellStyle name="Comma 7 2 2 2 2" xfId="7010"/>
    <cellStyle name="Comma 7 2 2 2 2 2" xfId="7011"/>
    <cellStyle name="Comma 7 2 2 2 3" xfId="7012"/>
    <cellStyle name="Comma 7 2 2 2 4" xfId="7013"/>
    <cellStyle name="Comma 7 2 2 2 5" xfId="7014"/>
    <cellStyle name="Comma 7 2 2 3" xfId="7015"/>
    <cellStyle name="Comma 7 2 2 3 2" xfId="7016"/>
    <cellStyle name="Comma 7 2 2 4" xfId="7017"/>
    <cellStyle name="Comma 7 2 2 4 2" xfId="7018"/>
    <cellStyle name="Comma 7 2 2 5" xfId="7019"/>
    <cellStyle name="Comma 7 2 2 6" xfId="7020"/>
    <cellStyle name="Comma 7 2 3" xfId="7021"/>
    <cellStyle name="Comma 7 2 3 2" xfId="7022"/>
    <cellStyle name="Comma 7 2 3 2 2" xfId="7023"/>
    <cellStyle name="Comma 7 2 3 3" xfId="7024"/>
    <cellStyle name="Comma 7 2 3 4" xfId="7025"/>
    <cellStyle name="Comma 7 2 3 5" xfId="7026"/>
    <cellStyle name="Comma 7 2 4" xfId="7027"/>
    <cellStyle name="Comma 7 2 4 2" xfId="7028"/>
    <cellStyle name="Comma 7 2 5" xfId="7029"/>
    <cellStyle name="Comma 7 2 5 2" xfId="7030"/>
    <cellStyle name="Comma 7 2 6" xfId="7031"/>
    <cellStyle name="Comma 7 2 7" xfId="7032"/>
    <cellStyle name="Comma 7 3" xfId="7033"/>
    <cellStyle name="Comma 7 3 2" xfId="7034"/>
    <cellStyle name="Comma 7 3 2 2" xfId="7035"/>
    <cellStyle name="Comma 7 3 2 2 2" xfId="7036"/>
    <cellStyle name="Comma 7 3 2 3" xfId="7037"/>
    <cellStyle name="Comma 7 3 2 4" xfId="7038"/>
    <cellStyle name="Comma 7 3 3" xfId="7039"/>
    <cellStyle name="Comma 7 3 3 2" xfId="7040"/>
    <cellStyle name="Comma 7 3 4" xfId="7041"/>
    <cellStyle name="Comma 7 3 5" xfId="7042"/>
    <cellStyle name="Comma 7 3 6" xfId="7043"/>
    <cellStyle name="Comma 7 4" xfId="7044"/>
    <cellStyle name="Comma 7 4 2" xfId="7045"/>
    <cellStyle name="Comma 7 4 2 2" xfId="7046"/>
    <cellStyle name="Comma 7 4 2 2 2" xfId="7047"/>
    <cellStyle name="Comma 7 4 2 3" xfId="7048"/>
    <cellStyle name="Comma 7 4 2 4" xfId="7049"/>
    <cellStyle name="Comma 7 4 3" xfId="7050"/>
    <cellStyle name="Comma 7 4 3 2" xfId="7051"/>
    <cellStyle name="Comma 7 4 4" xfId="7052"/>
    <cellStyle name="Comma 7 4 5" xfId="7053"/>
    <cellStyle name="Comma 7 5" xfId="7054"/>
    <cellStyle name="Comma 7 5 2" xfId="7055"/>
    <cellStyle name="Comma 7 5 2 2" xfId="7056"/>
    <cellStyle name="Comma 7 5 2 2 2" xfId="7057"/>
    <cellStyle name="Comma 7 5 2 3" xfId="7058"/>
    <cellStyle name="Comma 7 5 2 4" xfId="7059"/>
    <cellStyle name="Comma 7 5 3" xfId="7060"/>
    <cellStyle name="Comma 7 5 3 2" xfId="7061"/>
    <cellStyle name="Comma 7 5 4" xfId="7062"/>
    <cellStyle name="Comma 7 5 5" xfId="7063"/>
    <cellStyle name="Comma 7 6" xfId="7064"/>
    <cellStyle name="Comma 7 6 2" xfId="7065"/>
    <cellStyle name="Comma 7 6 2 2" xfId="7066"/>
    <cellStyle name="Comma 7 6 2 2 2" xfId="7067"/>
    <cellStyle name="Comma 7 6 2 3" xfId="7068"/>
    <cellStyle name="Comma 7 6 2 4" xfId="7069"/>
    <cellStyle name="Comma 7 6 3" xfId="7070"/>
    <cellStyle name="Comma 7 6 3 2" xfId="7071"/>
    <cellStyle name="Comma 7 6 4" xfId="7072"/>
    <cellStyle name="Comma 7 6 5" xfId="7073"/>
    <cellStyle name="Comma 7 7" xfId="7074"/>
    <cellStyle name="Comma 7 7 2" xfId="7075"/>
    <cellStyle name="Comma 7 7 2 2" xfId="7076"/>
    <cellStyle name="Comma 7 7 3" xfId="7077"/>
    <cellStyle name="Comma 7 7 4" xfId="7078"/>
    <cellStyle name="Comma 7 8" xfId="7079"/>
    <cellStyle name="Comma 70" xfId="7080"/>
    <cellStyle name="Comma 71" xfId="7081"/>
    <cellStyle name="Comma 71 2" xfId="7082"/>
    <cellStyle name="Comma 72" xfId="7083"/>
    <cellStyle name="Comma 73" xfId="7084"/>
    <cellStyle name="Comma 73 2" xfId="7085"/>
    <cellStyle name="Comma 73 3" xfId="7086"/>
    <cellStyle name="Comma 74" xfId="7087"/>
    <cellStyle name="Comma 74 2" xfId="7088"/>
    <cellStyle name="Comma 74 3" xfId="7089"/>
    <cellStyle name="Comma 75" xfId="7090"/>
    <cellStyle name="Comma 76" xfId="7091"/>
    <cellStyle name="Comma 77" xfId="7092"/>
    <cellStyle name="Comma 78" xfId="7093"/>
    <cellStyle name="Comma 79" xfId="7094"/>
    <cellStyle name="Comma 8" xfId="1404"/>
    <cellStyle name="Comma 8 2" xfId="7095"/>
    <cellStyle name="Comma 8 2 2" xfId="7096"/>
    <cellStyle name="Comma 8 2 2 2" xfId="7097"/>
    <cellStyle name="Comma 8 2 2 2 2" xfId="7098"/>
    <cellStyle name="Comma 8 2 2 3" xfId="7099"/>
    <cellStyle name="Comma 8 2 2 3 2" xfId="7100"/>
    <cellStyle name="Comma 8 2 2 4" xfId="7101"/>
    <cellStyle name="Comma 8 2 2 5" xfId="7102"/>
    <cellStyle name="Comma 8 2 3" xfId="7103"/>
    <cellStyle name="Comma 8 2 3 2" xfId="7104"/>
    <cellStyle name="Comma 8 2 3 3" xfId="7105"/>
    <cellStyle name="Comma 8 2 3 4" xfId="7106"/>
    <cellStyle name="Comma 8 2 3 5" xfId="7107"/>
    <cellStyle name="Comma 8 2 4" xfId="7108"/>
    <cellStyle name="Comma 8 2 4 2" xfId="7109"/>
    <cellStyle name="Comma 8 2 5" xfId="7110"/>
    <cellStyle name="Comma 8 2 6" xfId="7111"/>
    <cellStyle name="Comma 8 2 7" xfId="7112"/>
    <cellStyle name="Comma 8 2 8" xfId="7113"/>
    <cellStyle name="Comma 8 3" xfId="7114"/>
    <cellStyle name="Comma 8 3 2" xfId="7115"/>
    <cellStyle name="Comma 8 3 2 2" xfId="7116"/>
    <cellStyle name="Comma 8 3 3" xfId="7117"/>
    <cellStyle name="Comma 8 3 3 2" xfId="7118"/>
    <cellStyle name="Comma 8 3 4" xfId="7119"/>
    <cellStyle name="Comma 8 3 5" xfId="7120"/>
    <cellStyle name="Comma 8 4" xfId="7121"/>
    <cellStyle name="Comma 8 4 2" xfId="7122"/>
    <cellStyle name="Comma 8 4 3" xfId="7123"/>
    <cellStyle name="Comma 8 4 3 2" xfId="7124"/>
    <cellStyle name="Comma 8 4 4" xfId="7125"/>
    <cellStyle name="Comma 8 4 5" xfId="7126"/>
    <cellStyle name="Comma 8 5" xfId="7127"/>
    <cellStyle name="Comma 8 5 2" xfId="7128"/>
    <cellStyle name="Comma 8 6" xfId="7129"/>
    <cellStyle name="Comma 8 7" xfId="7130"/>
    <cellStyle name="Comma 8 8" xfId="7131"/>
    <cellStyle name="Comma 8 9" xfId="7132"/>
    <cellStyle name="Comma 80" xfId="7133"/>
    <cellStyle name="Comma 81" xfId="7134"/>
    <cellStyle name="Comma 82" xfId="7135"/>
    <cellStyle name="Comma 83" xfId="7136"/>
    <cellStyle name="Comma 84" xfId="7137"/>
    <cellStyle name="Comma 85" xfId="7138"/>
    <cellStyle name="Comma 86" xfId="7139"/>
    <cellStyle name="Comma 87" xfId="7140"/>
    <cellStyle name="Comma 88" xfId="54"/>
    <cellStyle name="Comma 9" xfId="1405"/>
    <cellStyle name="Comma 9 2" xfId="7141"/>
    <cellStyle name="Comma 9 2 2" xfId="7142"/>
    <cellStyle name="Comma 9 2 2 2" xfId="7143"/>
    <cellStyle name="Comma 9 2 2 2 2" xfId="7144"/>
    <cellStyle name="Comma 9 2 2 2 2 2" xfId="7145"/>
    <cellStyle name="Comma 9 2 2 2 2 2 2" xfId="7146"/>
    <cellStyle name="Comma 9 2 2 2 2 3" xfId="7147"/>
    <cellStyle name="Comma 9 2 2 2 3" xfId="7148"/>
    <cellStyle name="Comma 9 2 2 2 3 2" xfId="7149"/>
    <cellStyle name="Comma 9 2 2 2 4" xfId="7150"/>
    <cellStyle name="Comma 9 2 2 3" xfId="7151"/>
    <cellStyle name="Comma 9 2 2 3 2" xfId="7152"/>
    <cellStyle name="Comma 9 2 2 3 2 2" xfId="7153"/>
    <cellStyle name="Comma 9 2 2 3 3" xfId="7154"/>
    <cellStyle name="Comma 9 2 2 4" xfId="7155"/>
    <cellStyle name="Comma 9 2 2 4 2" xfId="7156"/>
    <cellStyle name="Comma 9 2 2 5" xfId="7157"/>
    <cellStyle name="Comma 9 2 2 6" xfId="7158"/>
    <cellStyle name="Comma 9 2 3" xfId="7159"/>
    <cellStyle name="Comma 9 2 3 2" xfId="7160"/>
    <cellStyle name="Comma 9 2 3 2 2" xfId="7161"/>
    <cellStyle name="Comma 9 2 3 2 2 2" xfId="7162"/>
    <cellStyle name="Comma 9 2 3 2 3" xfId="7163"/>
    <cellStyle name="Comma 9 2 3 3" xfId="7164"/>
    <cellStyle name="Comma 9 2 3 3 2" xfId="7165"/>
    <cellStyle name="Comma 9 2 3 4" xfId="7166"/>
    <cellStyle name="Comma 9 2 4" xfId="7167"/>
    <cellStyle name="Comma 9 2 4 2" xfId="7168"/>
    <cellStyle name="Comma 9 2 4 2 2" xfId="7169"/>
    <cellStyle name="Comma 9 2 4 3" xfId="7170"/>
    <cellStyle name="Comma 9 2 5" xfId="7171"/>
    <cellStyle name="Comma 9 2 5 2" xfId="7172"/>
    <cellStyle name="Comma 9 2 6" xfId="7173"/>
    <cellStyle name="Comma 9 2 7" xfId="7174"/>
    <cellStyle name="Comma 9 3" xfId="7175"/>
    <cellStyle name="Comma 9 3 2" xfId="7176"/>
    <cellStyle name="Comma 9 3 2 2" xfId="7177"/>
    <cellStyle name="Comma 9 3 2 2 2" xfId="7178"/>
    <cellStyle name="Comma 9 3 2 2 2 2" xfId="7179"/>
    <cellStyle name="Comma 9 3 2 2 3" xfId="7180"/>
    <cellStyle name="Comma 9 3 2 3" xfId="7181"/>
    <cellStyle name="Comma 9 3 2 3 2" xfId="7182"/>
    <cellStyle name="Comma 9 3 2 4" xfId="7183"/>
    <cellStyle name="Comma 9 3 3" xfId="7184"/>
    <cellStyle name="Comma 9 3 3 2" xfId="7185"/>
    <cellStyle name="Comma 9 3 3 2 2" xfId="7186"/>
    <cellStyle name="Comma 9 3 3 3" xfId="7187"/>
    <cellStyle name="Comma 9 3 4" xfId="7188"/>
    <cellStyle name="Comma 9 3 4 2" xfId="7189"/>
    <cellStyle name="Comma 9 3 5" xfId="7190"/>
    <cellStyle name="Comma 9 3 6" xfId="7191"/>
    <cellStyle name="Comma 9 4" xfId="7192"/>
    <cellStyle name="Comma 9 4 2" xfId="7193"/>
    <cellStyle name="Comma 9 4 2 2" xfId="7194"/>
    <cellStyle name="Comma 9 4 2 2 2" xfId="7195"/>
    <cellStyle name="Comma 9 4 2 3" xfId="7196"/>
    <cellStyle name="Comma 9 4 3" xfId="7197"/>
    <cellStyle name="Comma 9 4 3 2" xfId="7198"/>
    <cellStyle name="Comma 9 4 4" xfId="7199"/>
    <cellStyle name="Comma 9 5" xfId="7200"/>
    <cellStyle name="Comma 9 5 2" xfId="7201"/>
    <cellStyle name="Comma 9 5 2 2" xfId="7202"/>
    <cellStyle name="Comma 9 5 3" xfId="7203"/>
    <cellStyle name="Comma 9 6" xfId="7204"/>
    <cellStyle name="Comma 9 6 2" xfId="7205"/>
    <cellStyle name="Comma 9 7" xfId="7206"/>
    <cellStyle name="Comma 9 8" xfId="7207"/>
    <cellStyle name="Comma 9 9" xfId="7208"/>
    <cellStyle name="Comma0" xfId="7"/>
    <cellStyle name="Comma0 2" xfId="7209"/>
    <cellStyle name="Comma0 2 2" xfId="7210"/>
    <cellStyle name="Comma0 2 2 2" xfId="7211"/>
    <cellStyle name="Comma0 2 3" xfId="7212"/>
    <cellStyle name="Comma0 2 4" xfId="7213"/>
    <cellStyle name="Comma0 3" xfId="7214"/>
    <cellStyle name="Comma0 3 2" xfId="7215"/>
    <cellStyle name="Comma0 3 2 2" xfId="7216"/>
    <cellStyle name="Comma0 3 3" xfId="7217"/>
    <cellStyle name="Comma0 3 4" xfId="7218"/>
    <cellStyle name="Comma0 4" xfId="7219"/>
    <cellStyle name="Comma0_SCH11 Not Done" xfId="7220"/>
    <cellStyle name="Currency" xfId="8" builtinId="4"/>
    <cellStyle name="Currency [0] 2" xfId="7221"/>
    <cellStyle name="Currency [0] 2 2" xfId="7222"/>
    <cellStyle name="Currency [0] 2 2 2" xfId="7223"/>
    <cellStyle name="Currency [0] 2 2 2 2" xfId="7224"/>
    <cellStyle name="Currency [0] 2 2 3" xfId="7225"/>
    <cellStyle name="Currency [0] 2 2 4" xfId="7226"/>
    <cellStyle name="Currency [0] 2 3" xfId="7227"/>
    <cellStyle name="Currency [0] 2 3 2" xfId="7228"/>
    <cellStyle name="Currency [0] 2 4" xfId="7229"/>
    <cellStyle name="Currency [0] 2 4 2" xfId="7230"/>
    <cellStyle name="Currency [0] 2 5" xfId="7231"/>
    <cellStyle name="Currency [0] 2 6" xfId="7232"/>
    <cellStyle name="Currency [0] 3" xfId="7233"/>
    <cellStyle name="Currency [0] 3 2" xfId="7234"/>
    <cellStyle name="Currency [0] 3 2 2" xfId="7235"/>
    <cellStyle name="Currency [0] 3 3" xfId="7236"/>
    <cellStyle name="Currency [0] 3 4" xfId="7237"/>
    <cellStyle name="Currency [0] 4" xfId="7238"/>
    <cellStyle name="Currency [0] 4 2" xfId="7239"/>
    <cellStyle name="Currency [0] 5" xfId="7240"/>
    <cellStyle name="Currency [0] 5 2" xfId="7241"/>
    <cellStyle name="Currency 10" xfId="7242"/>
    <cellStyle name="Currency 10 2" xfId="7243"/>
    <cellStyle name="Currency 10 2 2" xfId="7244"/>
    <cellStyle name="Currency 10 2 3" xfId="7245"/>
    <cellStyle name="Currency 10 3" xfId="7246"/>
    <cellStyle name="Currency 10 3 2" xfId="7247"/>
    <cellStyle name="Currency 10 4" xfId="7248"/>
    <cellStyle name="Currency 10 5" xfId="7249"/>
    <cellStyle name="Currency 10 6" xfId="7250"/>
    <cellStyle name="Currency 100" xfId="7251"/>
    <cellStyle name="Currency 101" xfId="7252"/>
    <cellStyle name="Currency 102" xfId="7253"/>
    <cellStyle name="Currency 103" xfId="7254"/>
    <cellStyle name="Currency 104" xfId="7255"/>
    <cellStyle name="Currency 105" xfId="7256"/>
    <cellStyle name="Currency 106" xfId="7257"/>
    <cellStyle name="Currency 107" xfId="7258"/>
    <cellStyle name="Currency 108" xfId="7259"/>
    <cellStyle name="Currency 109" xfId="7260"/>
    <cellStyle name="Currency 11" xfId="7261"/>
    <cellStyle name="Currency 11 2" xfId="7262"/>
    <cellStyle name="Currency 11 2 2" xfId="7263"/>
    <cellStyle name="Currency 11 3" xfId="7264"/>
    <cellStyle name="Currency 11 3 2" xfId="7265"/>
    <cellStyle name="Currency 11 4" xfId="7266"/>
    <cellStyle name="Currency 11 5" xfId="7267"/>
    <cellStyle name="Currency 110" xfId="7268"/>
    <cellStyle name="Currency 111" xfId="7269"/>
    <cellStyle name="Currency 112" xfId="7270"/>
    <cellStyle name="Currency 113" xfId="7271"/>
    <cellStyle name="Currency 114" xfId="7272"/>
    <cellStyle name="Currency 115" xfId="7273"/>
    <cellStyle name="Currency 116" xfId="7274"/>
    <cellStyle name="Currency 117" xfId="7275"/>
    <cellStyle name="Currency 118" xfId="7276"/>
    <cellStyle name="Currency 119" xfId="7277"/>
    <cellStyle name="Currency 12" xfId="7278"/>
    <cellStyle name="Currency 12 2" xfId="7279"/>
    <cellStyle name="Currency 12 2 2" xfId="7280"/>
    <cellStyle name="Currency 12 3" xfId="7281"/>
    <cellStyle name="Currency 12 3 2" xfId="7282"/>
    <cellStyle name="Currency 12 4" xfId="7283"/>
    <cellStyle name="Currency 12 5" xfId="7284"/>
    <cellStyle name="Currency 120" xfId="7285"/>
    <cellStyle name="Currency 120 2" xfId="7286"/>
    <cellStyle name="Currency 120 3" xfId="7287"/>
    <cellStyle name="Currency 121" xfId="7288"/>
    <cellStyle name="Currency 121 2" xfId="7289"/>
    <cellStyle name="Currency 121 3" xfId="7290"/>
    <cellStyle name="Currency 122" xfId="7291"/>
    <cellStyle name="Currency 122 2" xfId="7292"/>
    <cellStyle name="Currency 123" xfId="7293"/>
    <cellStyle name="Currency 123 2" xfId="7294"/>
    <cellStyle name="Currency 124" xfId="7295"/>
    <cellStyle name="Currency 124 2" xfId="7296"/>
    <cellStyle name="Currency 125" xfId="7297"/>
    <cellStyle name="Currency 126" xfId="7298"/>
    <cellStyle name="Currency 127" xfId="7299"/>
    <cellStyle name="Currency 128" xfId="7300"/>
    <cellStyle name="Currency 129" xfId="7301"/>
    <cellStyle name="Currency 13" xfId="7302"/>
    <cellStyle name="Currency 13 2" xfId="7303"/>
    <cellStyle name="Currency 13 2 2" xfId="7304"/>
    <cellStyle name="Currency 13 3" xfId="7305"/>
    <cellStyle name="Currency 13 3 2" xfId="7306"/>
    <cellStyle name="Currency 13 4" xfId="7307"/>
    <cellStyle name="Currency 13 5" xfId="7308"/>
    <cellStyle name="Currency 130" xfId="7309"/>
    <cellStyle name="Currency 131" xfId="7310"/>
    <cellStyle name="Currency 132" xfId="7311"/>
    <cellStyle name="Currency 133" xfId="7312"/>
    <cellStyle name="Currency 134" xfId="7313"/>
    <cellStyle name="Currency 135" xfId="7314"/>
    <cellStyle name="Currency 136" xfId="7315"/>
    <cellStyle name="Currency 136 2" xfId="7316"/>
    <cellStyle name="Currency 137" xfId="7317"/>
    <cellStyle name="Currency 138" xfId="7318"/>
    <cellStyle name="Currency 139" xfId="7319"/>
    <cellStyle name="Currency 14" xfId="7320"/>
    <cellStyle name="Currency 14 2" xfId="7321"/>
    <cellStyle name="Currency 14 2 2" xfId="7322"/>
    <cellStyle name="Currency 14 3" xfId="7323"/>
    <cellStyle name="Currency 14 3 2" xfId="7324"/>
    <cellStyle name="Currency 14 4" xfId="7325"/>
    <cellStyle name="Currency 14 5" xfId="7326"/>
    <cellStyle name="Currency 140" xfId="7327"/>
    <cellStyle name="Currency 141" xfId="7328"/>
    <cellStyle name="Currency 142" xfId="7329"/>
    <cellStyle name="Currency 143" xfId="7330"/>
    <cellStyle name="Currency 144" xfId="7331"/>
    <cellStyle name="Currency 145" xfId="7332"/>
    <cellStyle name="Currency 146" xfId="7333"/>
    <cellStyle name="Currency 147" xfId="7334"/>
    <cellStyle name="Currency 148" xfId="7335"/>
    <cellStyle name="Currency 149" xfId="7336"/>
    <cellStyle name="Currency 15" xfId="7337"/>
    <cellStyle name="Currency 15 2" xfId="7338"/>
    <cellStyle name="Currency 15 2 2" xfId="7339"/>
    <cellStyle name="Currency 15 3" xfId="7340"/>
    <cellStyle name="Currency 15 3 2" xfId="7341"/>
    <cellStyle name="Currency 15 4" xfId="7342"/>
    <cellStyle name="Currency 15 5" xfId="7343"/>
    <cellStyle name="Currency 150" xfId="7344"/>
    <cellStyle name="Currency 150 2" xfId="7345"/>
    <cellStyle name="Currency 151" xfId="7346"/>
    <cellStyle name="Currency 152" xfId="7347"/>
    <cellStyle name="Currency 153" xfId="7348"/>
    <cellStyle name="Currency 154" xfId="7349"/>
    <cellStyle name="Currency 155" xfId="7350"/>
    <cellStyle name="Currency 156" xfId="7351"/>
    <cellStyle name="Currency 157" xfId="7352"/>
    <cellStyle name="Currency 158" xfId="7353"/>
    <cellStyle name="Currency 159" xfId="7354"/>
    <cellStyle name="Currency 16" xfId="7355"/>
    <cellStyle name="Currency 16 2" xfId="7356"/>
    <cellStyle name="Currency 16 2 2" xfId="7357"/>
    <cellStyle name="Currency 16 3" xfId="7358"/>
    <cellStyle name="Currency 16 3 2" xfId="7359"/>
    <cellStyle name="Currency 16 4" xfId="7360"/>
    <cellStyle name="Currency 16 5" xfId="7361"/>
    <cellStyle name="Currency 160" xfId="7362"/>
    <cellStyle name="Currency 161" xfId="7363"/>
    <cellStyle name="Currency 162" xfId="7364"/>
    <cellStyle name="Currency 163" xfId="7365"/>
    <cellStyle name="Currency 164" xfId="55"/>
    <cellStyle name="Currency 17" xfId="7366"/>
    <cellStyle name="Currency 17 2" xfId="7367"/>
    <cellStyle name="Currency 17 2 2" xfId="7368"/>
    <cellStyle name="Currency 17 3" xfId="7369"/>
    <cellStyle name="Currency 17 3 2" xfId="7370"/>
    <cellStyle name="Currency 17 4" xfId="7371"/>
    <cellStyle name="Currency 17 5" xfId="7372"/>
    <cellStyle name="Currency 18" xfId="7373"/>
    <cellStyle name="Currency 18 2" xfId="7374"/>
    <cellStyle name="Currency 18 2 2" xfId="7375"/>
    <cellStyle name="Currency 18 3" xfId="7376"/>
    <cellStyle name="Currency 18 3 2" xfId="7377"/>
    <cellStyle name="Currency 18 4" xfId="7378"/>
    <cellStyle name="Currency 18 5" xfId="7379"/>
    <cellStyle name="Currency 19" xfId="7380"/>
    <cellStyle name="Currency 19 2" xfId="7381"/>
    <cellStyle name="Currency 19 2 2" xfId="7382"/>
    <cellStyle name="Currency 19 3" xfId="7383"/>
    <cellStyle name="Currency 19 3 2" xfId="7384"/>
    <cellStyle name="Currency 19 4" xfId="7385"/>
    <cellStyle name="Currency 19 5" xfId="7386"/>
    <cellStyle name="Currency 2" xfId="1406"/>
    <cellStyle name="Currency 2 2" xfId="1407"/>
    <cellStyle name="Currency 2 2 2" xfId="7387"/>
    <cellStyle name="Currency 2 2 2 2" xfId="7388"/>
    <cellStyle name="Currency 2 2 3" xfId="7389"/>
    <cellStyle name="Currency 2 3" xfId="1408"/>
    <cellStyle name="Currency 2 3 2" xfId="7390"/>
    <cellStyle name="Currency 2 3 2 2" xfId="7391"/>
    <cellStyle name="Currency 2 3 3" xfId="7392"/>
    <cellStyle name="Currency 2 4" xfId="1409"/>
    <cellStyle name="Currency 2 5" xfId="1410"/>
    <cellStyle name="Currency 20" xfId="7393"/>
    <cellStyle name="Currency 20 2" xfId="7394"/>
    <cellStyle name="Currency 20 2 2" xfId="7395"/>
    <cellStyle name="Currency 20 3" xfId="7396"/>
    <cellStyle name="Currency 20 3 2" xfId="7397"/>
    <cellStyle name="Currency 20 4" xfId="7398"/>
    <cellStyle name="Currency 20 5" xfId="7399"/>
    <cellStyle name="Currency 21" xfId="7400"/>
    <cellStyle name="Currency 21 2" xfId="7401"/>
    <cellStyle name="Currency 21 2 2" xfId="7402"/>
    <cellStyle name="Currency 21 3" xfId="7403"/>
    <cellStyle name="Currency 21 3 2" xfId="7404"/>
    <cellStyle name="Currency 21 4" xfId="7405"/>
    <cellStyle name="Currency 21 5" xfId="7406"/>
    <cellStyle name="Currency 22" xfId="7407"/>
    <cellStyle name="Currency 22 2" xfId="7408"/>
    <cellStyle name="Currency 22 2 2" xfId="7409"/>
    <cellStyle name="Currency 22 3" xfId="7410"/>
    <cellStyle name="Currency 22 3 2" xfId="7411"/>
    <cellStyle name="Currency 22 4" xfId="7412"/>
    <cellStyle name="Currency 22 5" xfId="7413"/>
    <cellStyle name="Currency 23" xfId="7414"/>
    <cellStyle name="Currency 23 2" xfId="7415"/>
    <cellStyle name="Currency 23 2 2" xfId="7416"/>
    <cellStyle name="Currency 23 3" xfId="7417"/>
    <cellStyle name="Currency 23 3 2" xfId="7418"/>
    <cellStyle name="Currency 23 4" xfId="7419"/>
    <cellStyle name="Currency 23 5" xfId="7420"/>
    <cellStyle name="Currency 24" xfId="7421"/>
    <cellStyle name="Currency 24 2" xfId="7422"/>
    <cellStyle name="Currency 24 2 2" xfId="7423"/>
    <cellStyle name="Currency 24 3" xfId="7424"/>
    <cellStyle name="Currency 24 3 2" xfId="7425"/>
    <cellStyle name="Currency 24 4" xfId="7426"/>
    <cellStyle name="Currency 24 5" xfId="7427"/>
    <cellStyle name="Currency 25" xfId="7428"/>
    <cellStyle name="Currency 25 2" xfId="7429"/>
    <cellStyle name="Currency 25 2 2" xfId="7430"/>
    <cellStyle name="Currency 25 3" xfId="7431"/>
    <cellStyle name="Currency 25 3 2" xfId="7432"/>
    <cellStyle name="Currency 25 4" xfId="7433"/>
    <cellStyle name="Currency 25 5" xfId="7434"/>
    <cellStyle name="Currency 26" xfId="7435"/>
    <cellStyle name="Currency 26 2" xfId="7436"/>
    <cellStyle name="Currency 26 2 2" xfId="7437"/>
    <cellStyle name="Currency 26 3" xfId="7438"/>
    <cellStyle name="Currency 26 3 2" xfId="7439"/>
    <cellStyle name="Currency 26 4" xfId="7440"/>
    <cellStyle name="Currency 26 5" xfId="7441"/>
    <cellStyle name="Currency 27" xfId="7442"/>
    <cellStyle name="Currency 27 2" xfId="7443"/>
    <cellStyle name="Currency 27 2 2" xfId="7444"/>
    <cellStyle name="Currency 27 2 2 2" xfId="7445"/>
    <cellStyle name="Currency 27 2 3" xfId="7446"/>
    <cellStyle name="Currency 27 2 4" xfId="7447"/>
    <cellStyle name="Currency 27 3" xfId="7448"/>
    <cellStyle name="Currency 27 3 2" xfId="7449"/>
    <cellStyle name="Currency 27 4" xfId="7450"/>
    <cellStyle name="Currency 27 4 2" xfId="7451"/>
    <cellStyle name="Currency 27 5" xfId="7452"/>
    <cellStyle name="Currency 27 6" xfId="7453"/>
    <cellStyle name="Currency 28" xfId="7454"/>
    <cellStyle name="Currency 28 2" xfId="7455"/>
    <cellStyle name="Currency 28 2 2" xfId="7456"/>
    <cellStyle name="Currency 28 3" xfId="7457"/>
    <cellStyle name="Currency 28 3 2" xfId="7458"/>
    <cellStyle name="Currency 28 4" xfId="7459"/>
    <cellStyle name="Currency 28 5" xfId="7460"/>
    <cellStyle name="Currency 29" xfId="7461"/>
    <cellStyle name="Currency 29 2" xfId="7462"/>
    <cellStyle name="Currency 29 2 2" xfId="7463"/>
    <cellStyle name="Currency 29 3" xfId="7464"/>
    <cellStyle name="Currency 29 3 2" xfId="7465"/>
    <cellStyle name="Currency 29 4" xfId="7466"/>
    <cellStyle name="Currency 29 5" xfId="7467"/>
    <cellStyle name="Currency 3" xfId="1411"/>
    <cellStyle name="Currency 3 2" xfId="1412"/>
    <cellStyle name="Currency 3 2 2" xfId="7468"/>
    <cellStyle name="Currency 3 2 2 2" xfId="7469"/>
    <cellStyle name="Currency 3 2 2 2 2" xfId="7470"/>
    <cellStyle name="Currency 3 2 2 3" xfId="7471"/>
    <cellStyle name="Currency 3 2 2 3 2" xfId="7472"/>
    <cellStyle name="Currency 3 2 2 4" xfId="7473"/>
    <cellStyle name="Currency 3 2 2 5" xfId="7474"/>
    <cellStyle name="Currency 3 2 2 6" xfId="7475"/>
    <cellStyle name="Currency 3 2 3" xfId="7476"/>
    <cellStyle name="Currency 3 2 3 2" xfId="7477"/>
    <cellStyle name="Currency 3 2 3 3" xfId="7478"/>
    <cellStyle name="Currency 3 2 3 4" xfId="7479"/>
    <cellStyle name="Currency 3 2 4" xfId="7480"/>
    <cellStyle name="Currency 3 2 5" xfId="7481"/>
    <cellStyle name="Currency 3 3" xfId="1413"/>
    <cellStyle name="Currency 3 3 2" xfId="7482"/>
    <cellStyle name="Currency 3 3 2 2" xfId="7483"/>
    <cellStyle name="Currency 3 3 3" xfId="7484"/>
    <cellStyle name="Currency 3 3 3 2" xfId="7485"/>
    <cellStyle name="Currency 3 3 4" xfId="7486"/>
    <cellStyle name="Currency 3 3 5" xfId="7487"/>
    <cellStyle name="Currency 3 4" xfId="1414"/>
    <cellStyle name="Currency 3 4 2" xfId="7488"/>
    <cellStyle name="Currency 3 4 3" xfId="7489"/>
    <cellStyle name="Currency 3 4 3 2" xfId="7490"/>
    <cellStyle name="Currency 3 4 4" xfId="7491"/>
    <cellStyle name="Currency 3 4 5" xfId="7492"/>
    <cellStyle name="Currency 3 5" xfId="1415"/>
    <cellStyle name="Currency 3 6" xfId="7493"/>
    <cellStyle name="Currency 30" xfId="7494"/>
    <cellStyle name="Currency 30 2" xfId="7495"/>
    <cellStyle name="Currency 30 2 2" xfId="7496"/>
    <cellStyle name="Currency 30 3" xfId="7497"/>
    <cellStyle name="Currency 30 3 2" xfId="7498"/>
    <cellStyle name="Currency 30 4" xfId="7499"/>
    <cellStyle name="Currency 30 5" xfId="7500"/>
    <cellStyle name="Currency 31" xfId="7501"/>
    <cellStyle name="Currency 31 2" xfId="7502"/>
    <cellStyle name="Currency 31 2 2" xfId="7503"/>
    <cellStyle name="Currency 31 3" xfId="7504"/>
    <cellStyle name="Currency 31 3 2" xfId="7505"/>
    <cellStyle name="Currency 31 4" xfId="7506"/>
    <cellStyle name="Currency 31 5" xfId="7507"/>
    <cellStyle name="Currency 32" xfId="7508"/>
    <cellStyle name="Currency 32 2" xfId="7509"/>
    <cellStyle name="Currency 32 2 2" xfId="7510"/>
    <cellStyle name="Currency 32 3" xfId="7511"/>
    <cellStyle name="Currency 32 3 2" xfId="7512"/>
    <cellStyle name="Currency 32 4" xfId="7513"/>
    <cellStyle name="Currency 32 5" xfId="7514"/>
    <cellStyle name="Currency 33" xfId="7515"/>
    <cellStyle name="Currency 34" xfId="7516"/>
    <cellStyle name="Currency 35" xfId="7517"/>
    <cellStyle name="Currency 36" xfId="7518"/>
    <cellStyle name="Currency 37" xfId="7519"/>
    <cellStyle name="Currency 38" xfId="7520"/>
    <cellStyle name="Currency 39" xfId="7521"/>
    <cellStyle name="Currency 4" xfId="1416"/>
    <cellStyle name="Currency 4 2" xfId="7522"/>
    <cellStyle name="Currency 4 2 2" xfId="7523"/>
    <cellStyle name="Currency 4 2 2 2" xfId="7524"/>
    <cellStyle name="Currency 4 2 2 2 2" xfId="7525"/>
    <cellStyle name="Currency 4 2 2 3" xfId="7526"/>
    <cellStyle name="Currency 4 2 2 4" xfId="7527"/>
    <cellStyle name="Currency 4 2 3" xfId="7528"/>
    <cellStyle name="Currency 4 2 3 2" xfId="7529"/>
    <cellStyle name="Currency 4 2 3 2 2" xfId="7530"/>
    <cellStyle name="Currency 4 2 3 3" xfId="7531"/>
    <cellStyle name="Currency 4 2 3 4" xfId="7532"/>
    <cellStyle name="Currency 4 2 4" xfId="7533"/>
    <cellStyle name="Currency 4 2 4 2" xfId="7534"/>
    <cellStyle name="Currency 4 2 4 3" xfId="7535"/>
    <cellStyle name="Currency 4 2 4 4" xfId="7536"/>
    <cellStyle name="Currency 4 2 5" xfId="7537"/>
    <cellStyle name="Currency 4 2 6" xfId="7538"/>
    <cellStyle name="Currency 4 3" xfId="7539"/>
    <cellStyle name="Currency 4 3 2" xfId="7540"/>
    <cellStyle name="Currency 4 3 2 2" xfId="7541"/>
    <cellStyle name="Currency 4 3 3" xfId="7542"/>
    <cellStyle name="Currency 4 3 4" xfId="7543"/>
    <cellStyle name="Currency 4 3 5" xfId="7544"/>
    <cellStyle name="Currency 4 4" xfId="7545"/>
    <cellStyle name="Currency 4 4 2" xfId="7546"/>
    <cellStyle name="Currency 4 4 2 2" xfId="7547"/>
    <cellStyle name="Currency 4 4 3" xfId="7548"/>
    <cellStyle name="Currency 4 4 4" xfId="7549"/>
    <cellStyle name="Currency 4 5" xfId="7550"/>
    <cellStyle name="Currency 40" xfId="7551"/>
    <cellStyle name="Currency 41" xfId="7552"/>
    <cellStyle name="Currency 42" xfId="7553"/>
    <cellStyle name="Currency 43" xfId="7554"/>
    <cellStyle name="Currency 44" xfId="7555"/>
    <cellStyle name="Currency 45" xfId="7556"/>
    <cellStyle name="Currency 46" xfId="7557"/>
    <cellStyle name="Currency 47" xfId="7558"/>
    <cellStyle name="Currency 48" xfId="7559"/>
    <cellStyle name="Currency 49" xfId="7560"/>
    <cellStyle name="Currency 5" xfId="2159"/>
    <cellStyle name="Currency 5 2" xfId="7561"/>
    <cellStyle name="Currency 5 2 2" xfId="7562"/>
    <cellStyle name="Currency 5 2 2 2" xfId="7563"/>
    <cellStyle name="Currency 5 2 2 3" xfId="7564"/>
    <cellStyle name="Currency 5 2 2 4" xfId="7565"/>
    <cellStyle name="Currency 5 2 3" xfId="7566"/>
    <cellStyle name="Currency 5 2 3 2" xfId="7567"/>
    <cellStyle name="Currency 5 2 4" xfId="7568"/>
    <cellStyle name="Currency 5 2 5" xfId="7569"/>
    <cellStyle name="Currency 5 2 6" xfId="7570"/>
    <cellStyle name="Currency 5 2 7" xfId="7571"/>
    <cellStyle name="Currency 5 3" xfId="7572"/>
    <cellStyle name="Currency 5 3 2" xfId="7573"/>
    <cellStyle name="Currency 5 3 3" xfId="7574"/>
    <cellStyle name="Currency 5 3 4" xfId="7575"/>
    <cellStyle name="Currency 5 4" xfId="7576"/>
    <cellStyle name="Currency 5 4 2" xfId="7577"/>
    <cellStyle name="Currency 5 5" xfId="7578"/>
    <cellStyle name="Currency 5 6" xfId="7579"/>
    <cellStyle name="Currency 5 7" xfId="7580"/>
    <cellStyle name="Currency 5 8" xfId="7581"/>
    <cellStyle name="Currency 50" xfId="7582"/>
    <cellStyle name="Currency 51" xfId="7583"/>
    <cellStyle name="Currency 52" xfId="7584"/>
    <cellStyle name="Currency 53" xfId="7585"/>
    <cellStyle name="Currency 54" xfId="7586"/>
    <cellStyle name="Currency 55" xfId="7587"/>
    <cellStyle name="Currency 56" xfId="7588"/>
    <cellStyle name="Currency 56 2" xfId="7589"/>
    <cellStyle name="Currency 57" xfId="7590"/>
    <cellStyle name="Currency 57 2" xfId="7591"/>
    <cellStyle name="Currency 58" xfId="7592"/>
    <cellStyle name="Currency 59" xfId="7593"/>
    <cellStyle name="Currency 6" xfId="7594"/>
    <cellStyle name="Currency 6 2" xfId="7595"/>
    <cellStyle name="Currency 6 2 2" xfId="7596"/>
    <cellStyle name="Currency 6 2 2 2" xfId="7597"/>
    <cellStyle name="Currency 6 2 2 2 2" xfId="7598"/>
    <cellStyle name="Currency 6 2 2 2 3" xfId="7599"/>
    <cellStyle name="Currency 6 2 2 3" xfId="7600"/>
    <cellStyle name="Currency 6 2 2 3 2" xfId="7601"/>
    <cellStyle name="Currency 6 2 2 4" xfId="7602"/>
    <cellStyle name="Currency 6 2 2 5" xfId="7603"/>
    <cellStyle name="Currency 6 2 2 6" xfId="7604"/>
    <cellStyle name="Currency 6 2 3" xfId="7605"/>
    <cellStyle name="Currency 6 2 3 2" xfId="7606"/>
    <cellStyle name="Currency 6 2 3 3" xfId="7607"/>
    <cellStyle name="Currency 6 2 4" xfId="7608"/>
    <cellStyle name="Currency 6 2 4 2" xfId="7609"/>
    <cellStyle name="Currency 6 2 5" xfId="7610"/>
    <cellStyle name="Currency 6 3" xfId="7611"/>
    <cellStyle name="Currency 6 3 2" xfId="7612"/>
    <cellStyle name="Currency 6 3 2 2" xfId="7613"/>
    <cellStyle name="Currency 6 3 2 2 2" xfId="7614"/>
    <cellStyle name="Currency 6 3 2 3" xfId="7615"/>
    <cellStyle name="Currency 6 3 2 4" xfId="7616"/>
    <cellStyle name="Currency 6 3 2 5" xfId="7617"/>
    <cellStyle name="Currency 6 3 3" xfId="7618"/>
    <cellStyle name="Currency 6 3 3 2" xfId="7619"/>
    <cellStyle name="Currency 6 3 4" xfId="7620"/>
    <cellStyle name="Currency 6 3 5" xfId="7621"/>
    <cellStyle name="Currency 6 3 6" xfId="7622"/>
    <cellStyle name="Currency 6 3 7" xfId="7623"/>
    <cellStyle name="Currency 6 4" xfId="7624"/>
    <cellStyle name="Currency 6 4 2" xfId="7625"/>
    <cellStyle name="Currency 6 4 2 2" xfId="7626"/>
    <cellStyle name="Currency 6 4 3" xfId="7627"/>
    <cellStyle name="Currency 6 4 4" xfId="7628"/>
    <cellStyle name="Currency 6 4 5" xfId="7629"/>
    <cellStyle name="Currency 6 5" xfId="7630"/>
    <cellStyle name="Currency 6 5 2" xfId="7631"/>
    <cellStyle name="Currency 6 5 2 2" xfId="7632"/>
    <cellStyle name="Currency 6 5 3" xfId="7633"/>
    <cellStyle name="Currency 6 5 4" xfId="7634"/>
    <cellStyle name="Currency 6 5 5" xfId="7635"/>
    <cellStyle name="Currency 6 6" xfId="7636"/>
    <cellStyle name="Currency 6 6 2" xfId="7637"/>
    <cellStyle name="Currency 6 6 2 2" xfId="7638"/>
    <cellStyle name="Currency 6 6 3" xfId="7639"/>
    <cellStyle name="Currency 6 6 4" xfId="7640"/>
    <cellStyle name="Currency 6 6 5" xfId="7641"/>
    <cellStyle name="Currency 6 7" xfId="7642"/>
    <cellStyle name="Currency 60" xfId="7643"/>
    <cellStyle name="Currency 61" xfId="7644"/>
    <cellStyle name="Currency 62" xfId="7645"/>
    <cellStyle name="Currency 62 2" xfId="7646"/>
    <cellStyle name="Currency 63" xfId="7647"/>
    <cellStyle name="Currency 64" xfId="7648"/>
    <cellStyle name="Currency 65" xfId="7649"/>
    <cellStyle name="Currency 66" xfId="7650"/>
    <cellStyle name="Currency 67" xfId="7651"/>
    <cellStyle name="Currency 68" xfId="7652"/>
    <cellStyle name="Currency 69" xfId="7653"/>
    <cellStyle name="Currency 7" xfId="7654"/>
    <cellStyle name="Currency 7 2" xfId="7655"/>
    <cellStyle name="Currency 7 2 2" xfId="7656"/>
    <cellStyle name="Currency 7 2 2 2" xfId="7657"/>
    <cellStyle name="Currency 7 2 3" xfId="7658"/>
    <cellStyle name="Currency 7 2 4" xfId="7659"/>
    <cellStyle name="Currency 7 3" xfId="7660"/>
    <cellStyle name="Currency 7 3 2" xfId="7661"/>
    <cellStyle name="Currency 7 3 3" xfId="7662"/>
    <cellStyle name="Currency 7 3 4" xfId="7663"/>
    <cellStyle name="Currency 7 4" xfId="7664"/>
    <cellStyle name="Currency 7 4 2" xfId="7665"/>
    <cellStyle name="Currency 7 5" xfId="7666"/>
    <cellStyle name="Currency 7 6" xfId="7667"/>
    <cellStyle name="Currency 7 7" xfId="7668"/>
    <cellStyle name="Currency 7 8" xfId="7669"/>
    <cellStyle name="Currency 70" xfId="7670"/>
    <cellStyle name="Currency 71" xfId="7671"/>
    <cellStyle name="Currency 72" xfId="7672"/>
    <cellStyle name="Currency 73" xfId="7673"/>
    <cellStyle name="Currency 74" xfId="7674"/>
    <cellStyle name="Currency 75" xfId="7675"/>
    <cellStyle name="Currency 76" xfId="7676"/>
    <cellStyle name="Currency 77" xfId="7677"/>
    <cellStyle name="Currency 78" xfId="7678"/>
    <cellStyle name="Currency 79" xfId="7679"/>
    <cellStyle name="Currency 8" xfId="7680"/>
    <cellStyle name="Currency 8 2" xfId="7681"/>
    <cellStyle name="Currency 8 2 2" xfId="7682"/>
    <cellStyle name="Currency 8 2 3" xfId="7683"/>
    <cellStyle name="Currency 8 2 3 2" xfId="7684"/>
    <cellStyle name="Currency 8 2 4" xfId="7685"/>
    <cellStyle name="Currency 8 2 5" xfId="7686"/>
    <cellStyle name="Currency 8 3" xfId="7687"/>
    <cellStyle name="Currency 8 3 2" xfId="7688"/>
    <cellStyle name="Currency 8 3 3" xfId="7689"/>
    <cellStyle name="Currency 8 4" xfId="7690"/>
    <cellStyle name="Currency 8 5" xfId="7691"/>
    <cellStyle name="Currency 8 6" xfId="7692"/>
    <cellStyle name="Currency 8 7" xfId="7693"/>
    <cellStyle name="Currency 80" xfId="7694"/>
    <cellStyle name="Currency 81" xfId="7695"/>
    <cellStyle name="Currency 82" xfId="7696"/>
    <cellStyle name="Currency 83" xfId="7697"/>
    <cellStyle name="Currency 84" xfId="7698"/>
    <cellStyle name="Currency 85" xfId="7699"/>
    <cellStyle name="Currency 86" xfId="7700"/>
    <cellStyle name="Currency 87" xfId="7701"/>
    <cellStyle name="Currency 88" xfId="7702"/>
    <cellStyle name="Currency 89" xfId="7703"/>
    <cellStyle name="Currency 9" xfId="7704"/>
    <cellStyle name="Currency 9 2" xfId="7705"/>
    <cellStyle name="Currency 9 2 2" xfId="7706"/>
    <cellStyle name="Currency 9 2 3" xfId="7707"/>
    <cellStyle name="Currency 9 3" xfId="7708"/>
    <cellStyle name="Currency 9 3 2" xfId="7709"/>
    <cellStyle name="Currency 9 4" xfId="7710"/>
    <cellStyle name="Currency 9 5" xfId="7711"/>
    <cellStyle name="Currency 9 6" xfId="7712"/>
    <cellStyle name="Currency 90" xfId="7713"/>
    <cellStyle name="Currency 91" xfId="7714"/>
    <cellStyle name="Currency 92" xfId="7715"/>
    <cellStyle name="Currency 93" xfId="7716"/>
    <cellStyle name="Currency 94" xfId="7717"/>
    <cellStyle name="Currency 95" xfId="7718"/>
    <cellStyle name="Currency 96" xfId="7719"/>
    <cellStyle name="Currency 97" xfId="7720"/>
    <cellStyle name="Currency 98" xfId="7721"/>
    <cellStyle name="Currency 99" xfId="7722"/>
    <cellStyle name="Currency0" xfId="9"/>
    <cellStyle name="Currency0 2" xfId="7723"/>
    <cellStyle name="Currency0 2 2" xfId="7724"/>
    <cellStyle name="Currency0 2 3" xfId="7725"/>
    <cellStyle name="Currency0 3" xfId="7726"/>
    <cellStyle name="Currency0 3 2" xfId="7727"/>
    <cellStyle name="Currency0 3 3" xfId="7728"/>
    <cellStyle name="Custom - Style1" xfId="7729"/>
    <cellStyle name="Data   - Style2" xfId="7730"/>
    <cellStyle name="Date" xfId="10"/>
    <cellStyle name="Date 2" xfId="7731"/>
    <cellStyle name="Date 2 2" xfId="7732"/>
    <cellStyle name="Date 2 3" xfId="7733"/>
    <cellStyle name="Date 3" xfId="7734"/>
    <cellStyle name="Date 3 2" xfId="7735"/>
    <cellStyle name="Date 3 3" xfId="7736"/>
    <cellStyle name="Date 4" xfId="1417"/>
    <cellStyle name="Eingabe" xfId="7737"/>
    <cellStyle name="Eingabe 2" xfId="7738"/>
    <cellStyle name="Euro" xfId="11"/>
    <cellStyle name="Euro 2" xfId="7740"/>
    <cellStyle name="Euro 2 2" xfId="7741"/>
    <cellStyle name="Euro 2 2 2" xfId="7742"/>
    <cellStyle name="Euro 2 3" xfId="7743"/>
    <cellStyle name="Euro 3" xfId="7744"/>
    <cellStyle name="Euro 3 2" xfId="7745"/>
    <cellStyle name="Euro 3 3" xfId="7746"/>
    <cellStyle name="Euro 4" xfId="7739"/>
    <cellStyle name="Explanatory Text 10" xfId="1418"/>
    <cellStyle name="Explanatory Text 11" xfId="1419"/>
    <cellStyle name="Explanatory Text 12" xfId="1420"/>
    <cellStyle name="Explanatory Text 13" xfId="1421"/>
    <cellStyle name="Explanatory Text 14" xfId="1422"/>
    <cellStyle name="Explanatory Text 15" xfId="1423"/>
    <cellStyle name="Explanatory Text 16" xfId="1424"/>
    <cellStyle name="Explanatory Text 17" xfId="1425"/>
    <cellStyle name="Explanatory Text 18" xfId="1426"/>
    <cellStyle name="Explanatory Text 19" xfId="1427"/>
    <cellStyle name="Explanatory Text 2" xfId="1428"/>
    <cellStyle name="Explanatory Text 2 2" xfId="1429"/>
    <cellStyle name="Explanatory Text 2 2 2" xfId="1430"/>
    <cellStyle name="Explanatory Text 2 2 2 2" xfId="1431"/>
    <cellStyle name="Explanatory Text 2 2 2 3" xfId="1432"/>
    <cellStyle name="Explanatory Text 2 2 2 4" xfId="1433"/>
    <cellStyle name="Explanatory Text 2 2 2 5" xfId="1434"/>
    <cellStyle name="Explanatory Text 2 2 3" xfId="1435"/>
    <cellStyle name="Explanatory Text 2 2 4" xfId="1436"/>
    <cellStyle name="Explanatory Text 2 2 5" xfId="1437"/>
    <cellStyle name="Explanatory Text 2 3" xfId="1438"/>
    <cellStyle name="Explanatory Text 2 4" xfId="1439"/>
    <cellStyle name="Explanatory Text 2 5" xfId="1440"/>
    <cellStyle name="Explanatory Text 2 6" xfId="1441"/>
    <cellStyle name="Explanatory Text 2 7" xfId="1442"/>
    <cellStyle name="Explanatory Text 2 8" xfId="1443"/>
    <cellStyle name="Explanatory Text 2 9" xfId="1444"/>
    <cellStyle name="Explanatory Text 20" xfId="1445"/>
    <cellStyle name="Explanatory Text 21" xfId="1446"/>
    <cellStyle name="Explanatory Text 22" xfId="1447"/>
    <cellStyle name="Explanatory Text 3" xfId="1448"/>
    <cellStyle name="Explanatory Text 3 2" xfId="7747"/>
    <cellStyle name="Explanatory Text 4" xfId="1449"/>
    <cellStyle name="Explanatory Text 5" xfId="1450"/>
    <cellStyle name="Explanatory Text 6" xfId="1451"/>
    <cellStyle name="Explanatory Text 7" xfId="1452"/>
    <cellStyle name="Explanatory Text 8" xfId="1453"/>
    <cellStyle name="Explanatory Text 9" xfId="1454"/>
    <cellStyle name="F2" xfId="12"/>
    <cellStyle name="F2 10" xfId="1455"/>
    <cellStyle name="F2 2" xfId="1456"/>
    <cellStyle name="F2 2 2" xfId="7748"/>
    <cellStyle name="F2 3" xfId="1457"/>
    <cellStyle name="F2 3 2" xfId="7749"/>
    <cellStyle name="F2 4" xfId="1458"/>
    <cellStyle name="F2 5" xfId="1459"/>
    <cellStyle name="F2 6" xfId="1460"/>
    <cellStyle name="F2 7" xfId="1461"/>
    <cellStyle name="F2 8" xfId="7750"/>
    <cellStyle name="F2 9" xfId="7751"/>
    <cellStyle name="F2_Regenerated Revenues LGE Gas 2008-04 with Elec Gen-Seelye final version " xfId="7752"/>
    <cellStyle name="F3" xfId="13"/>
    <cellStyle name="F3 10" xfId="1462"/>
    <cellStyle name="F3 2" xfId="1463"/>
    <cellStyle name="F3 2 2" xfId="7753"/>
    <cellStyle name="F3 3" xfId="1464"/>
    <cellStyle name="F3 3 2" xfId="7754"/>
    <cellStyle name="F3 4" xfId="1465"/>
    <cellStyle name="F3 5" xfId="1466"/>
    <cellStyle name="F3 6" xfId="1467"/>
    <cellStyle name="F3 7" xfId="1468"/>
    <cellStyle name="F3 8" xfId="7755"/>
    <cellStyle name="F3 9" xfId="7756"/>
    <cellStyle name="F3_Regenerated Revenues LGE Gas 2008-04 with Elec Gen-Seelye final version " xfId="7757"/>
    <cellStyle name="F4" xfId="14"/>
    <cellStyle name="F4 10" xfId="1469"/>
    <cellStyle name="F4 2" xfId="1470"/>
    <cellStyle name="F4 2 2" xfId="7758"/>
    <cellStyle name="F4 3" xfId="1471"/>
    <cellStyle name="F4 3 2" xfId="7759"/>
    <cellStyle name="F4 4" xfId="1472"/>
    <cellStyle name="F4 5" xfId="1473"/>
    <cellStyle name="F4 6" xfId="1474"/>
    <cellStyle name="F4 7" xfId="1475"/>
    <cellStyle name="F4 8" xfId="7760"/>
    <cellStyle name="F4 9" xfId="7761"/>
    <cellStyle name="F4_Regenerated Revenues LGE Gas 2008-04 with Elec Gen-Seelye final version " xfId="7762"/>
    <cellStyle name="F5" xfId="15"/>
    <cellStyle name="F5 10" xfId="1476"/>
    <cellStyle name="F5 2" xfId="1477"/>
    <cellStyle name="F5 2 2" xfId="7763"/>
    <cellStyle name="F5 3" xfId="1478"/>
    <cellStyle name="F5 3 2" xfId="7764"/>
    <cellStyle name="F5 4" xfId="1479"/>
    <cellStyle name="F5 5" xfId="1480"/>
    <cellStyle name="F5 6" xfId="1481"/>
    <cellStyle name="F5 7" xfId="1482"/>
    <cellStyle name="F5 8" xfId="7765"/>
    <cellStyle name="F5 9" xfId="7766"/>
    <cellStyle name="F5_Regenerated Revenues LGE Gas 2008-04 with Elec Gen-Seelye final version " xfId="7767"/>
    <cellStyle name="F6" xfId="16"/>
    <cellStyle name="F6 10" xfId="7768"/>
    <cellStyle name="F6 10 2" xfId="7769"/>
    <cellStyle name="F6 11" xfId="7770"/>
    <cellStyle name="F6 12" xfId="1483"/>
    <cellStyle name="F6 2" xfId="1484"/>
    <cellStyle name="F6 2 2" xfId="7771"/>
    <cellStyle name="F6 2 2 2" xfId="7772"/>
    <cellStyle name="F6 3" xfId="1485"/>
    <cellStyle name="F6 3 2" xfId="7773"/>
    <cellStyle name="F6 4" xfId="1486"/>
    <cellStyle name="F6 5" xfId="1487"/>
    <cellStyle name="F6 6" xfId="1488"/>
    <cellStyle name="F6 7" xfId="1489"/>
    <cellStyle name="F6 8" xfId="7774"/>
    <cellStyle name="F6 9" xfId="7775"/>
    <cellStyle name="F6_Regenerated Revenues LGE Gas 2008-04 with Elec Gen-Seelye final version " xfId="7776"/>
    <cellStyle name="F7" xfId="17"/>
    <cellStyle name="F7 10" xfId="1490"/>
    <cellStyle name="F7 2" xfId="1491"/>
    <cellStyle name="F7 2 2" xfId="7777"/>
    <cellStyle name="F7 3" xfId="1492"/>
    <cellStyle name="F7 3 2" xfId="7778"/>
    <cellStyle name="F7 4" xfId="1493"/>
    <cellStyle name="F7 5" xfId="1494"/>
    <cellStyle name="F7 6" xfId="1495"/>
    <cellStyle name="F7 7" xfId="1496"/>
    <cellStyle name="F7 8" xfId="7779"/>
    <cellStyle name="F7 9" xfId="7780"/>
    <cellStyle name="F7_Regenerated Revenues LGE Gas 2008-04 with Elec Gen-Seelye final version " xfId="7781"/>
    <cellStyle name="F8" xfId="18"/>
    <cellStyle name="F8 10" xfId="1497"/>
    <cellStyle name="F8 2" xfId="1498"/>
    <cellStyle name="F8 2 2" xfId="7782"/>
    <cellStyle name="F8 3" xfId="1499"/>
    <cellStyle name="F8 3 2" xfId="7783"/>
    <cellStyle name="F8 4" xfId="1500"/>
    <cellStyle name="F8 5" xfId="1501"/>
    <cellStyle name="F8 6" xfId="1502"/>
    <cellStyle name="F8 7" xfId="1503"/>
    <cellStyle name="F8 8" xfId="7784"/>
    <cellStyle name="F8 9" xfId="7785"/>
    <cellStyle name="F8_Regenerated Revenues LGE Gas 2008-04 with Elec Gen-Seelye final version " xfId="7786"/>
    <cellStyle name="Fixed" xfId="19"/>
    <cellStyle name="Fixed 2" xfId="7787"/>
    <cellStyle name="Fixed 2 2" xfId="7788"/>
    <cellStyle name="Fixed 2 3" xfId="7789"/>
    <cellStyle name="Fixed 3" xfId="7790"/>
    <cellStyle name="Fixed 3 2" xfId="7791"/>
    <cellStyle name="Fixed 3 3" xfId="7792"/>
    <cellStyle name="Good 10" xfId="1504"/>
    <cellStyle name="Good 11" xfId="1505"/>
    <cellStyle name="Good 12" xfId="1506"/>
    <cellStyle name="Good 13" xfId="1507"/>
    <cellStyle name="Good 14" xfId="1508"/>
    <cellStyle name="Good 15" xfId="1509"/>
    <cellStyle name="Good 16" xfId="1510"/>
    <cellStyle name="Good 17" xfId="1511"/>
    <cellStyle name="Good 17 2" xfId="7793"/>
    <cellStyle name="Good 18" xfId="1512"/>
    <cellStyle name="Good 19" xfId="1513"/>
    <cellStyle name="Good 2" xfId="1514"/>
    <cellStyle name="Good 2 2" xfId="1515"/>
    <cellStyle name="Good 2 2 2" xfId="1516"/>
    <cellStyle name="Good 2 2 2 2" xfId="1517"/>
    <cellStyle name="Good 2 2 2 3" xfId="1518"/>
    <cellStyle name="Good 2 2 2 4" xfId="1519"/>
    <cellStyle name="Good 2 2 2 5" xfId="1520"/>
    <cellStyle name="Good 2 2 3" xfId="1521"/>
    <cellStyle name="Good 2 2 4" xfId="1522"/>
    <cellStyle name="Good 2 2 5" xfId="1523"/>
    <cellStyle name="Good 2 3" xfId="1524"/>
    <cellStyle name="Good 2 4" xfId="1525"/>
    <cellStyle name="Good 2 5" xfId="1526"/>
    <cellStyle name="Good 2 6" xfId="1527"/>
    <cellStyle name="Good 2 7" xfId="1528"/>
    <cellStyle name="Good 2 8" xfId="1529"/>
    <cellStyle name="Good 2 9" xfId="1530"/>
    <cellStyle name="Good 20" xfId="1531"/>
    <cellStyle name="Good 21" xfId="1532"/>
    <cellStyle name="Good 22" xfId="1533"/>
    <cellStyle name="Good 3" xfId="1534"/>
    <cellStyle name="Good 3 2" xfId="7794"/>
    <cellStyle name="Good 4" xfId="1535"/>
    <cellStyle name="Good 5" xfId="1536"/>
    <cellStyle name="Good 6" xfId="1537"/>
    <cellStyle name="Good 7" xfId="1538"/>
    <cellStyle name="Good 8" xfId="1539"/>
    <cellStyle name="Good 9" xfId="1540"/>
    <cellStyle name="Heading 1" xfId="20" builtinId="16" customBuiltin="1"/>
    <cellStyle name="Heading 1 10" xfId="1541"/>
    <cellStyle name="Heading 1 11" xfId="1542"/>
    <cellStyle name="Heading 1 12" xfId="1543"/>
    <cellStyle name="Heading 1 13" xfId="1544"/>
    <cellStyle name="Heading 1 14" xfId="1545"/>
    <cellStyle name="Heading 1 15" xfId="1546"/>
    <cellStyle name="Heading 1 16" xfId="1547"/>
    <cellStyle name="Heading 1 17" xfId="1548"/>
    <cellStyle name="Heading 1 17 2" xfId="7795"/>
    <cellStyle name="Heading 1 17 3" xfId="7796"/>
    <cellStyle name="Heading 1 17 4" xfId="7797"/>
    <cellStyle name="Heading 1 18" xfId="1549"/>
    <cellStyle name="Heading 1 19" xfId="1550"/>
    <cellStyle name="Heading 1 2" xfId="1551"/>
    <cellStyle name="Heading 1 2 2" xfId="1552"/>
    <cellStyle name="Heading 1 2 2 2" xfId="1553"/>
    <cellStyle name="Heading 1 2 2 2 2" xfId="1554"/>
    <cellStyle name="Heading 1 2 2 2 3" xfId="1555"/>
    <cellStyle name="Heading 1 2 2 2 4" xfId="1556"/>
    <cellStyle name="Heading 1 2 2 2 5" xfId="1557"/>
    <cellStyle name="Heading 1 2 2 3" xfId="1558"/>
    <cellStyle name="Heading 1 2 2 4" xfId="1559"/>
    <cellStyle name="Heading 1 2 2 5" xfId="1560"/>
    <cellStyle name="Heading 1 2 3" xfId="1561"/>
    <cellStyle name="Heading 1 2 4" xfId="1562"/>
    <cellStyle name="Heading 1 2 5" xfId="1563"/>
    <cellStyle name="Heading 1 2 6" xfId="1564"/>
    <cellStyle name="Heading 1 2 7" xfId="1565"/>
    <cellStyle name="Heading 1 2 8" xfId="1566"/>
    <cellStyle name="Heading 1 2 9" xfId="1567"/>
    <cellStyle name="Heading 1 20" xfId="1568"/>
    <cellStyle name="Heading 1 21" xfId="1569"/>
    <cellStyle name="Heading 1 22" xfId="1570"/>
    <cellStyle name="Heading 1 23" xfId="1571"/>
    <cellStyle name="Heading 1 24" xfId="1572"/>
    <cellStyle name="Heading 1 3" xfId="1573"/>
    <cellStyle name="Heading 1 3 2" xfId="7798"/>
    <cellStyle name="Heading 1 3 2 2" xfId="7799"/>
    <cellStyle name="Heading 1 4" xfId="1574"/>
    <cellStyle name="Heading 1 5" xfId="1575"/>
    <cellStyle name="Heading 1 6" xfId="1576"/>
    <cellStyle name="Heading 1 7" xfId="1577"/>
    <cellStyle name="Heading 1 8" xfId="1578"/>
    <cellStyle name="Heading 1 9" xfId="1579"/>
    <cellStyle name="Heading 2" xfId="21" builtinId="17" customBuiltin="1"/>
    <cellStyle name="Heading 2 10" xfId="1580"/>
    <cellStyle name="Heading 2 11" xfId="1581"/>
    <cellStyle name="Heading 2 12" xfId="1582"/>
    <cellStyle name="Heading 2 13" xfId="1583"/>
    <cellStyle name="Heading 2 14" xfId="1584"/>
    <cellStyle name="Heading 2 15" xfId="1585"/>
    <cellStyle name="Heading 2 16" xfId="1586"/>
    <cellStyle name="Heading 2 17" xfId="1587"/>
    <cellStyle name="Heading 2 17 2" xfId="7800"/>
    <cellStyle name="Heading 2 17 3" xfId="7801"/>
    <cellStyle name="Heading 2 17 4" xfId="7802"/>
    <cellStyle name="Heading 2 18" xfId="1588"/>
    <cellStyle name="Heading 2 19" xfId="1589"/>
    <cellStyle name="Heading 2 2" xfId="1590"/>
    <cellStyle name="Heading 2 2 2" xfId="1591"/>
    <cellStyle name="Heading 2 2 2 2" xfId="1592"/>
    <cellStyle name="Heading 2 2 2 2 2" xfId="1593"/>
    <cellStyle name="Heading 2 2 2 2 3" xfId="1594"/>
    <cellStyle name="Heading 2 2 2 2 4" xfId="1595"/>
    <cellStyle name="Heading 2 2 2 2 5" xfId="1596"/>
    <cellStyle name="Heading 2 2 2 3" xfId="1597"/>
    <cellStyle name="Heading 2 2 2 4" xfId="1598"/>
    <cellStyle name="Heading 2 2 2 5" xfId="1599"/>
    <cellStyle name="Heading 2 2 3" xfId="1600"/>
    <cellStyle name="Heading 2 2 4" xfId="1601"/>
    <cellStyle name="Heading 2 2 5" xfId="1602"/>
    <cellStyle name="Heading 2 2 6" xfId="1603"/>
    <cellStyle name="Heading 2 2 7" xfId="1604"/>
    <cellStyle name="Heading 2 2 8" xfId="1605"/>
    <cellStyle name="Heading 2 2 9" xfId="1606"/>
    <cellStyle name="Heading 2 20" xfId="1607"/>
    <cellStyle name="Heading 2 21" xfId="1608"/>
    <cellStyle name="Heading 2 22" xfId="1609"/>
    <cellStyle name="Heading 2 23" xfId="1610"/>
    <cellStyle name="Heading 2 24" xfId="1611"/>
    <cellStyle name="Heading 2 3" xfId="1612"/>
    <cellStyle name="Heading 2 3 2" xfId="7803"/>
    <cellStyle name="Heading 2 3 2 2" xfId="7804"/>
    <cellStyle name="Heading 2 4" xfId="1613"/>
    <cellStyle name="Heading 2 5" xfId="1614"/>
    <cellStyle name="Heading 2 6" xfId="1615"/>
    <cellStyle name="Heading 2 7" xfId="1616"/>
    <cellStyle name="Heading 2 8" xfId="1617"/>
    <cellStyle name="Heading 2 9" xfId="1618"/>
    <cellStyle name="Heading 3 10" xfId="1619"/>
    <cellStyle name="Heading 3 11" xfId="1620"/>
    <cellStyle name="Heading 3 12" xfId="1621"/>
    <cellStyle name="Heading 3 13" xfId="1622"/>
    <cellStyle name="Heading 3 14" xfId="1623"/>
    <cellStyle name="Heading 3 15" xfId="1624"/>
    <cellStyle name="Heading 3 16" xfId="1625"/>
    <cellStyle name="Heading 3 17" xfId="1626"/>
    <cellStyle name="Heading 3 17 2" xfId="7805"/>
    <cellStyle name="Heading 3 18" xfId="1627"/>
    <cellStyle name="Heading 3 19" xfId="1628"/>
    <cellStyle name="Heading 3 2" xfId="1629"/>
    <cellStyle name="Heading 3 2 2" xfId="1630"/>
    <cellStyle name="Heading 3 2 2 2" xfId="1631"/>
    <cellStyle name="Heading 3 2 2 2 2" xfId="1632"/>
    <cellStyle name="Heading 3 2 2 2 3" xfId="1633"/>
    <cellStyle name="Heading 3 2 2 2 4" xfId="1634"/>
    <cellStyle name="Heading 3 2 2 2 5" xfId="1635"/>
    <cellStyle name="Heading 3 2 2 3" xfId="1636"/>
    <cellStyle name="Heading 3 2 2 4" xfId="1637"/>
    <cellStyle name="Heading 3 2 2 5" xfId="1638"/>
    <cellStyle name="Heading 3 2 3" xfId="1639"/>
    <cellStyle name="Heading 3 2 4" xfId="1640"/>
    <cellStyle name="Heading 3 2 5" xfId="1641"/>
    <cellStyle name="Heading 3 2 6" xfId="1642"/>
    <cellStyle name="Heading 3 2 7" xfId="1643"/>
    <cellStyle name="Heading 3 2 8" xfId="1644"/>
    <cellStyle name="Heading 3 2 9" xfId="1645"/>
    <cellStyle name="Heading 3 20" xfId="1646"/>
    <cellStyle name="Heading 3 21" xfId="1647"/>
    <cellStyle name="Heading 3 22" xfId="1648"/>
    <cellStyle name="Heading 3 3" xfId="1649"/>
    <cellStyle name="Heading 3 3 2" xfId="7806"/>
    <cellStyle name="Heading 3 4" xfId="1650"/>
    <cellStyle name="Heading 3 4 2" xfId="7807"/>
    <cellStyle name="Heading 3 5" xfId="1651"/>
    <cellStyle name="Heading 3 5 2" xfId="7808"/>
    <cellStyle name="Heading 3 6" xfId="1652"/>
    <cellStyle name="Heading 3 7" xfId="1653"/>
    <cellStyle name="Heading 3 8" xfId="1654"/>
    <cellStyle name="Heading 3 9" xfId="1655"/>
    <cellStyle name="Heading 4 10" xfId="1656"/>
    <cellStyle name="Heading 4 11" xfId="1657"/>
    <cellStyle name="Heading 4 12" xfId="1658"/>
    <cellStyle name="Heading 4 13" xfId="1659"/>
    <cellStyle name="Heading 4 14" xfId="1660"/>
    <cellStyle name="Heading 4 15" xfId="1661"/>
    <cellStyle name="Heading 4 16" xfId="1662"/>
    <cellStyle name="Heading 4 17" xfId="1663"/>
    <cellStyle name="Heading 4 17 2" xfId="7809"/>
    <cellStyle name="Heading 4 18" xfId="1664"/>
    <cellStyle name="Heading 4 19" xfId="1665"/>
    <cellStyle name="Heading 4 2" xfId="1666"/>
    <cellStyle name="Heading 4 2 2" xfId="1667"/>
    <cellStyle name="Heading 4 2 2 2" xfId="1668"/>
    <cellStyle name="Heading 4 2 2 2 2" xfId="1669"/>
    <cellStyle name="Heading 4 2 2 2 3" xfId="1670"/>
    <cellStyle name="Heading 4 2 2 2 4" xfId="1671"/>
    <cellStyle name="Heading 4 2 2 2 5" xfId="1672"/>
    <cellStyle name="Heading 4 2 2 3" xfId="1673"/>
    <cellStyle name="Heading 4 2 2 4" xfId="1674"/>
    <cellStyle name="Heading 4 2 2 5" xfId="1675"/>
    <cellStyle name="Heading 4 2 3" xfId="1676"/>
    <cellStyle name="Heading 4 2 4" xfId="1677"/>
    <cellStyle name="Heading 4 2 5" xfId="1678"/>
    <cellStyle name="Heading 4 2 6" xfId="1679"/>
    <cellStyle name="Heading 4 2 7" xfId="1680"/>
    <cellStyle name="Heading 4 2 8" xfId="1681"/>
    <cellStyle name="Heading 4 2 9" xfId="1682"/>
    <cellStyle name="Heading 4 20" xfId="1683"/>
    <cellStyle name="Heading 4 21" xfId="1684"/>
    <cellStyle name="Heading 4 22" xfId="1685"/>
    <cellStyle name="Heading 4 3" xfId="1686"/>
    <cellStyle name="Heading 4 3 2" xfId="7810"/>
    <cellStyle name="Heading 4 4" xfId="1687"/>
    <cellStyle name="Heading 4 5" xfId="1688"/>
    <cellStyle name="Heading 4 6" xfId="1689"/>
    <cellStyle name="Heading 4 7" xfId="1690"/>
    <cellStyle name="Heading 4 8" xfId="1691"/>
    <cellStyle name="Heading 4 9" xfId="1692"/>
    <cellStyle name="Hyperlink 2" xfId="7811"/>
    <cellStyle name="Input 10" xfId="1693"/>
    <cellStyle name="Input 10 10" xfId="7812"/>
    <cellStyle name="Input 10 11" xfId="7813"/>
    <cellStyle name="Input 10 12" xfId="7814"/>
    <cellStyle name="Input 10 2" xfId="7815"/>
    <cellStyle name="Input 10 2 2" xfId="7816"/>
    <cellStyle name="Input 10 2 2 2" xfId="7817"/>
    <cellStyle name="Input 10 2 3" xfId="7818"/>
    <cellStyle name="Input 10 2 3 2" xfId="7819"/>
    <cellStyle name="Input 10 2 4" xfId="7820"/>
    <cellStyle name="Input 10 2 4 2" xfId="7821"/>
    <cellStyle name="Input 10 2 5" xfId="7822"/>
    <cellStyle name="Input 10 2 5 2" xfId="7823"/>
    <cellStyle name="Input 10 2 6" xfId="7824"/>
    <cellStyle name="Input 10 2 6 2" xfId="7825"/>
    <cellStyle name="Input 10 2 7" xfId="7826"/>
    <cellStyle name="Input 10 2 7 2" xfId="7827"/>
    <cellStyle name="Input 10 2 8" xfId="7828"/>
    <cellStyle name="Input 10 2 8 2" xfId="7829"/>
    <cellStyle name="Input 10 2 9" xfId="7830"/>
    <cellStyle name="Input 10 3" xfId="7831"/>
    <cellStyle name="Input 10 3 2" xfId="7832"/>
    <cellStyle name="Input 10 4" xfId="7833"/>
    <cellStyle name="Input 10 4 2" xfId="7834"/>
    <cellStyle name="Input 10 5" xfId="7835"/>
    <cellStyle name="Input 10 5 2" xfId="7836"/>
    <cellStyle name="Input 10 6" xfId="7837"/>
    <cellStyle name="Input 10 6 2" xfId="7838"/>
    <cellStyle name="Input 10 7" xfId="7839"/>
    <cellStyle name="Input 10 7 2" xfId="7840"/>
    <cellStyle name="Input 10 8" xfId="7841"/>
    <cellStyle name="Input 10 8 2" xfId="7842"/>
    <cellStyle name="Input 10 9" xfId="7843"/>
    <cellStyle name="Input 10 9 2" xfId="7844"/>
    <cellStyle name="Input 11" xfId="1694"/>
    <cellStyle name="Input 11 10" xfId="7845"/>
    <cellStyle name="Input 11 11" xfId="7846"/>
    <cellStyle name="Input 11 12" xfId="7847"/>
    <cellStyle name="Input 11 2" xfId="7848"/>
    <cellStyle name="Input 11 2 2" xfId="7849"/>
    <cellStyle name="Input 11 2 2 2" xfId="7850"/>
    <cellStyle name="Input 11 2 3" xfId="7851"/>
    <cellStyle name="Input 11 2 3 2" xfId="7852"/>
    <cellStyle name="Input 11 2 4" xfId="7853"/>
    <cellStyle name="Input 11 2 4 2" xfId="7854"/>
    <cellStyle name="Input 11 2 5" xfId="7855"/>
    <cellStyle name="Input 11 2 5 2" xfId="7856"/>
    <cellStyle name="Input 11 2 6" xfId="7857"/>
    <cellStyle name="Input 11 2 6 2" xfId="7858"/>
    <cellStyle name="Input 11 2 7" xfId="7859"/>
    <cellStyle name="Input 11 2 7 2" xfId="7860"/>
    <cellStyle name="Input 11 2 8" xfId="7861"/>
    <cellStyle name="Input 11 2 8 2" xfId="7862"/>
    <cellStyle name="Input 11 2 9" xfId="7863"/>
    <cellStyle name="Input 11 3" xfId="7864"/>
    <cellStyle name="Input 11 3 2" xfId="7865"/>
    <cellStyle name="Input 11 4" xfId="7866"/>
    <cellStyle name="Input 11 4 2" xfId="7867"/>
    <cellStyle name="Input 11 5" xfId="7868"/>
    <cellStyle name="Input 11 5 2" xfId="7869"/>
    <cellStyle name="Input 11 6" xfId="7870"/>
    <cellStyle name="Input 11 6 2" xfId="7871"/>
    <cellStyle name="Input 11 7" xfId="7872"/>
    <cellStyle name="Input 11 7 2" xfId="7873"/>
    <cellStyle name="Input 11 8" xfId="7874"/>
    <cellStyle name="Input 11 8 2" xfId="7875"/>
    <cellStyle name="Input 11 9" xfId="7876"/>
    <cellStyle name="Input 11 9 2" xfId="7877"/>
    <cellStyle name="Input 12" xfId="1695"/>
    <cellStyle name="Input 12 10" xfId="7878"/>
    <cellStyle name="Input 12 11" xfId="7879"/>
    <cellStyle name="Input 12 12" xfId="7880"/>
    <cellStyle name="Input 12 2" xfId="7881"/>
    <cellStyle name="Input 12 2 2" xfId="7882"/>
    <cellStyle name="Input 12 2 2 2" xfId="7883"/>
    <cellStyle name="Input 12 2 3" xfId="7884"/>
    <cellStyle name="Input 12 2 3 2" xfId="7885"/>
    <cellStyle name="Input 12 2 4" xfId="7886"/>
    <cellStyle name="Input 12 2 4 2" xfId="7887"/>
    <cellStyle name="Input 12 2 5" xfId="7888"/>
    <cellStyle name="Input 12 2 5 2" xfId="7889"/>
    <cellStyle name="Input 12 2 6" xfId="7890"/>
    <cellStyle name="Input 12 2 6 2" xfId="7891"/>
    <cellStyle name="Input 12 2 7" xfId="7892"/>
    <cellStyle name="Input 12 2 7 2" xfId="7893"/>
    <cellStyle name="Input 12 2 8" xfId="7894"/>
    <cellStyle name="Input 12 2 8 2" xfId="7895"/>
    <cellStyle name="Input 12 2 9" xfId="7896"/>
    <cellStyle name="Input 12 3" xfId="7897"/>
    <cellStyle name="Input 12 3 2" xfId="7898"/>
    <cellStyle name="Input 12 4" xfId="7899"/>
    <cellStyle name="Input 12 4 2" xfId="7900"/>
    <cellStyle name="Input 12 5" xfId="7901"/>
    <cellStyle name="Input 12 5 2" xfId="7902"/>
    <cellStyle name="Input 12 6" xfId="7903"/>
    <cellStyle name="Input 12 6 2" xfId="7904"/>
    <cellStyle name="Input 12 7" xfId="7905"/>
    <cellStyle name="Input 12 7 2" xfId="7906"/>
    <cellStyle name="Input 12 8" xfId="7907"/>
    <cellStyle name="Input 12 8 2" xfId="7908"/>
    <cellStyle name="Input 12 9" xfId="7909"/>
    <cellStyle name="Input 12 9 2" xfId="7910"/>
    <cellStyle name="Input 13" xfId="1696"/>
    <cellStyle name="Input 13 10" xfId="7911"/>
    <cellStyle name="Input 13 11" xfId="7912"/>
    <cellStyle name="Input 13 12" xfId="7913"/>
    <cellStyle name="Input 13 2" xfId="7914"/>
    <cellStyle name="Input 13 2 2" xfId="7915"/>
    <cellStyle name="Input 13 2 2 2" xfId="7916"/>
    <cellStyle name="Input 13 2 3" xfId="7917"/>
    <cellStyle name="Input 13 2 3 2" xfId="7918"/>
    <cellStyle name="Input 13 2 4" xfId="7919"/>
    <cellStyle name="Input 13 2 4 2" xfId="7920"/>
    <cellStyle name="Input 13 2 5" xfId="7921"/>
    <cellStyle name="Input 13 2 5 2" xfId="7922"/>
    <cellStyle name="Input 13 2 6" xfId="7923"/>
    <cellStyle name="Input 13 2 6 2" xfId="7924"/>
    <cellStyle name="Input 13 2 7" xfId="7925"/>
    <cellStyle name="Input 13 2 7 2" xfId="7926"/>
    <cellStyle name="Input 13 2 8" xfId="7927"/>
    <cellStyle name="Input 13 2 8 2" xfId="7928"/>
    <cellStyle name="Input 13 2 9" xfId="7929"/>
    <cellStyle name="Input 13 3" xfId="7930"/>
    <cellStyle name="Input 13 3 2" xfId="7931"/>
    <cellStyle name="Input 13 4" xfId="7932"/>
    <cellStyle name="Input 13 4 2" xfId="7933"/>
    <cellStyle name="Input 13 5" xfId="7934"/>
    <cellStyle name="Input 13 5 2" xfId="7935"/>
    <cellStyle name="Input 13 6" xfId="7936"/>
    <cellStyle name="Input 13 6 2" xfId="7937"/>
    <cellStyle name="Input 13 7" xfId="7938"/>
    <cellStyle name="Input 13 7 2" xfId="7939"/>
    <cellStyle name="Input 13 8" xfId="7940"/>
    <cellStyle name="Input 13 8 2" xfId="7941"/>
    <cellStyle name="Input 13 9" xfId="7942"/>
    <cellStyle name="Input 13 9 2" xfId="7943"/>
    <cellStyle name="Input 14" xfId="1697"/>
    <cellStyle name="Input 14 10" xfId="7944"/>
    <cellStyle name="Input 14 11" xfId="7945"/>
    <cellStyle name="Input 14 12" xfId="7946"/>
    <cellStyle name="Input 14 2" xfId="7947"/>
    <cellStyle name="Input 14 2 2" xfId="7948"/>
    <cellStyle name="Input 14 2 2 2" xfId="7949"/>
    <cellStyle name="Input 14 2 3" xfId="7950"/>
    <cellStyle name="Input 14 2 3 2" xfId="7951"/>
    <cellStyle name="Input 14 2 4" xfId="7952"/>
    <cellStyle name="Input 14 2 4 2" xfId="7953"/>
    <cellStyle name="Input 14 2 5" xfId="7954"/>
    <cellStyle name="Input 14 2 5 2" xfId="7955"/>
    <cellStyle name="Input 14 2 6" xfId="7956"/>
    <cellStyle name="Input 14 2 6 2" xfId="7957"/>
    <cellStyle name="Input 14 2 7" xfId="7958"/>
    <cellStyle name="Input 14 2 7 2" xfId="7959"/>
    <cellStyle name="Input 14 2 8" xfId="7960"/>
    <cellStyle name="Input 14 2 8 2" xfId="7961"/>
    <cellStyle name="Input 14 2 9" xfId="7962"/>
    <cellStyle name="Input 14 3" xfId="7963"/>
    <cellStyle name="Input 14 3 2" xfId="7964"/>
    <cellStyle name="Input 14 4" xfId="7965"/>
    <cellStyle name="Input 14 4 2" xfId="7966"/>
    <cellStyle name="Input 14 5" xfId="7967"/>
    <cellStyle name="Input 14 5 2" xfId="7968"/>
    <cellStyle name="Input 14 6" xfId="7969"/>
    <cellStyle name="Input 14 6 2" xfId="7970"/>
    <cellStyle name="Input 14 7" xfId="7971"/>
    <cellStyle name="Input 14 7 2" xfId="7972"/>
    <cellStyle name="Input 14 8" xfId="7973"/>
    <cellStyle name="Input 14 8 2" xfId="7974"/>
    <cellStyle name="Input 14 9" xfId="7975"/>
    <cellStyle name="Input 14 9 2" xfId="7976"/>
    <cellStyle name="Input 15" xfId="1698"/>
    <cellStyle name="Input 15 10" xfId="7977"/>
    <cellStyle name="Input 15 11" xfId="7978"/>
    <cellStyle name="Input 15 12" xfId="7979"/>
    <cellStyle name="Input 15 2" xfId="7980"/>
    <cellStyle name="Input 15 2 2" xfId="7981"/>
    <cellStyle name="Input 15 2 2 2" xfId="7982"/>
    <cellStyle name="Input 15 2 3" xfId="7983"/>
    <cellStyle name="Input 15 2 3 2" xfId="7984"/>
    <cellStyle name="Input 15 2 4" xfId="7985"/>
    <cellStyle name="Input 15 2 4 2" xfId="7986"/>
    <cellStyle name="Input 15 2 5" xfId="7987"/>
    <cellStyle name="Input 15 2 5 2" xfId="7988"/>
    <cellStyle name="Input 15 2 6" xfId="7989"/>
    <cellStyle name="Input 15 2 6 2" xfId="7990"/>
    <cellStyle name="Input 15 2 7" xfId="7991"/>
    <cellStyle name="Input 15 2 7 2" xfId="7992"/>
    <cellStyle name="Input 15 2 8" xfId="7993"/>
    <cellStyle name="Input 15 2 8 2" xfId="7994"/>
    <cellStyle name="Input 15 2 9" xfId="7995"/>
    <cellStyle name="Input 15 3" xfId="7996"/>
    <cellStyle name="Input 15 3 2" xfId="7997"/>
    <cellStyle name="Input 15 4" xfId="7998"/>
    <cellStyle name="Input 15 4 2" xfId="7999"/>
    <cellStyle name="Input 15 5" xfId="8000"/>
    <cellStyle name="Input 15 5 2" xfId="8001"/>
    <cellStyle name="Input 15 6" xfId="8002"/>
    <cellStyle name="Input 15 6 2" xfId="8003"/>
    <cellStyle name="Input 15 7" xfId="8004"/>
    <cellStyle name="Input 15 7 2" xfId="8005"/>
    <cellStyle name="Input 15 8" xfId="8006"/>
    <cellStyle name="Input 15 8 2" xfId="8007"/>
    <cellStyle name="Input 15 9" xfId="8008"/>
    <cellStyle name="Input 15 9 2" xfId="8009"/>
    <cellStyle name="Input 16" xfId="1699"/>
    <cellStyle name="Input 16 10" xfId="8010"/>
    <cellStyle name="Input 16 11" xfId="8011"/>
    <cellStyle name="Input 16 12" xfId="8012"/>
    <cellStyle name="Input 16 2" xfId="8013"/>
    <cellStyle name="Input 16 2 2" xfId="8014"/>
    <cellStyle name="Input 16 2 2 2" xfId="8015"/>
    <cellStyle name="Input 16 2 3" xfId="8016"/>
    <cellStyle name="Input 16 2 3 2" xfId="8017"/>
    <cellStyle name="Input 16 2 4" xfId="8018"/>
    <cellStyle name="Input 16 2 4 2" xfId="8019"/>
    <cellStyle name="Input 16 2 5" xfId="8020"/>
    <cellStyle name="Input 16 2 5 2" xfId="8021"/>
    <cellStyle name="Input 16 2 6" xfId="8022"/>
    <cellStyle name="Input 16 2 6 2" xfId="8023"/>
    <cellStyle name="Input 16 2 7" xfId="8024"/>
    <cellStyle name="Input 16 2 7 2" xfId="8025"/>
    <cellStyle name="Input 16 2 8" xfId="8026"/>
    <cellStyle name="Input 16 2 8 2" xfId="8027"/>
    <cellStyle name="Input 16 2 9" xfId="8028"/>
    <cellStyle name="Input 16 3" xfId="8029"/>
    <cellStyle name="Input 16 3 2" xfId="8030"/>
    <cellStyle name="Input 16 4" xfId="8031"/>
    <cellStyle name="Input 16 4 2" xfId="8032"/>
    <cellStyle name="Input 16 5" xfId="8033"/>
    <cellStyle name="Input 16 5 2" xfId="8034"/>
    <cellStyle name="Input 16 6" xfId="8035"/>
    <cellStyle name="Input 16 6 2" xfId="8036"/>
    <cellStyle name="Input 16 7" xfId="8037"/>
    <cellStyle name="Input 16 7 2" xfId="8038"/>
    <cellStyle name="Input 16 8" xfId="8039"/>
    <cellStyle name="Input 16 8 2" xfId="8040"/>
    <cellStyle name="Input 16 9" xfId="8041"/>
    <cellStyle name="Input 16 9 2" xfId="8042"/>
    <cellStyle name="Input 17" xfId="1700"/>
    <cellStyle name="Input 17 10" xfId="8043"/>
    <cellStyle name="Input 17 11" xfId="8044"/>
    <cellStyle name="Input 17 2" xfId="8045"/>
    <cellStyle name="Input 17 2 2" xfId="8046"/>
    <cellStyle name="Input 17 2 2 2" xfId="8047"/>
    <cellStyle name="Input 17 2 3" xfId="8048"/>
    <cellStyle name="Input 17 2 3 2" xfId="8049"/>
    <cellStyle name="Input 17 2 4" xfId="8050"/>
    <cellStyle name="Input 17 2 4 2" xfId="8051"/>
    <cellStyle name="Input 17 2 5" xfId="8052"/>
    <cellStyle name="Input 17 2 5 2" xfId="8053"/>
    <cellStyle name="Input 17 2 6" xfId="8054"/>
    <cellStyle name="Input 17 2 6 2" xfId="8055"/>
    <cellStyle name="Input 17 2 7" xfId="8056"/>
    <cellStyle name="Input 17 2 7 2" xfId="8057"/>
    <cellStyle name="Input 17 2 8" xfId="8058"/>
    <cellStyle name="Input 17 2 8 2" xfId="8059"/>
    <cellStyle name="Input 17 2 9" xfId="8060"/>
    <cellStyle name="Input 17 3" xfId="8061"/>
    <cellStyle name="Input 17 3 2" xfId="8062"/>
    <cellStyle name="Input 17 4" xfId="8063"/>
    <cellStyle name="Input 17 4 2" xfId="8064"/>
    <cellStyle name="Input 17 5" xfId="8065"/>
    <cellStyle name="Input 17 5 2" xfId="8066"/>
    <cellStyle name="Input 17 6" xfId="8067"/>
    <cellStyle name="Input 17 6 2" xfId="8068"/>
    <cellStyle name="Input 17 7" xfId="8069"/>
    <cellStyle name="Input 17 7 2" xfId="8070"/>
    <cellStyle name="Input 17 8" xfId="8071"/>
    <cellStyle name="Input 17 8 2" xfId="8072"/>
    <cellStyle name="Input 17 9" xfId="8073"/>
    <cellStyle name="Input 17 9 2" xfId="8074"/>
    <cellStyle name="Input 18" xfId="1701"/>
    <cellStyle name="Input 18 10" xfId="8075"/>
    <cellStyle name="Input 18 2" xfId="8076"/>
    <cellStyle name="Input 18 2 2" xfId="8077"/>
    <cellStyle name="Input 18 2 2 2" xfId="8078"/>
    <cellStyle name="Input 18 2 3" xfId="8079"/>
    <cellStyle name="Input 18 2 3 2" xfId="8080"/>
    <cellStyle name="Input 18 2 4" xfId="8081"/>
    <cellStyle name="Input 18 2 4 2" xfId="8082"/>
    <cellStyle name="Input 18 2 5" xfId="8083"/>
    <cellStyle name="Input 18 2 5 2" xfId="8084"/>
    <cellStyle name="Input 18 2 6" xfId="8085"/>
    <cellStyle name="Input 18 2 6 2" xfId="8086"/>
    <cellStyle name="Input 18 2 7" xfId="8087"/>
    <cellStyle name="Input 18 2 7 2" xfId="8088"/>
    <cellStyle name="Input 18 2 8" xfId="8089"/>
    <cellStyle name="Input 18 2 8 2" xfId="8090"/>
    <cellStyle name="Input 18 2 9" xfId="8091"/>
    <cellStyle name="Input 18 3" xfId="8092"/>
    <cellStyle name="Input 18 3 2" xfId="8093"/>
    <cellStyle name="Input 18 4" xfId="8094"/>
    <cellStyle name="Input 18 4 2" xfId="8095"/>
    <cellStyle name="Input 18 5" xfId="8096"/>
    <cellStyle name="Input 18 5 2" xfId="8097"/>
    <cellStyle name="Input 18 6" xfId="8098"/>
    <cellStyle name="Input 18 6 2" xfId="8099"/>
    <cellStyle name="Input 18 7" xfId="8100"/>
    <cellStyle name="Input 18 7 2" xfId="8101"/>
    <cellStyle name="Input 18 8" xfId="8102"/>
    <cellStyle name="Input 18 8 2" xfId="8103"/>
    <cellStyle name="Input 18 9" xfId="8104"/>
    <cellStyle name="Input 18 9 2" xfId="8105"/>
    <cellStyle name="Input 19" xfId="1702"/>
    <cellStyle name="Input 19 10" xfId="8106"/>
    <cellStyle name="Input 19 2" xfId="8107"/>
    <cellStyle name="Input 19 2 2" xfId="8108"/>
    <cellStyle name="Input 19 2 2 2" xfId="8109"/>
    <cellStyle name="Input 19 2 3" xfId="8110"/>
    <cellStyle name="Input 19 2 3 2" xfId="8111"/>
    <cellStyle name="Input 19 2 4" xfId="8112"/>
    <cellStyle name="Input 19 2 4 2" xfId="8113"/>
    <cellStyle name="Input 19 2 5" xfId="8114"/>
    <cellStyle name="Input 19 2 5 2" xfId="8115"/>
    <cellStyle name="Input 19 2 6" xfId="8116"/>
    <cellStyle name="Input 19 2 6 2" xfId="8117"/>
    <cellStyle name="Input 19 2 7" xfId="8118"/>
    <cellStyle name="Input 19 2 7 2" xfId="8119"/>
    <cellStyle name="Input 19 2 8" xfId="8120"/>
    <cellStyle name="Input 19 2 8 2" xfId="8121"/>
    <cellStyle name="Input 19 2 9" xfId="8122"/>
    <cellStyle name="Input 19 3" xfId="8123"/>
    <cellStyle name="Input 19 3 2" xfId="8124"/>
    <cellStyle name="Input 19 4" xfId="8125"/>
    <cellStyle name="Input 19 4 2" xfId="8126"/>
    <cellStyle name="Input 19 5" xfId="8127"/>
    <cellStyle name="Input 19 5 2" xfId="8128"/>
    <cellStyle name="Input 19 6" xfId="8129"/>
    <cellStyle name="Input 19 6 2" xfId="8130"/>
    <cellStyle name="Input 19 7" xfId="8131"/>
    <cellStyle name="Input 19 7 2" xfId="8132"/>
    <cellStyle name="Input 19 8" xfId="8133"/>
    <cellStyle name="Input 19 8 2" xfId="8134"/>
    <cellStyle name="Input 19 9" xfId="8135"/>
    <cellStyle name="Input 19 9 2" xfId="8136"/>
    <cellStyle name="Input 2" xfId="1703"/>
    <cellStyle name="Input 2 10" xfId="8137"/>
    <cellStyle name="Input 2 2" xfId="1704"/>
    <cellStyle name="Input 2 2 10" xfId="8138"/>
    <cellStyle name="Input 2 2 11" xfId="8139"/>
    <cellStyle name="Input 2 2 2" xfId="1705"/>
    <cellStyle name="Input 2 2 2 2" xfId="1706"/>
    <cellStyle name="Input 2 2 2 3" xfId="1707"/>
    <cellStyle name="Input 2 2 2 4" xfId="1708"/>
    <cellStyle name="Input 2 2 2 5" xfId="1709"/>
    <cellStyle name="Input 2 2 3" xfId="1710"/>
    <cellStyle name="Input 2 2 3 2" xfId="8140"/>
    <cellStyle name="Input 2 2 4" xfId="1711"/>
    <cellStyle name="Input 2 2 4 2" xfId="8141"/>
    <cellStyle name="Input 2 2 5" xfId="1712"/>
    <cellStyle name="Input 2 2 5 2" xfId="8142"/>
    <cellStyle name="Input 2 2 6" xfId="8143"/>
    <cellStyle name="Input 2 2 6 2" xfId="8144"/>
    <cellStyle name="Input 2 2 7" xfId="8145"/>
    <cellStyle name="Input 2 2 7 2" xfId="8146"/>
    <cellStyle name="Input 2 2 8" xfId="8147"/>
    <cellStyle name="Input 2 2 8 2" xfId="8148"/>
    <cellStyle name="Input 2 2 9" xfId="8149"/>
    <cellStyle name="Input 2 3" xfId="1713"/>
    <cellStyle name="Input 2 3 2" xfId="8150"/>
    <cellStyle name="Input 2 4" xfId="1714"/>
    <cellStyle name="Input 2 4 2" xfId="8151"/>
    <cellStyle name="Input 2 5" xfId="1715"/>
    <cellStyle name="Input 2 5 2" xfId="8152"/>
    <cellStyle name="Input 2 6" xfId="1716"/>
    <cellStyle name="Input 2 6 2" xfId="8153"/>
    <cellStyle name="Input 2 7" xfId="1717"/>
    <cellStyle name="Input 2 7 2" xfId="8154"/>
    <cellStyle name="Input 2 8" xfId="1718"/>
    <cellStyle name="Input 2 8 2" xfId="8155"/>
    <cellStyle name="Input 2 9" xfId="1719"/>
    <cellStyle name="Input 20" xfId="1720"/>
    <cellStyle name="Input 20 10" xfId="8156"/>
    <cellStyle name="Input 20 2" xfId="8157"/>
    <cellStyle name="Input 20 2 2" xfId="8158"/>
    <cellStyle name="Input 20 2 2 2" xfId="8159"/>
    <cellStyle name="Input 20 2 3" xfId="8160"/>
    <cellStyle name="Input 20 2 3 2" xfId="8161"/>
    <cellStyle name="Input 20 2 4" xfId="8162"/>
    <cellStyle name="Input 20 2 4 2" xfId="8163"/>
    <cellStyle name="Input 20 2 5" xfId="8164"/>
    <cellStyle name="Input 20 2 5 2" xfId="8165"/>
    <cellStyle name="Input 20 2 6" xfId="8166"/>
    <cellStyle name="Input 20 2 6 2" xfId="8167"/>
    <cellStyle name="Input 20 2 7" xfId="8168"/>
    <cellStyle name="Input 20 2 7 2" xfId="8169"/>
    <cellStyle name="Input 20 2 8" xfId="8170"/>
    <cellStyle name="Input 20 2 8 2" xfId="8171"/>
    <cellStyle name="Input 20 2 9" xfId="8172"/>
    <cellStyle name="Input 20 3" xfId="8173"/>
    <cellStyle name="Input 20 3 2" xfId="8174"/>
    <cellStyle name="Input 20 4" xfId="8175"/>
    <cellStyle name="Input 20 4 2" xfId="8176"/>
    <cellStyle name="Input 20 5" xfId="8177"/>
    <cellStyle name="Input 20 5 2" xfId="8178"/>
    <cellStyle name="Input 20 6" xfId="8179"/>
    <cellStyle name="Input 20 6 2" xfId="8180"/>
    <cellStyle name="Input 20 7" xfId="8181"/>
    <cellStyle name="Input 20 7 2" xfId="8182"/>
    <cellStyle name="Input 20 8" xfId="8183"/>
    <cellStyle name="Input 20 8 2" xfId="8184"/>
    <cellStyle name="Input 20 9" xfId="8185"/>
    <cellStyle name="Input 20 9 2" xfId="8186"/>
    <cellStyle name="Input 21" xfId="1721"/>
    <cellStyle name="Input 21 10" xfId="8187"/>
    <cellStyle name="Input 21 2" xfId="8188"/>
    <cellStyle name="Input 21 2 2" xfId="8189"/>
    <cellStyle name="Input 21 2 2 2" xfId="8190"/>
    <cellStyle name="Input 21 2 3" xfId="8191"/>
    <cellStyle name="Input 21 2 3 2" xfId="8192"/>
    <cellStyle name="Input 21 2 4" xfId="8193"/>
    <cellStyle name="Input 21 2 4 2" xfId="8194"/>
    <cellStyle name="Input 21 2 5" xfId="8195"/>
    <cellStyle name="Input 21 2 5 2" xfId="8196"/>
    <cellStyle name="Input 21 2 6" xfId="8197"/>
    <cellStyle name="Input 21 2 6 2" xfId="8198"/>
    <cellStyle name="Input 21 2 7" xfId="8199"/>
    <cellStyle name="Input 21 2 7 2" xfId="8200"/>
    <cellStyle name="Input 21 2 8" xfId="8201"/>
    <cellStyle name="Input 21 2 8 2" xfId="8202"/>
    <cellStyle name="Input 21 2 9" xfId="8203"/>
    <cellStyle name="Input 21 3" xfId="8204"/>
    <cellStyle name="Input 21 3 2" xfId="8205"/>
    <cellStyle name="Input 21 4" xfId="8206"/>
    <cellStyle name="Input 21 4 2" xfId="8207"/>
    <cellStyle name="Input 21 5" xfId="8208"/>
    <cellStyle name="Input 21 5 2" xfId="8209"/>
    <cellStyle name="Input 21 6" xfId="8210"/>
    <cellStyle name="Input 21 6 2" xfId="8211"/>
    <cellStyle name="Input 21 7" xfId="8212"/>
    <cellStyle name="Input 21 7 2" xfId="8213"/>
    <cellStyle name="Input 21 8" xfId="8214"/>
    <cellStyle name="Input 21 8 2" xfId="8215"/>
    <cellStyle name="Input 21 9" xfId="8216"/>
    <cellStyle name="Input 21 9 2" xfId="8217"/>
    <cellStyle name="Input 22" xfId="1722"/>
    <cellStyle name="Input 22 2" xfId="8218"/>
    <cellStyle name="Input 22 2 2" xfId="8219"/>
    <cellStyle name="Input 22 3" xfId="8220"/>
    <cellStyle name="Input 22 3 2" xfId="8221"/>
    <cellStyle name="Input 22 4" xfId="8222"/>
    <cellStyle name="Input 22 4 2" xfId="8223"/>
    <cellStyle name="Input 22 5" xfId="8224"/>
    <cellStyle name="Input 22 5 2" xfId="8225"/>
    <cellStyle name="Input 22 6" xfId="8226"/>
    <cellStyle name="Input 22 6 2" xfId="8227"/>
    <cellStyle name="Input 22 7" xfId="8228"/>
    <cellStyle name="Input 22 7 2" xfId="8229"/>
    <cellStyle name="Input 22 8" xfId="8230"/>
    <cellStyle name="Input 22 8 2" xfId="8231"/>
    <cellStyle name="Input 22 9" xfId="8232"/>
    <cellStyle name="Input 3" xfId="1723"/>
    <cellStyle name="Input 3 10" xfId="8233"/>
    <cellStyle name="Input 3 11" xfId="8234"/>
    <cellStyle name="Input 3 2" xfId="8235"/>
    <cellStyle name="Input 3 2 10" xfId="8236"/>
    <cellStyle name="Input 3 2 2" xfId="8237"/>
    <cellStyle name="Input 3 2 2 2" xfId="8238"/>
    <cellStyle name="Input 3 2 3" xfId="8239"/>
    <cellStyle name="Input 3 2 3 2" xfId="8240"/>
    <cellStyle name="Input 3 2 4" xfId="8241"/>
    <cellStyle name="Input 3 2 4 2" xfId="8242"/>
    <cellStyle name="Input 3 2 5" xfId="8243"/>
    <cellStyle name="Input 3 2 5 2" xfId="8244"/>
    <cellStyle name="Input 3 2 6" xfId="8245"/>
    <cellStyle name="Input 3 2 6 2" xfId="8246"/>
    <cellStyle name="Input 3 2 7" xfId="8247"/>
    <cellStyle name="Input 3 2 7 2" xfId="8248"/>
    <cellStyle name="Input 3 2 8" xfId="8249"/>
    <cellStyle name="Input 3 2 8 2" xfId="8250"/>
    <cellStyle name="Input 3 2 9" xfId="8251"/>
    <cellStyle name="Input 3 3" xfId="8252"/>
    <cellStyle name="Input 3 3 2" xfId="8253"/>
    <cellStyle name="Input 3 4" xfId="8254"/>
    <cellStyle name="Input 3 4 2" xfId="8255"/>
    <cellStyle name="Input 3 5" xfId="8256"/>
    <cellStyle name="Input 3 5 2" xfId="8257"/>
    <cellStyle name="Input 3 6" xfId="8258"/>
    <cellStyle name="Input 3 6 2" xfId="8259"/>
    <cellStyle name="Input 3 7" xfId="8260"/>
    <cellStyle name="Input 3 7 2" xfId="8261"/>
    <cellStyle name="Input 3 8" xfId="8262"/>
    <cellStyle name="Input 3 8 2" xfId="8263"/>
    <cellStyle name="Input 3 9" xfId="8264"/>
    <cellStyle name="Input 3 9 2" xfId="8265"/>
    <cellStyle name="Input 4" xfId="1724"/>
    <cellStyle name="Input 4 10" xfId="8266"/>
    <cellStyle name="Input 4 11" xfId="8267"/>
    <cellStyle name="Input 4 12" xfId="8268"/>
    <cellStyle name="Input 4 2" xfId="8269"/>
    <cellStyle name="Input 4 2 2" xfId="8270"/>
    <cellStyle name="Input 4 2 2 2" xfId="8271"/>
    <cellStyle name="Input 4 2 3" xfId="8272"/>
    <cellStyle name="Input 4 2 3 2" xfId="8273"/>
    <cellStyle name="Input 4 2 4" xfId="8274"/>
    <cellStyle name="Input 4 2 4 2" xfId="8275"/>
    <cellStyle name="Input 4 2 5" xfId="8276"/>
    <cellStyle name="Input 4 2 5 2" xfId="8277"/>
    <cellStyle name="Input 4 2 6" xfId="8278"/>
    <cellStyle name="Input 4 2 6 2" xfId="8279"/>
    <cellStyle name="Input 4 2 7" xfId="8280"/>
    <cellStyle name="Input 4 2 7 2" xfId="8281"/>
    <cellStyle name="Input 4 2 8" xfId="8282"/>
    <cellStyle name="Input 4 2 8 2" xfId="8283"/>
    <cellStyle name="Input 4 2 9" xfId="8284"/>
    <cellStyle name="Input 4 3" xfId="8285"/>
    <cellStyle name="Input 4 3 2" xfId="8286"/>
    <cellStyle name="Input 4 4" xfId="8287"/>
    <cellStyle name="Input 4 4 2" xfId="8288"/>
    <cellStyle name="Input 4 5" xfId="8289"/>
    <cellStyle name="Input 4 5 2" xfId="8290"/>
    <cellStyle name="Input 4 6" xfId="8291"/>
    <cellStyle name="Input 4 6 2" xfId="8292"/>
    <cellStyle name="Input 4 7" xfId="8293"/>
    <cellStyle name="Input 4 7 2" xfId="8294"/>
    <cellStyle name="Input 4 8" xfId="8295"/>
    <cellStyle name="Input 4 8 2" xfId="8296"/>
    <cellStyle name="Input 4 9" xfId="8297"/>
    <cellStyle name="Input 4 9 2" xfId="8298"/>
    <cellStyle name="Input 5" xfId="1725"/>
    <cellStyle name="Input 5 10" xfId="8299"/>
    <cellStyle name="Input 5 11" xfId="8300"/>
    <cellStyle name="Input 5 12" xfId="8301"/>
    <cellStyle name="Input 5 2" xfId="8302"/>
    <cellStyle name="Input 5 2 2" xfId="8303"/>
    <cellStyle name="Input 5 2 2 2" xfId="8304"/>
    <cellStyle name="Input 5 2 3" xfId="8305"/>
    <cellStyle name="Input 5 2 3 2" xfId="8306"/>
    <cellStyle name="Input 5 2 4" xfId="8307"/>
    <cellStyle name="Input 5 2 4 2" xfId="8308"/>
    <cellStyle name="Input 5 2 5" xfId="8309"/>
    <cellStyle name="Input 5 2 5 2" xfId="8310"/>
    <cellStyle name="Input 5 2 6" xfId="8311"/>
    <cellStyle name="Input 5 2 6 2" xfId="8312"/>
    <cellStyle name="Input 5 2 7" xfId="8313"/>
    <cellStyle name="Input 5 2 7 2" xfId="8314"/>
    <cellStyle name="Input 5 2 8" xfId="8315"/>
    <cellStyle name="Input 5 2 8 2" xfId="8316"/>
    <cellStyle name="Input 5 2 9" xfId="8317"/>
    <cellStyle name="Input 5 3" xfId="8318"/>
    <cellStyle name="Input 5 3 2" xfId="8319"/>
    <cellStyle name="Input 5 4" xfId="8320"/>
    <cellStyle name="Input 5 4 2" xfId="8321"/>
    <cellStyle name="Input 5 5" xfId="8322"/>
    <cellStyle name="Input 5 5 2" xfId="8323"/>
    <cellStyle name="Input 5 6" xfId="8324"/>
    <cellStyle name="Input 5 6 2" xfId="8325"/>
    <cellStyle name="Input 5 7" xfId="8326"/>
    <cellStyle name="Input 5 7 2" xfId="8327"/>
    <cellStyle name="Input 5 8" xfId="8328"/>
    <cellStyle name="Input 5 8 2" xfId="8329"/>
    <cellStyle name="Input 5 9" xfId="8330"/>
    <cellStyle name="Input 5 9 2" xfId="8331"/>
    <cellStyle name="Input 6" xfId="1726"/>
    <cellStyle name="Input 6 10" xfId="8332"/>
    <cellStyle name="Input 6 11" xfId="8333"/>
    <cellStyle name="Input 6 12" xfId="8334"/>
    <cellStyle name="Input 6 2" xfId="8335"/>
    <cellStyle name="Input 6 2 2" xfId="8336"/>
    <cellStyle name="Input 6 2 2 2" xfId="8337"/>
    <cellStyle name="Input 6 2 3" xfId="8338"/>
    <cellStyle name="Input 6 2 3 2" xfId="8339"/>
    <cellStyle name="Input 6 2 4" xfId="8340"/>
    <cellStyle name="Input 6 2 4 2" xfId="8341"/>
    <cellStyle name="Input 6 2 5" xfId="8342"/>
    <cellStyle name="Input 6 2 5 2" xfId="8343"/>
    <cellStyle name="Input 6 2 6" xfId="8344"/>
    <cellStyle name="Input 6 2 6 2" xfId="8345"/>
    <cellStyle name="Input 6 2 7" xfId="8346"/>
    <cellStyle name="Input 6 2 7 2" xfId="8347"/>
    <cellStyle name="Input 6 2 8" xfId="8348"/>
    <cellStyle name="Input 6 2 8 2" xfId="8349"/>
    <cellStyle name="Input 6 2 9" xfId="8350"/>
    <cellStyle name="Input 6 3" xfId="8351"/>
    <cellStyle name="Input 6 3 2" xfId="8352"/>
    <cellStyle name="Input 6 4" xfId="8353"/>
    <cellStyle name="Input 6 4 2" xfId="8354"/>
    <cellStyle name="Input 6 5" xfId="8355"/>
    <cellStyle name="Input 6 5 2" xfId="8356"/>
    <cellStyle name="Input 6 6" xfId="8357"/>
    <cellStyle name="Input 6 6 2" xfId="8358"/>
    <cellStyle name="Input 6 7" xfId="8359"/>
    <cellStyle name="Input 6 7 2" xfId="8360"/>
    <cellStyle name="Input 6 8" xfId="8361"/>
    <cellStyle name="Input 6 8 2" xfId="8362"/>
    <cellStyle name="Input 6 9" xfId="8363"/>
    <cellStyle name="Input 6 9 2" xfId="8364"/>
    <cellStyle name="Input 7" xfId="1727"/>
    <cellStyle name="Input 7 10" xfId="8365"/>
    <cellStyle name="Input 7 11" xfId="8366"/>
    <cellStyle name="Input 7 12" xfId="8367"/>
    <cellStyle name="Input 7 2" xfId="8368"/>
    <cellStyle name="Input 7 2 2" xfId="8369"/>
    <cellStyle name="Input 7 2 2 2" xfId="8370"/>
    <cellStyle name="Input 7 2 3" xfId="8371"/>
    <cellStyle name="Input 7 2 3 2" xfId="8372"/>
    <cellStyle name="Input 7 2 4" xfId="8373"/>
    <cellStyle name="Input 7 2 4 2" xfId="8374"/>
    <cellStyle name="Input 7 2 5" xfId="8375"/>
    <cellStyle name="Input 7 2 5 2" xfId="8376"/>
    <cellStyle name="Input 7 2 6" xfId="8377"/>
    <cellStyle name="Input 7 2 6 2" xfId="8378"/>
    <cellStyle name="Input 7 2 7" xfId="8379"/>
    <cellStyle name="Input 7 2 7 2" xfId="8380"/>
    <cellStyle name="Input 7 2 8" xfId="8381"/>
    <cellStyle name="Input 7 2 8 2" xfId="8382"/>
    <cellStyle name="Input 7 2 9" xfId="8383"/>
    <cellStyle name="Input 7 3" xfId="8384"/>
    <cellStyle name="Input 7 3 2" xfId="8385"/>
    <cellStyle name="Input 7 4" xfId="8386"/>
    <cellStyle name="Input 7 4 2" xfId="8387"/>
    <cellStyle name="Input 7 5" xfId="8388"/>
    <cellStyle name="Input 7 5 2" xfId="8389"/>
    <cellStyle name="Input 7 6" xfId="8390"/>
    <cellStyle name="Input 7 6 2" xfId="8391"/>
    <cellStyle name="Input 7 7" xfId="8392"/>
    <cellStyle name="Input 7 7 2" xfId="8393"/>
    <cellStyle name="Input 7 8" xfId="8394"/>
    <cellStyle name="Input 7 8 2" xfId="8395"/>
    <cellStyle name="Input 7 9" xfId="8396"/>
    <cellStyle name="Input 7 9 2" xfId="8397"/>
    <cellStyle name="Input 8" xfId="1728"/>
    <cellStyle name="Input 8 10" xfId="8398"/>
    <cellStyle name="Input 8 11" xfId="8399"/>
    <cellStyle name="Input 8 12" xfId="8400"/>
    <cellStyle name="Input 8 2" xfId="8401"/>
    <cellStyle name="Input 8 2 2" xfId="8402"/>
    <cellStyle name="Input 8 2 2 2" xfId="8403"/>
    <cellStyle name="Input 8 2 3" xfId="8404"/>
    <cellStyle name="Input 8 2 3 2" xfId="8405"/>
    <cellStyle name="Input 8 2 4" xfId="8406"/>
    <cellStyle name="Input 8 2 4 2" xfId="8407"/>
    <cellStyle name="Input 8 2 5" xfId="8408"/>
    <cellStyle name="Input 8 2 5 2" xfId="8409"/>
    <cellStyle name="Input 8 2 6" xfId="8410"/>
    <cellStyle name="Input 8 2 6 2" xfId="8411"/>
    <cellStyle name="Input 8 2 7" xfId="8412"/>
    <cellStyle name="Input 8 2 7 2" xfId="8413"/>
    <cellStyle name="Input 8 2 8" xfId="8414"/>
    <cellStyle name="Input 8 2 8 2" xfId="8415"/>
    <cellStyle name="Input 8 2 9" xfId="8416"/>
    <cellStyle name="Input 8 3" xfId="8417"/>
    <cellStyle name="Input 8 3 2" xfId="8418"/>
    <cellStyle name="Input 8 4" xfId="8419"/>
    <cellStyle name="Input 8 4 2" xfId="8420"/>
    <cellStyle name="Input 8 5" xfId="8421"/>
    <cellStyle name="Input 8 5 2" xfId="8422"/>
    <cellStyle name="Input 8 6" xfId="8423"/>
    <cellStyle name="Input 8 6 2" xfId="8424"/>
    <cellStyle name="Input 8 7" xfId="8425"/>
    <cellStyle name="Input 8 7 2" xfId="8426"/>
    <cellStyle name="Input 8 8" xfId="8427"/>
    <cellStyle name="Input 8 8 2" xfId="8428"/>
    <cellStyle name="Input 8 9" xfId="8429"/>
    <cellStyle name="Input 8 9 2" xfId="8430"/>
    <cellStyle name="Input 9" xfId="1729"/>
    <cellStyle name="Input 9 10" xfId="8431"/>
    <cellStyle name="Input 9 11" xfId="8432"/>
    <cellStyle name="Input 9 12" xfId="8433"/>
    <cellStyle name="Input 9 2" xfId="8434"/>
    <cellStyle name="Input 9 2 2" xfId="8435"/>
    <cellStyle name="Input 9 2 2 2" xfId="8436"/>
    <cellStyle name="Input 9 2 3" xfId="8437"/>
    <cellStyle name="Input 9 2 3 2" xfId="8438"/>
    <cellStyle name="Input 9 2 4" xfId="8439"/>
    <cellStyle name="Input 9 2 4 2" xfId="8440"/>
    <cellStyle name="Input 9 2 5" xfId="8441"/>
    <cellStyle name="Input 9 2 5 2" xfId="8442"/>
    <cellStyle name="Input 9 2 6" xfId="8443"/>
    <cellStyle name="Input 9 2 6 2" xfId="8444"/>
    <cellStyle name="Input 9 2 7" xfId="8445"/>
    <cellStyle name="Input 9 2 7 2" xfId="8446"/>
    <cellStyle name="Input 9 2 8" xfId="8447"/>
    <cellStyle name="Input 9 2 8 2" xfId="8448"/>
    <cellStyle name="Input 9 2 9" xfId="8449"/>
    <cellStyle name="Input 9 3" xfId="8450"/>
    <cellStyle name="Input 9 3 2" xfId="8451"/>
    <cellStyle name="Input 9 4" xfId="8452"/>
    <cellStyle name="Input 9 4 2" xfId="8453"/>
    <cellStyle name="Input 9 5" xfId="8454"/>
    <cellStyle name="Input 9 5 2" xfId="8455"/>
    <cellStyle name="Input 9 6" xfId="8456"/>
    <cellStyle name="Input 9 6 2" xfId="8457"/>
    <cellStyle name="Input 9 7" xfId="8458"/>
    <cellStyle name="Input 9 7 2" xfId="8459"/>
    <cellStyle name="Input 9 8" xfId="8460"/>
    <cellStyle name="Input 9 8 2" xfId="8461"/>
    <cellStyle name="Input 9 9" xfId="8462"/>
    <cellStyle name="Input 9 9 2" xfId="8463"/>
    <cellStyle name="Labels - Style3" xfId="8464"/>
    <cellStyle name="LineItemPrompt" xfId="22"/>
    <cellStyle name="LineItemPrompt 2" xfId="8466"/>
    <cellStyle name="LineItemPrompt 2 2" xfId="8467"/>
    <cellStyle name="LineItemPrompt 2 3" xfId="8468"/>
    <cellStyle name="LineItemPrompt 3" xfId="8469"/>
    <cellStyle name="LineItemPrompt 4" xfId="8465"/>
    <cellStyle name="LineItemValue" xfId="23"/>
    <cellStyle name="LineItemValue 2" xfId="8471"/>
    <cellStyle name="LineItemValue 2 2" xfId="8472"/>
    <cellStyle name="LineItemValue 2 3" xfId="8473"/>
    <cellStyle name="LineItemValue 3" xfId="8474"/>
    <cellStyle name="LineItemValue 4" xfId="8475"/>
    <cellStyle name="LineItemValue 5" xfId="8470"/>
    <cellStyle name="Linked Cell 10" xfId="1730"/>
    <cellStyle name="Linked Cell 11" xfId="1731"/>
    <cellStyle name="Linked Cell 12" xfId="1732"/>
    <cellStyle name="Linked Cell 13" xfId="1733"/>
    <cellStyle name="Linked Cell 14" xfId="1734"/>
    <cellStyle name="Linked Cell 15" xfId="1735"/>
    <cellStyle name="Linked Cell 16" xfId="1736"/>
    <cellStyle name="Linked Cell 17" xfId="1737"/>
    <cellStyle name="Linked Cell 17 2" xfId="8476"/>
    <cellStyle name="Linked Cell 18" xfId="1738"/>
    <cellStyle name="Linked Cell 19" xfId="1739"/>
    <cellStyle name="Linked Cell 2" xfId="1740"/>
    <cellStyle name="Linked Cell 2 2" xfId="1741"/>
    <cellStyle name="Linked Cell 2 2 2" xfId="1742"/>
    <cellStyle name="Linked Cell 2 2 2 2" xfId="1743"/>
    <cellStyle name="Linked Cell 2 2 2 3" xfId="1744"/>
    <cellStyle name="Linked Cell 2 2 2 4" xfId="1745"/>
    <cellStyle name="Linked Cell 2 2 2 5" xfId="1746"/>
    <cellStyle name="Linked Cell 2 2 3" xfId="1747"/>
    <cellStyle name="Linked Cell 2 2 4" xfId="1748"/>
    <cellStyle name="Linked Cell 2 2 5" xfId="1749"/>
    <cellStyle name="Linked Cell 2 3" xfId="1750"/>
    <cellStyle name="Linked Cell 2 4" xfId="1751"/>
    <cellStyle name="Linked Cell 2 5" xfId="1752"/>
    <cellStyle name="Linked Cell 2 6" xfId="1753"/>
    <cellStyle name="Linked Cell 2 7" xfId="1754"/>
    <cellStyle name="Linked Cell 2 8" xfId="1755"/>
    <cellStyle name="Linked Cell 2 9" xfId="1756"/>
    <cellStyle name="Linked Cell 20" xfId="1757"/>
    <cellStyle name="Linked Cell 21" xfId="1758"/>
    <cellStyle name="Linked Cell 22" xfId="1759"/>
    <cellStyle name="Linked Cell 3" xfId="1760"/>
    <cellStyle name="Linked Cell 3 2" xfId="8477"/>
    <cellStyle name="Linked Cell 4" xfId="1761"/>
    <cellStyle name="Linked Cell 5" xfId="1762"/>
    <cellStyle name="Linked Cell 6" xfId="1763"/>
    <cellStyle name="Linked Cell 7" xfId="1764"/>
    <cellStyle name="Linked Cell 8" xfId="1765"/>
    <cellStyle name="Linked Cell 9" xfId="1766"/>
    <cellStyle name="Milliers [0]_EDYAN" xfId="8478"/>
    <cellStyle name="Milliers_EDYAN" xfId="8479"/>
    <cellStyle name="Monétaire [0]_EDYAN" xfId="8480"/>
    <cellStyle name="Monétaire_EDYAN" xfId="8481"/>
    <cellStyle name="Neutral 10" xfId="1767"/>
    <cellStyle name="Neutral 11" xfId="1768"/>
    <cellStyle name="Neutral 12" xfId="1769"/>
    <cellStyle name="Neutral 13" xfId="1770"/>
    <cellStyle name="Neutral 14" xfId="1771"/>
    <cellStyle name="Neutral 15" xfId="1772"/>
    <cellStyle name="Neutral 16" xfId="1773"/>
    <cellStyle name="Neutral 17" xfId="1774"/>
    <cellStyle name="Neutral 17 2" xfId="8482"/>
    <cellStyle name="Neutral 18" xfId="1775"/>
    <cellStyle name="Neutral 19" xfId="1776"/>
    <cellStyle name="Neutral 2" xfId="1777"/>
    <cellStyle name="Neutral 2 2" xfId="1778"/>
    <cellStyle name="Neutral 2 2 2" xfId="1779"/>
    <cellStyle name="Neutral 2 2 2 2" xfId="1780"/>
    <cellStyle name="Neutral 2 2 2 3" xfId="1781"/>
    <cellStyle name="Neutral 2 2 2 4" xfId="1782"/>
    <cellStyle name="Neutral 2 2 2 5" xfId="1783"/>
    <cellStyle name="Neutral 2 2 3" xfId="1784"/>
    <cellStyle name="Neutral 2 2 4" xfId="1785"/>
    <cellStyle name="Neutral 2 2 5" xfId="1786"/>
    <cellStyle name="Neutral 2 3" xfId="1787"/>
    <cellStyle name="Neutral 2 4" xfId="1788"/>
    <cellStyle name="Neutral 2 5" xfId="1789"/>
    <cellStyle name="Neutral 2 6" xfId="1790"/>
    <cellStyle name="Neutral 2 7" xfId="1791"/>
    <cellStyle name="Neutral 2 8" xfId="1792"/>
    <cellStyle name="Neutral 2 9" xfId="1793"/>
    <cellStyle name="Neutral 20" xfId="1794"/>
    <cellStyle name="Neutral 21" xfId="1795"/>
    <cellStyle name="Neutral 22" xfId="1796"/>
    <cellStyle name="Neutral 3" xfId="1797"/>
    <cellStyle name="Neutral 3 2" xfId="8483"/>
    <cellStyle name="Neutral 4" xfId="1798"/>
    <cellStyle name="Neutral 5" xfId="1799"/>
    <cellStyle name="Neutral 6" xfId="1800"/>
    <cellStyle name="Neutral 7" xfId="1801"/>
    <cellStyle name="Neutral 8" xfId="1802"/>
    <cellStyle name="Neutral 9" xfId="1803"/>
    <cellStyle name="Normal" xfId="0" builtinId="0"/>
    <cellStyle name="Normal - Style1" xfId="8484"/>
    <cellStyle name="Normal - Style1 2" xfId="8485"/>
    <cellStyle name="Normal - Style2" xfId="8486"/>
    <cellStyle name="Normal - Style3" xfId="8487"/>
    <cellStyle name="Normal - Style4" xfId="8488"/>
    <cellStyle name="Normal - Style5" xfId="8489"/>
    <cellStyle name="Normal - Style6" xfId="8490"/>
    <cellStyle name="Normal - Style7" xfId="8491"/>
    <cellStyle name="Normal - Style8" xfId="8492"/>
    <cellStyle name="Normal 10" xfId="1804"/>
    <cellStyle name="Normal 10 2" xfId="2153"/>
    <cellStyle name="Normal 10 2 2" xfId="8493"/>
    <cellStyle name="Normal 10 3" xfId="8494"/>
    <cellStyle name="Normal 11" xfId="1805"/>
    <cellStyle name="Normal 11 2" xfId="1806"/>
    <cellStyle name="Normal 11 2 2" xfId="8495"/>
    <cellStyle name="Normal 11 3" xfId="1807"/>
    <cellStyle name="Normal 11 4" xfId="1808"/>
    <cellStyle name="Normal 11 5" xfId="1809"/>
    <cellStyle name="Normal 12" xfId="1810"/>
    <cellStyle name="Normal 12 2" xfId="8496"/>
    <cellStyle name="Normal 12 2 2" xfId="8497"/>
    <cellStyle name="Normal 12 2 2 2" xfId="8498"/>
    <cellStyle name="Normal 12 2 2 2 2" xfId="8499"/>
    <cellStyle name="Normal 12 2 2 2 2 2" xfId="8500"/>
    <cellStyle name="Normal 12 2 2 2 2 2 2" xfId="8501"/>
    <cellStyle name="Normal 12 2 2 2 2 3" xfId="8502"/>
    <cellStyle name="Normal 12 2 2 2 3" xfId="8503"/>
    <cellStyle name="Normal 12 2 2 2 3 2" xfId="8504"/>
    <cellStyle name="Normal 12 2 2 2 4" xfId="8505"/>
    <cellStyle name="Normal 12 2 2 2 5" xfId="8506"/>
    <cellStyle name="Normal 12 2 2 3" xfId="8507"/>
    <cellStyle name="Normal 12 2 2 3 2" xfId="8508"/>
    <cellStyle name="Normal 12 2 2 3 2 2" xfId="8509"/>
    <cellStyle name="Normal 12 2 2 3 3" xfId="8510"/>
    <cellStyle name="Normal 12 2 2 4" xfId="8511"/>
    <cellStyle name="Normal 12 2 2 4 2" xfId="8512"/>
    <cellStyle name="Normal 12 2 2 5" xfId="8513"/>
    <cellStyle name="Normal 12 2 2 6" xfId="8514"/>
    <cellStyle name="Normal 12 2 3" xfId="8515"/>
    <cellStyle name="Normal 12 2 3 2" xfId="8516"/>
    <cellStyle name="Normal 12 2 3 2 2" xfId="8517"/>
    <cellStyle name="Normal 12 2 3 2 2 2" xfId="8518"/>
    <cellStyle name="Normal 12 2 3 2 3" xfId="8519"/>
    <cellStyle name="Normal 12 2 3 3" xfId="8520"/>
    <cellStyle name="Normal 12 2 3 3 2" xfId="8521"/>
    <cellStyle name="Normal 12 2 3 4" xfId="8522"/>
    <cellStyle name="Normal 12 2 3 5" xfId="8523"/>
    <cellStyle name="Normal 12 2 4" xfId="8524"/>
    <cellStyle name="Normal 12 2 4 2" xfId="8525"/>
    <cellStyle name="Normal 12 2 4 2 2" xfId="8526"/>
    <cellStyle name="Normal 12 2 4 3" xfId="8527"/>
    <cellStyle name="Normal 12 2 5" xfId="8528"/>
    <cellStyle name="Normal 12 2 5 2" xfId="8529"/>
    <cellStyle name="Normal 12 2 6" xfId="8530"/>
    <cellStyle name="Normal 12 2 7" xfId="8531"/>
    <cellStyle name="Normal 12 3" xfId="8532"/>
    <cellStyle name="Normal 12 3 2" xfId="8533"/>
    <cellStyle name="Normal 12 3 2 2" xfId="8534"/>
    <cellStyle name="Normal 12 3 2 2 2" xfId="8535"/>
    <cellStyle name="Normal 12 3 2 2 2 2" xfId="8536"/>
    <cellStyle name="Normal 12 3 2 2 3" xfId="8537"/>
    <cellStyle name="Normal 12 3 2 3" xfId="8538"/>
    <cellStyle name="Normal 12 3 2 3 2" xfId="8539"/>
    <cellStyle name="Normal 12 3 2 4" xfId="8540"/>
    <cellStyle name="Normal 12 3 3" xfId="8541"/>
    <cellStyle name="Normal 12 3 3 2" xfId="8542"/>
    <cellStyle name="Normal 12 3 3 2 2" xfId="8543"/>
    <cellStyle name="Normal 12 3 3 3" xfId="8544"/>
    <cellStyle name="Normal 12 3 4" xfId="8545"/>
    <cellStyle name="Normal 12 3 4 2" xfId="8546"/>
    <cellStyle name="Normal 12 3 5" xfId="8547"/>
    <cellStyle name="Normal 12 3 6" xfId="8548"/>
    <cellStyle name="Normal 12 4" xfId="8549"/>
    <cellStyle name="Normal 12 4 2" xfId="8550"/>
    <cellStyle name="Normal 12 4 2 2" xfId="8551"/>
    <cellStyle name="Normal 12 4 2 2 2" xfId="8552"/>
    <cellStyle name="Normal 12 4 2 3" xfId="8553"/>
    <cellStyle name="Normal 12 4 3" xfId="8554"/>
    <cellStyle name="Normal 12 4 3 2" xfId="8555"/>
    <cellStyle name="Normal 12 4 4" xfId="8556"/>
    <cellStyle name="Normal 12 5" xfId="8557"/>
    <cellStyle name="Normal 12 5 2" xfId="8558"/>
    <cellStyle name="Normal 12 5 2 2" xfId="8559"/>
    <cellStyle name="Normal 12 5 3" xfId="8560"/>
    <cellStyle name="Normal 12 6" xfId="8561"/>
    <cellStyle name="Normal 12 6 2" xfId="8562"/>
    <cellStyle name="Normal 12 7" xfId="8563"/>
    <cellStyle name="Normal 12 8" xfId="8564"/>
    <cellStyle name="Normal 13" xfId="1811"/>
    <cellStyle name="Normal 13 2" xfId="1812"/>
    <cellStyle name="Normal 13 2 2" xfId="8565"/>
    <cellStyle name="Normal 13 2 3" xfId="8566"/>
    <cellStyle name="Normal 13 3" xfId="1813"/>
    <cellStyle name="Normal 13 4" xfId="1814"/>
    <cellStyle name="Normal 13 5" xfId="1815"/>
    <cellStyle name="Normal 14" xfId="1816"/>
    <cellStyle name="Normal 14 2" xfId="8567"/>
    <cellStyle name="Normal 14 2 2" xfId="8568"/>
    <cellStyle name="Normal 14 2 2 2" xfId="8569"/>
    <cellStyle name="Normal 14 2 2 2 2" xfId="8570"/>
    <cellStyle name="Normal 14 2 2 3" xfId="8571"/>
    <cellStyle name="Normal 14 2 2 4" xfId="8572"/>
    <cellStyle name="Normal 14 2 3" xfId="8573"/>
    <cellStyle name="Normal 14 2 3 2" xfId="8574"/>
    <cellStyle name="Normal 14 2 4" xfId="8575"/>
    <cellStyle name="Normal 14 2 4 2" xfId="8576"/>
    <cellStyle name="Normal 14 2 5" xfId="8577"/>
    <cellStyle name="Normal 14 2 6" xfId="8578"/>
    <cellStyle name="Normal 14 2 7" xfId="8579"/>
    <cellStyle name="Normal 14 3" xfId="8580"/>
    <cellStyle name="Normal 14 3 2" xfId="8581"/>
    <cellStyle name="Normal 14 3 2 2" xfId="8582"/>
    <cellStyle name="Normal 14 3 3" xfId="8583"/>
    <cellStyle name="Normal 14 3 4" xfId="8584"/>
    <cellStyle name="Normal 14 4" xfId="8585"/>
    <cellStyle name="Normal 14 4 2" xfId="8586"/>
    <cellStyle name="Normal 14 4 3" xfId="8587"/>
    <cellStyle name="Normal 14 4 4" xfId="8588"/>
    <cellStyle name="Normal 14 5" xfId="8589"/>
    <cellStyle name="Normal 15" xfId="1817"/>
    <cellStyle name="Normal 15 2" xfId="8590"/>
    <cellStyle name="Normal 15 2 10" xfId="8591"/>
    <cellStyle name="Normal 15 2 11" xfId="8592"/>
    <cellStyle name="Normal 15 2 2" xfId="8593"/>
    <cellStyle name="Normal 15 2 2 2" xfId="8594"/>
    <cellStyle name="Normal 15 2 2 2 2" xfId="8595"/>
    <cellStyle name="Normal 15 2 2 2 2 2" xfId="8596"/>
    <cellStyle name="Normal 15 2 2 2 2 3" xfId="8597"/>
    <cellStyle name="Normal 15 2 2 2 3" xfId="8598"/>
    <cellStyle name="Normal 15 2 2 2 3 2" xfId="8599"/>
    <cellStyle name="Normal 15 2 2 2 4" xfId="8600"/>
    <cellStyle name="Normal 15 2 2 2 5" xfId="8601"/>
    <cellStyle name="Normal 15 2 2 2 6" xfId="8602"/>
    <cellStyle name="Normal 15 2 2 3" xfId="8603"/>
    <cellStyle name="Normal 15 2 2 3 2" xfId="8604"/>
    <cellStyle name="Normal 15 2 2 3 3" xfId="8605"/>
    <cellStyle name="Normal 15 2 2 4" xfId="8606"/>
    <cellStyle name="Normal 15 2 2 4 2" xfId="8607"/>
    <cellStyle name="Normal 15 2 2 5" xfId="8608"/>
    <cellStyle name="Normal 15 2 2 6" xfId="8609"/>
    <cellStyle name="Normal 15 2 2 7" xfId="8610"/>
    <cellStyle name="Normal 15 2 3" xfId="8611"/>
    <cellStyle name="Normal 15 2 3 2" xfId="8612"/>
    <cellStyle name="Normal 15 2 3 2 2" xfId="8613"/>
    <cellStyle name="Normal 15 2 3 2 2 2" xfId="8614"/>
    <cellStyle name="Normal 15 2 3 2 3" xfId="8615"/>
    <cellStyle name="Normal 15 2 3 2 4" xfId="8616"/>
    <cellStyle name="Normal 15 2 3 2 5" xfId="8617"/>
    <cellStyle name="Normal 15 2 3 2 6" xfId="8618"/>
    <cellStyle name="Normal 15 2 3 3" xfId="8619"/>
    <cellStyle name="Normal 15 2 3 3 2" xfId="8620"/>
    <cellStyle name="Normal 15 2 3 4" xfId="8621"/>
    <cellStyle name="Normal 15 2 3 5" xfId="8622"/>
    <cellStyle name="Normal 15 2 3 6" xfId="8623"/>
    <cellStyle name="Normal 15 2 3 7" xfId="8624"/>
    <cellStyle name="Normal 15 2 4" xfId="8625"/>
    <cellStyle name="Normal 15 2 4 2" xfId="8626"/>
    <cellStyle name="Normal 15 2 4 2 2" xfId="8627"/>
    <cellStyle name="Normal 15 2 4 3" xfId="8628"/>
    <cellStyle name="Normal 15 2 4 4" xfId="8629"/>
    <cellStyle name="Normal 15 2 4 5" xfId="8630"/>
    <cellStyle name="Normal 15 2 4 6" xfId="8631"/>
    <cellStyle name="Normal 15 2 5" xfId="8632"/>
    <cellStyle name="Normal 15 2 5 2" xfId="8633"/>
    <cellStyle name="Normal 15 2 5 2 2" xfId="8634"/>
    <cellStyle name="Normal 15 2 5 3" xfId="8635"/>
    <cellStyle name="Normal 15 2 5 4" xfId="8636"/>
    <cellStyle name="Normal 15 2 5 5" xfId="8637"/>
    <cellStyle name="Normal 15 2 6" xfId="8638"/>
    <cellStyle name="Normal 15 2 6 2" xfId="8639"/>
    <cellStyle name="Normal 15 2 7" xfId="8640"/>
    <cellStyle name="Normal 15 2 8" xfId="8641"/>
    <cellStyle name="Normal 15 2 9" xfId="8642"/>
    <cellStyle name="Normal 15 3" xfId="8643"/>
    <cellStyle name="Normal 15 3 2" xfId="8644"/>
    <cellStyle name="Normal 15 3 2 2" xfId="8645"/>
    <cellStyle name="Normal 15 3 2 2 2" xfId="8646"/>
    <cellStyle name="Normal 15 3 2 2 3" xfId="8647"/>
    <cellStyle name="Normal 15 3 2 3" xfId="8648"/>
    <cellStyle name="Normal 15 3 2 3 2" xfId="8649"/>
    <cellStyle name="Normal 15 3 2 4" xfId="8650"/>
    <cellStyle name="Normal 15 3 2 5" xfId="8651"/>
    <cellStyle name="Normal 15 3 2 6" xfId="8652"/>
    <cellStyle name="Normal 15 3 3" xfId="8653"/>
    <cellStyle name="Normal 15 3 3 2" xfId="8654"/>
    <cellStyle name="Normal 15 3 3 3" xfId="8655"/>
    <cellStyle name="Normal 15 3 4" xfId="8656"/>
    <cellStyle name="Normal 15 3 4 2" xfId="8657"/>
    <cellStyle name="Normal 15 3 5" xfId="8658"/>
    <cellStyle name="Normal 15 3 6" xfId="8659"/>
    <cellStyle name="Normal 15 3 7" xfId="8660"/>
    <cellStyle name="Normal 15 4" xfId="8661"/>
    <cellStyle name="Normal 15 4 2" xfId="8662"/>
    <cellStyle name="Normal 15 4 2 2" xfId="8663"/>
    <cellStyle name="Normal 15 4 2 2 2" xfId="8664"/>
    <cellStyle name="Normal 15 4 2 3" xfId="8665"/>
    <cellStyle name="Normal 15 4 2 4" xfId="8666"/>
    <cellStyle name="Normal 15 4 2 5" xfId="8667"/>
    <cellStyle name="Normal 15 4 2 6" xfId="8668"/>
    <cellStyle name="Normal 15 4 3" xfId="8669"/>
    <cellStyle name="Normal 15 4 3 2" xfId="8670"/>
    <cellStyle name="Normal 15 4 4" xfId="8671"/>
    <cellStyle name="Normal 15 4 5" xfId="8672"/>
    <cellStyle name="Normal 15 4 6" xfId="8673"/>
    <cellStyle name="Normal 15 4 7" xfId="8674"/>
    <cellStyle name="Normal 15 5" xfId="8675"/>
    <cellStyle name="Normal 15 5 2" xfId="8676"/>
    <cellStyle name="Normal 15 5 2 2" xfId="8677"/>
    <cellStyle name="Normal 15 5 2 3" xfId="8678"/>
    <cellStyle name="Normal 15 5 3" xfId="8679"/>
    <cellStyle name="Normal 15 5 4" xfId="8680"/>
    <cellStyle name="Normal 15 5 5" xfId="8681"/>
    <cellStyle name="Normal 15 6" xfId="8682"/>
    <cellStyle name="Normal 15 6 2" xfId="8683"/>
    <cellStyle name="Normal 15 6 2 2" xfId="8684"/>
    <cellStyle name="Normal 15 6 3" xfId="8685"/>
    <cellStyle name="Normal 15 6 4" xfId="8686"/>
    <cellStyle name="Normal 15 6 5" xfId="8687"/>
    <cellStyle name="Normal 15 7" xfId="8688"/>
    <cellStyle name="Normal 15 7 2" xfId="8689"/>
    <cellStyle name="Normal 15 7 2 2" xfId="8690"/>
    <cellStyle name="Normal 15 7 3" xfId="8691"/>
    <cellStyle name="Normal 15 7 4" xfId="8692"/>
    <cellStyle name="Normal 15 7 5" xfId="8693"/>
    <cellStyle name="Normal 16" xfId="1818"/>
    <cellStyle name="Normal 16 2" xfId="8694"/>
    <cellStyle name="Normal 16 2 2" xfId="8695"/>
    <cellStyle name="Normal 17" xfId="1819"/>
    <cellStyle name="Normal 17 2" xfId="8696"/>
    <cellStyle name="Normal 17 2 2" xfId="8697"/>
    <cellStyle name="Normal 17 2 2 2" xfId="8698"/>
    <cellStyle name="Normal 17 2 2 2 2" xfId="8699"/>
    <cellStyle name="Normal 17 2 2 2 3" xfId="8700"/>
    <cellStyle name="Normal 17 2 2 3" xfId="8701"/>
    <cellStyle name="Normal 17 2 2 3 2" xfId="8702"/>
    <cellStyle name="Normal 17 2 2 4" xfId="8703"/>
    <cellStyle name="Normal 17 2 2 5" xfId="8704"/>
    <cellStyle name="Normal 17 2 2 6" xfId="8705"/>
    <cellStyle name="Normal 17 2 3" xfId="8706"/>
    <cellStyle name="Normal 17 2 3 2" xfId="8707"/>
    <cellStyle name="Normal 17 2 3 3" xfId="8708"/>
    <cellStyle name="Normal 17 2 4" xfId="8709"/>
    <cellStyle name="Normal 17 2 4 2" xfId="8710"/>
    <cellStyle name="Normal 17 2 5" xfId="8711"/>
    <cellStyle name="Normal 17 2 6" xfId="8712"/>
    <cellStyle name="Normal 17 2 7" xfId="8713"/>
    <cellStyle name="Normal 17 2 8" xfId="8714"/>
    <cellStyle name="Normal 17 3" xfId="8715"/>
    <cellStyle name="Normal 17 3 2" xfId="8716"/>
    <cellStyle name="Normal 17 3 2 2" xfId="8717"/>
    <cellStyle name="Normal 17 3 2 2 2" xfId="8718"/>
    <cellStyle name="Normal 17 3 2 3" xfId="8719"/>
    <cellStyle name="Normal 17 3 2 4" xfId="8720"/>
    <cellStyle name="Normal 17 3 2 5" xfId="8721"/>
    <cellStyle name="Normal 17 3 3" xfId="8722"/>
    <cellStyle name="Normal 17 3 3 2" xfId="8723"/>
    <cellStyle name="Normal 17 3 4" xfId="8724"/>
    <cellStyle name="Normal 17 3 5" xfId="8725"/>
    <cellStyle name="Normal 17 3 6" xfId="8726"/>
    <cellStyle name="Normal 17 3 7" xfId="8727"/>
    <cellStyle name="Normal 17 4" xfId="8728"/>
    <cellStyle name="Normal 17 4 2" xfId="8729"/>
    <cellStyle name="Normal 17 4 2 2" xfId="8730"/>
    <cellStyle name="Normal 17 4 3" xfId="8731"/>
    <cellStyle name="Normal 17 4 4" xfId="8732"/>
    <cellStyle name="Normal 17 4 5" xfId="8733"/>
    <cellStyle name="Normal 17 5" xfId="8734"/>
    <cellStyle name="Normal 17 5 2" xfId="8735"/>
    <cellStyle name="Normal 17 5 2 2" xfId="8736"/>
    <cellStyle name="Normal 17 5 3" xfId="8737"/>
    <cellStyle name="Normal 17 5 4" xfId="8738"/>
    <cellStyle name="Normal 17 5 5" xfId="8739"/>
    <cellStyle name="Normal 17 6" xfId="8740"/>
    <cellStyle name="Normal 17 6 2" xfId="8741"/>
    <cellStyle name="Normal 17 6 2 2" xfId="8742"/>
    <cellStyle name="Normal 17 6 3" xfId="8743"/>
    <cellStyle name="Normal 17 6 4" xfId="8744"/>
    <cellStyle name="Normal 17 6 5" xfId="8745"/>
    <cellStyle name="Normal 17 7" xfId="8746"/>
    <cellStyle name="Normal 18" xfId="1820"/>
    <cellStyle name="Normal 18 2" xfId="8747"/>
    <cellStyle name="Normal 18 2 2" xfId="8748"/>
    <cellStyle name="Normal 18 2 2 2" xfId="8749"/>
    <cellStyle name="Normal 18 2 2 3" xfId="8750"/>
    <cellStyle name="Normal 18 2 3" xfId="8751"/>
    <cellStyle name="Normal 18 2 4" xfId="8752"/>
    <cellStyle name="Normal 18 2 5" xfId="8753"/>
    <cellStyle name="Normal 18 2 6" xfId="8754"/>
    <cellStyle name="Normal 18 2 7" xfId="8755"/>
    <cellStyle name="Normal 18 3" xfId="8756"/>
    <cellStyle name="Normal 18 3 2" xfId="8757"/>
    <cellStyle name="Normal 18 3 2 2" xfId="8758"/>
    <cellStyle name="Normal 18 3 3" xfId="8759"/>
    <cellStyle name="Normal 18 3 4" xfId="8760"/>
    <cellStyle name="Normal 18 3 5" xfId="8761"/>
    <cellStyle name="Normal 18 3 6" xfId="8762"/>
    <cellStyle name="Normal 18 4" xfId="8763"/>
    <cellStyle name="Normal 19" xfId="1821"/>
    <cellStyle name="Normal 19 2" xfId="8764"/>
    <cellStyle name="Normal 19 2 2" xfId="8765"/>
    <cellStyle name="Normal 19 3" xfId="2157"/>
    <cellStyle name="Normal 2" xfId="57"/>
    <cellStyle name="Normal 2 10" xfId="1822"/>
    <cellStyle name="Normal 2 10 2" xfId="8766"/>
    <cellStyle name="Normal 2 10 2 2" xfId="8767"/>
    <cellStyle name="Normal 2 10 3" xfId="8768"/>
    <cellStyle name="Normal 2 11" xfId="1823"/>
    <cellStyle name="Normal 2 11 2" xfId="8769"/>
    <cellStyle name="Normal 2 11 2 2" xfId="8770"/>
    <cellStyle name="Normal 2 11 3" xfId="8771"/>
    <cellStyle name="Normal 2 12" xfId="1824"/>
    <cellStyle name="Normal 2 12 2" xfId="8772"/>
    <cellStyle name="Normal 2 13" xfId="1825"/>
    <cellStyle name="Normal 2 14" xfId="1826"/>
    <cellStyle name="Normal 2 15" xfId="1827"/>
    <cellStyle name="Normal 2 16" xfId="1828"/>
    <cellStyle name="Normal 2 17" xfId="1829"/>
    <cellStyle name="Normal 2 18" xfId="1830"/>
    <cellStyle name="Normal 2 18 2" xfId="8773"/>
    <cellStyle name="Normal 2 18 2 2" xfId="8774"/>
    <cellStyle name="Normal 2 18 3" xfId="8775"/>
    <cellStyle name="Normal 2 18 4" xfId="8776"/>
    <cellStyle name="Normal 2 19" xfId="24"/>
    <cellStyle name="Normal 2 19 2" xfId="1831"/>
    <cellStyle name="Normal 2 19 3" xfId="1832"/>
    <cellStyle name="Normal 2 19 4" xfId="1833"/>
    <cellStyle name="Normal 2 19 5" xfId="1834"/>
    <cellStyle name="Normal 2 2" xfId="58"/>
    <cellStyle name="Normal 2 2 2" xfId="1835"/>
    <cellStyle name="Normal 2 2 2 2" xfId="8777"/>
    <cellStyle name="Normal 2 2 2 2 2" xfId="8778"/>
    <cellStyle name="Normal 2 2 2 3" xfId="8779"/>
    <cellStyle name="Normal 2 2 2 3 2" xfId="8780"/>
    <cellStyle name="Normal 2 2 2 4" xfId="8781"/>
    <cellStyle name="Normal 2 2 2 4 2" xfId="8782"/>
    <cellStyle name="Normal 2 2 2 5" xfId="8783"/>
    <cellStyle name="Normal 2 2 3" xfId="8784"/>
    <cellStyle name="Normal 2 2 3 2" xfId="8785"/>
    <cellStyle name="Normal 2 2 3 3" xfId="8786"/>
    <cellStyle name="Normal 2 2 4" xfId="8787"/>
    <cellStyle name="Normal 2 2 4 2" xfId="8788"/>
    <cellStyle name="Normal 2 2 4 2 2" xfId="8789"/>
    <cellStyle name="Normal 2 2 4 2 2 2" xfId="8790"/>
    <cellStyle name="Normal 2 2 4 2 2 2 2" xfId="8791"/>
    <cellStyle name="Normal 2 2 4 2 2 3" xfId="8792"/>
    <cellStyle name="Normal 2 2 4 2 2 4" xfId="8793"/>
    <cellStyle name="Normal 2 2 4 2 3" xfId="8794"/>
    <cellStyle name="Normal 2 2 4 2 3 2" xfId="8795"/>
    <cellStyle name="Normal 2 2 4 2 4" xfId="8796"/>
    <cellStyle name="Normal 2 2 4 2 5" xfId="8797"/>
    <cellStyle name="Normal 2 2 4 3" xfId="8798"/>
    <cellStyle name="Normal 2 2 4 3 2" xfId="8799"/>
    <cellStyle name="Normal 2 2 4 3 2 2" xfId="8800"/>
    <cellStyle name="Normal 2 2 4 3 3" xfId="8801"/>
    <cellStyle name="Normal 2 2 4 3 4" xfId="8802"/>
    <cellStyle name="Normal 2 2 4 4" xfId="8803"/>
    <cellStyle name="Normal 2 2 4 4 2" xfId="8804"/>
    <cellStyle name="Normal 2 2 4 5" xfId="8805"/>
    <cellStyle name="Normal 2 2 4 5 2" xfId="8806"/>
    <cellStyle name="Normal 2 2 4 6" xfId="8807"/>
    <cellStyle name="Normal 2 2 4 7" xfId="8808"/>
    <cellStyle name="Normal 2 2 5" xfId="8809"/>
    <cellStyle name="Normal 2 2 5 2" xfId="8810"/>
    <cellStyle name="Normal 2 2 5 2 2" xfId="8811"/>
    <cellStyle name="Normal 2 2 5 2 3" xfId="8812"/>
    <cellStyle name="Normal 2 2 5 3" xfId="8813"/>
    <cellStyle name="Normal 2 2 5 4" xfId="8814"/>
    <cellStyle name="Normal 2 2 5 5" xfId="8815"/>
    <cellStyle name="Normal 2 2 5 6" xfId="8816"/>
    <cellStyle name="Normal 2 2 6" xfId="8817"/>
    <cellStyle name="Normal 2 2 6 2" xfId="8818"/>
    <cellStyle name="Normal 2 2 6 2 2" xfId="8819"/>
    <cellStyle name="Normal 2 2 6 3" xfId="8820"/>
    <cellStyle name="Normal 2 2 6 4" xfId="8821"/>
    <cellStyle name="Normal 2 2 6 5" xfId="8822"/>
    <cellStyle name="Normal 2 2 7" xfId="8823"/>
    <cellStyle name="Normal 2 2 8" xfId="8824"/>
    <cellStyle name="Normal 2 2 8 2" xfId="8825"/>
    <cellStyle name="Normal 2 2 8 3" xfId="8826"/>
    <cellStyle name="Normal 2 20" xfId="1836"/>
    <cellStyle name="Normal 2 20 2" xfId="8827"/>
    <cellStyle name="Normal 2 20 3" xfId="8828"/>
    <cellStyle name="Normal 2 21" xfId="1837"/>
    <cellStyle name="Normal 2 21 2" xfId="8829"/>
    <cellStyle name="Normal 2 22" xfId="1838"/>
    <cellStyle name="Normal 2 23" xfId="1839"/>
    <cellStyle name="Normal 2 24" xfId="1840"/>
    <cellStyle name="Normal 2 25" xfId="1841"/>
    <cellStyle name="Normal 2 3" xfId="1842"/>
    <cellStyle name="Normal 2 3 2" xfId="8830"/>
    <cellStyle name="Normal 2 3 2 2" xfId="8831"/>
    <cellStyle name="Normal 2 3 2 3" xfId="8832"/>
    <cellStyle name="Normal 2 3 3" xfId="8833"/>
    <cellStyle name="Normal 2 3 4" xfId="8834"/>
    <cellStyle name="Normal 2 3 4 2" xfId="8835"/>
    <cellStyle name="Normal 2 3 4 2 2" xfId="8836"/>
    <cellStyle name="Normal 2 3 4 3" xfId="8837"/>
    <cellStyle name="Normal 2 3 4 4" xfId="8838"/>
    <cellStyle name="Normal 2 3 4 5" xfId="8839"/>
    <cellStyle name="Normal 2 3 5" xfId="8840"/>
    <cellStyle name="Normal 2 3 5 2" xfId="8841"/>
    <cellStyle name="Normal 2 3 5 2 2" xfId="8842"/>
    <cellStyle name="Normal 2 3 5 3" xfId="8843"/>
    <cellStyle name="Normal 2 3 5 4" xfId="8844"/>
    <cellStyle name="Normal 2 3 5 5" xfId="8845"/>
    <cellStyle name="Normal 2 3 6" xfId="8846"/>
    <cellStyle name="Normal 2 3 6 2" xfId="8847"/>
    <cellStyle name="Normal 2 4" xfId="1843"/>
    <cellStyle name="Normal 2 4 2" xfId="8848"/>
    <cellStyle name="Normal 2 4 2 2" xfId="8849"/>
    <cellStyle name="Normal 2 4 2 3" xfId="8850"/>
    <cellStyle name="Normal 2 4 3" xfId="8851"/>
    <cellStyle name="Normal 2 4 3 2" xfId="8852"/>
    <cellStyle name="Normal 2 4 4" xfId="8853"/>
    <cellStyle name="Normal 2 4 4 2" xfId="8854"/>
    <cellStyle name="Normal 2 4 5" xfId="8855"/>
    <cellStyle name="Normal 2 41" xfId="8856"/>
    <cellStyle name="Normal 2 43" xfId="8857"/>
    <cellStyle name="Normal 2 5" xfId="1844"/>
    <cellStyle name="Normal 2 5 2" xfId="8858"/>
    <cellStyle name="Normal 2 5 2 2" xfId="8859"/>
    <cellStyle name="Normal 2 5 2 2 2" xfId="8860"/>
    <cellStyle name="Normal 2 5 2 2 2 2" xfId="8861"/>
    <cellStyle name="Normal 2 5 2 2 3" xfId="8862"/>
    <cellStyle name="Normal 2 5 2 2 4" xfId="8863"/>
    <cellStyle name="Normal 2 5 2 3" xfId="8864"/>
    <cellStyle name="Normal 2 5 2 3 2" xfId="8865"/>
    <cellStyle name="Normal 2 5 2 3 2 2" xfId="8866"/>
    <cellStyle name="Normal 2 5 2 3 3" xfId="8867"/>
    <cellStyle name="Normal 2 5 2 3 4" xfId="8868"/>
    <cellStyle name="Normal 2 5 2 4" xfId="8869"/>
    <cellStyle name="Normal 2 5 2 4 2" xfId="8870"/>
    <cellStyle name="Normal 2 5 2 5" xfId="8871"/>
    <cellStyle name="Normal 2 5 2 6" xfId="8872"/>
    <cellStyle name="Normal 2 5 2 7" xfId="8873"/>
    <cellStyle name="Normal 2 5 3" xfId="8874"/>
    <cellStyle name="Normal 2 5 3 2" xfId="8875"/>
    <cellStyle name="Normal 2 5 3 2 2" xfId="8876"/>
    <cellStyle name="Normal 2 5 3 3" xfId="8877"/>
    <cellStyle name="Normal 2 5 3 4" xfId="8878"/>
    <cellStyle name="Normal 2 5 4" xfId="8879"/>
    <cellStyle name="Normal 2 5 4 2" xfId="8880"/>
    <cellStyle name="Normal 2 5 4 2 2" xfId="8881"/>
    <cellStyle name="Normal 2 5 4 3" xfId="8882"/>
    <cellStyle name="Normal 2 5 4 4" xfId="8883"/>
    <cellStyle name="Normal 2 5 5" xfId="8884"/>
    <cellStyle name="Normal 2 5 6" xfId="8885"/>
    <cellStyle name="Normal 2 6" xfId="1845"/>
    <cellStyle name="Normal 2 6 2" xfId="8886"/>
    <cellStyle name="Normal 2 6 3" xfId="8887"/>
    <cellStyle name="Normal 2 7" xfId="1846"/>
    <cellStyle name="Normal 2 7 2" xfId="8888"/>
    <cellStyle name="Normal 2 7 2 2" xfId="8889"/>
    <cellStyle name="Normal 2 7 2 2 2" xfId="8890"/>
    <cellStyle name="Normal 2 7 2 2 3" xfId="8891"/>
    <cellStyle name="Normal 2 7 2 3" xfId="8892"/>
    <cellStyle name="Normal 2 7 2 3 2" xfId="8893"/>
    <cellStyle name="Normal 2 7 2 4" xfId="8894"/>
    <cellStyle name="Normal 2 7 2 5" xfId="8895"/>
    <cellStyle name="Normal 2 7 3" xfId="8896"/>
    <cellStyle name="Normal 2 7 3 2" xfId="8897"/>
    <cellStyle name="Normal 2 7 3 2 2" xfId="8898"/>
    <cellStyle name="Normal 2 7 3 3" xfId="8899"/>
    <cellStyle name="Normal 2 7 3 4" xfId="8900"/>
    <cellStyle name="Normal 2 7 3 5" xfId="8901"/>
    <cellStyle name="Normal 2 7 4" xfId="8902"/>
    <cellStyle name="Normal 2 7 4 2" xfId="8903"/>
    <cellStyle name="Normal 2 7 4 2 2" xfId="8904"/>
    <cellStyle name="Normal 2 7 4 3" xfId="8905"/>
    <cellStyle name="Normal 2 7 4 4" xfId="8906"/>
    <cellStyle name="Normal 2 7 4 5" xfId="8907"/>
    <cellStyle name="Normal 2 7 5" xfId="8908"/>
    <cellStyle name="Normal 2 8" xfId="1847"/>
    <cellStyle name="Normal 2 8 2" xfId="8909"/>
    <cellStyle name="Normal 2 8 2 2" xfId="8910"/>
    <cellStyle name="Normal 2 8 2 2 2" xfId="8911"/>
    <cellStyle name="Normal 2 8 2 3" xfId="8912"/>
    <cellStyle name="Normal 2 8 2 4" xfId="8913"/>
    <cellStyle name="Normal 2 8 2 5" xfId="8914"/>
    <cellStyle name="Normal 2 8 3" xfId="8915"/>
    <cellStyle name="Normal 2 8 3 2" xfId="8916"/>
    <cellStyle name="Normal 2 8 3 2 2" xfId="8917"/>
    <cellStyle name="Normal 2 8 3 3" xfId="8918"/>
    <cellStyle name="Normal 2 8 3 4" xfId="8919"/>
    <cellStyle name="Normal 2 8 3 5" xfId="8920"/>
    <cellStyle name="Normal 2 8 4" xfId="8921"/>
    <cellStyle name="Normal 2 9" xfId="1848"/>
    <cellStyle name="Normal 2 9 2" xfId="8922"/>
    <cellStyle name="Normal 2 9 2 2" xfId="8923"/>
    <cellStyle name="Normal 2 9 2 2 2" xfId="8924"/>
    <cellStyle name="Normal 2 9 2 3" xfId="8925"/>
    <cellStyle name="Normal 2 9 2 4" xfId="8926"/>
    <cellStyle name="Normal 2 9 2 5" xfId="8927"/>
    <cellStyle name="Normal 2 9 3" xfId="8928"/>
    <cellStyle name="Normal 2_LGEElecBillingDeterminants2009-10" xfId="8929"/>
    <cellStyle name="Normal 20" xfId="1849"/>
    <cellStyle name="Normal 20 2" xfId="1850"/>
    <cellStyle name="Normal 20 2 2" xfId="8930"/>
    <cellStyle name="Normal 20 2 2 2" xfId="8931"/>
    <cellStyle name="Normal 20 2 3" xfId="8932"/>
    <cellStyle name="Normal 20 2 4" xfId="8933"/>
    <cellStyle name="Normal 20 2 5" xfId="8934"/>
    <cellStyle name="Normal 20 3" xfId="1851"/>
    <cellStyle name="Normal 20 3 2" xfId="8935"/>
    <cellStyle name="Normal 20 3 3" xfId="8936"/>
    <cellStyle name="Normal 20 3 4" xfId="8937"/>
    <cellStyle name="Normal 20 4" xfId="1852"/>
    <cellStyle name="Normal 20 5" xfId="1853"/>
    <cellStyle name="Normal 21" xfId="1854"/>
    <cellStyle name="Normal 21 2" xfId="8938"/>
    <cellStyle name="Normal 22" xfId="1855"/>
    <cellStyle name="Normal 22 2" xfId="8939"/>
    <cellStyle name="Normal 22 2 2" xfId="8940"/>
    <cellStyle name="Normal 22 2 3" xfId="8941"/>
    <cellStyle name="Normal 22 2 4" xfId="8942"/>
    <cellStyle name="Normal 22 2 5" xfId="8943"/>
    <cellStyle name="Normal 22 3" xfId="8944"/>
    <cellStyle name="Normal 23" xfId="1856"/>
    <cellStyle name="Normal 23 2" xfId="8945"/>
    <cellStyle name="Normal 23 2 2" xfId="8946"/>
    <cellStyle name="Normal 23 2 3" xfId="8947"/>
    <cellStyle name="Normal 23 2 4" xfId="8948"/>
    <cellStyle name="Normal 23 2 5" xfId="8949"/>
    <cellStyle name="Normal 23 3" xfId="8950"/>
    <cellStyle name="Normal 24" xfId="1857"/>
    <cellStyle name="Normal 24 2" xfId="8951"/>
    <cellStyle name="Normal 24 3" xfId="8952"/>
    <cellStyle name="Normal 25" xfId="1858"/>
    <cellStyle name="Normal 25 2" xfId="8953"/>
    <cellStyle name="Normal 26" xfId="1859"/>
    <cellStyle name="Normal 26 2" xfId="8954"/>
    <cellStyle name="Normal 26 2 2" xfId="8955"/>
    <cellStyle name="Normal 26 3" xfId="8956"/>
    <cellStyle name="Normal 26 3 2" xfId="8957"/>
    <cellStyle name="Normal 26 3 3" xfId="8958"/>
    <cellStyle name="Normal 26 4" xfId="8959"/>
    <cellStyle name="Normal 26 4 2" xfId="8960"/>
    <cellStyle name="Normal 26 4 3" xfId="8961"/>
    <cellStyle name="Normal 26 5" xfId="8962"/>
    <cellStyle name="Normal 26 5 2" xfId="8963"/>
    <cellStyle name="Normal 26 6" xfId="8964"/>
    <cellStyle name="Normal 26 7" xfId="8965"/>
    <cellStyle name="Normal 26 8" xfId="8966"/>
    <cellStyle name="Normal 27" xfId="1860"/>
    <cellStyle name="Normal 27 2" xfId="8967"/>
    <cellStyle name="Normal 27 2 2" xfId="8968"/>
    <cellStyle name="Normal 27 2 2 2" xfId="8969"/>
    <cellStyle name="Normal 27 2 2 3" xfId="8970"/>
    <cellStyle name="Normal 27 2 3" xfId="8971"/>
    <cellStyle name="Normal 27 2 4" xfId="8972"/>
    <cellStyle name="Normal 27 3" xfId="8973"/>
    <cellStyle name="Normal 27 3 2" xfId="8974"/>
    <cellStyle name="Normal 27 3 3" xfId="8975"/>
    <cellStyle name="Normal 27 4" xfId="8976"/>
    <cellStyle name="Normal 27 5" xfId="8977"/>
    <cellStyle name="Normal 28" xfId="1861"/>
    <cellStyle name="Normal 28 2" xfId="8978"/>
    <cellStyle name="Normal 28 2 2" xfId="8979"/>
    <cellStyle name="Normal 28 2 2 2" xfId="8980"/>
    <cellStyle name="Normal 28 2 3" xfId="8981"/>
    <cellStyle name="Normal 28 2 3 2" xfId="8982"/>
    <cellStyle name="Normal 28 2 4" xfId="8983"/>
    <cellStyle name="Normal 28 3" xfId="8984"/>
    <cellStyle name="Normal 28 3 2" xfId="8985"/>
    <cellStyle name="Normal 28 4" xfId="8986"/>
    <cellStyle name="Normal 28 4 2" xfId="8987"/>
    <cellStyle name="Normal 28 4 3" xfId="8988"/>
    <cellStyle name="Normal 28 5" xfId="8989"/>
    <cellStyle name="Normal 28 5 2" xfId="8990"/>
    <cellStyle name="Normal 28 6" xfId="8991"/>
    <cellStyle name="Normal 28 7" xfId="8992"/>
    <cellStyle name="Normal 28 8" xfId="8993"/>
    <cellStyle name="Normal 29" xfId="1862"/>
    <cellStyle name="Normal 29 2" xfId="8994"/>
    <cellStyle name="Normal 29 2 2" xfId="8995"/>
    <cellStyle name="Normal 29 2 3" xfId="8996"/>
    <cellStyle name="Normal 29 2 4" xfId="8997"/>
    <cellStyle name="Normal 29 3" xfId="8998"/>
    <cellStyle name="Normal 29 3 2" xfId="8999"/>
    <cellStyle name="Normal 29 4" xfId="9000"/>
    <cellStyle name="Normal 29 5" xfId="9001"/>
    <cellStyle name="Normal 29 6" xfId="9002"/>
    <cellStyle name="Normal 3" xfId="60"/>
    <cellStyle name="Normal 3 10" xfId="1863"/>
    <cellStyle name="Normal 3 11" xfId="1864"/>
    <cellStyle name="Normal 3 12" xfId="1865"/>
    <cellStyle name="Normal 3 13" xfId="1866"/>
    <cellStyle name="Normal 3 14" xfId="1867"/>
    <cellStyle name="Normal 3 15" xfId="1868"/>
    <cellStyle name="Normal 3 16" xfId="1869"/>
    <cellStyle name="Normal 3 17" xfId="1870"/>
    <cellStyle name="Normal 3 17 2" xfId="9003"/>
    <cellStyle name="Normal 3 17 2 2" xfId="9004"/>
    <cellStyle name="Normal 3 17 3" xfId="9005"/>
    <cellStyle name="Normal 3 18" xfId="1871"/>
    <cellStyle name="Normal 3 18 2" xfId="9006"/>
    <cellStyle name="Normal 3 18 2 2" xfId="9007"/>
    <cellStyle name="Normal 3 18 2 3" xfId="9008"/>
    <cellStyle name="Normal 3 18 3" xfId="9009"/>
    <cellStyle name="Normal 3 18 3 2" xfId="9010"/>
    <cellStyle name="Normal 3 18 4" xfId="9011"/>
    <cellStyle name="Normal 3 18 5" xfId="9012"/>
    <cellStyle name="Normal 3 18 6" xfId="9013"/>
    <cellStyle name="Normal 3 19" xfId="9014"/>
    <cellStyle name="Normal 3 19 2" xfId="9015"/>
    <cellStyle name="Normal 3 19 3" xfId="9016"/>
    <cellStyle name="Normal 3 2" xfId="1872"/>
    <cellStyle name="Normal 3 2 2" xfId="9017"/>
    <cellStyle name="Normal 3 2 2 2" xfId="9018"/>
    <cellStyle name="Normal 3 2 2 3" xfId="9019"/>
    <cellStyle name="Normal 3 2 3" xfId="9020"/>
    <cellStyle name="Normal 3 2 3 2" xfId="9021"/>
    <cellStyle name="Normal 3 2 4" xfId="9022"/>
    <cellStyle name="Normal 3 2 4 2" xfId="9023"/>
    <cellStyle name="Normal 3 2 4 3" xfId="9024"/>
    <cellStyle name="Normal 3 2 4 4" xfId="9025"/>
    <cellStyle name="Normal 3 20" xfId="9026"/>
    <cellStyle name="Normal 3 20 2" xfId="9027"/>
    <cellStyle name="Normal 3 20 3" xfId="9028"/>
    <cellStyle name="Normal 3 21" xfId="9029"/>
    <cellStyle name="Normal 3 22" xfId="9030"/>
    <cellStyle name="Normal 3 23" xfId="9031"/>
    <cellStyle name="Normal 3 3" xfId="1873"/>
    <cellStyle name="Normal 3 3 2" xfId="9032"/>
    <cellStyle name="Normal 3 3 2 2" xfId="9033"/>
    <cellStyle name="Normal 3 3 2 3" xfId="9034"/>
    <cellStyle name="Normal 3 3 3" xfId="9035"/>
    <cellStyle name="Normal 3 3 3 2" xfId="9036"/>
    <cellStyle name="Normal 3 3 4" xfId="9037"/>
    <cellStyle name="Normal 3 3 5" xfId="9038"/>
    <cellStyle name="Normal 3 4" xfId="1874"/>
    <cellStyle name="Normal 3 4 2" xfId="9039"/>
    <cellStyle name="Normal 3 4 3" xfId="9040"/>
    <cellStyle name="Normal 3 4 3 2" xfId="9041"/>
    <cellStyle name="Normal 3 4 4" xfId="9042"/>
    <cellStyle name="Normal 3 4 5" xfId="9043"/>
    <cellStyle name="Normal 3 5" xfId="1875"/>
    <cellStyle name="Normal 3 5 2" xfId="9044"/>
    <cellStyle name="Normal 3 6" xfId="1876"/>
    <cellStyle name="Normal 3 7" xfId="1877"/>
    <cellStyle name="Normal 3 8" xfId="1878"/>
    <cellStyle name="Normal 3 9" xfId="1879"/>
    <cellStyle name="Normal 3_LGEElecBillingDeterminants2009-10" xfId="9045"/>
    <cellStyle name="Normal 30" xfId="1880"/>
    <cellStyle name="Normal 30 2" xfId="9046"/>
    <cellStyle name="Normal 30 2 2" xfId="9047"/>
    <cellStyle name="Normal 30 2 3" xfId="9048"/>
    <cellStyle name="Normal 30 2 4" xfId="9049"/>
    <cellStyle name="Normal 30 3" xfId="9050"/>
    <cellStyle name="Normal 30 3 2" xfId="9051"/>
    <cellStyle name="Normal 30 4" xfId="9052"/>
    <cellStyle name="Normal 30 5" xfId="9053"/>
    <cellStyle name="Normal 30 6" xfId="9054"/>
    <cellStyle name="Normal 30 7" xfId="9055"/>
    <cellStyle name="Normal 31" xfId="1881"/>
    <cellStyle name="Normal 31 2" xfId="1882"/>
    <cellStyle name="Normal 31 2 2" xfId="9056"/>
    <cellStyle name="Normal 31 2 3" xfId="9057"/>
    <cellStyle name="Normal 31 2 4" xfId="9058"/>
    <cellStyle name="Normal 31 3" xfId="1883"/>
    <cellStyle name="Normal 31 3 2" xfId="9059"/>
    <cellStyle name="Normal 31 4" xfId="1884"/>
    <cellStyle name="Normal 31 5" xfId="1885"/>
    <cellStyle name="Normal 31 6" xfId="9060"/>
    <cellStyle name="Normal 31 7" xfId="9061"/>
    <cellStyle name="Normal 32" xfId="1886"/>
    <cellStyle name="Normal 32 2" xfId="9062"/>
    <cellStyle name="Normal 32 2 2" xfId="9063"/>
    <cellStyle name="Normal 32 2 3" xfId="9064"/>
    <cellStyle name="Normal 32 2 4" xfId="9065"/>
    <cellStyle name="Normal 32 3" xfId="9066"/>
    <cellStyle name="Normal 32 3 2" xfId="9067"/>
    <cellStyle name="Normal 32 4" xfId="9068"/>
    <cellStyle name="Normal 32 5" xfId="9069"/>
    <cellStyle name="Normal 32 6" xfId="9070"/>
    <cellStyle name="Normal 32 7" xfId="9071"/>
    <cellStyle name="Normal 33" xfId="1887"/>
    <cellStyle name="Normal 33 2" xfId="9072"/>
    <cellStyle name="Normal 33 2 2" xfId="9073"/>
    <cellStyle name="Normal 33 2 3" xfId="9074"/>
    <cellStyle name="Normal 33 2 4" xfId="9075"/>
    <cellStyle name="Normal 33 3" xfId="9076"/>
    <cellStyle name="Normal 33 4" xfId="9077"/>
    <cellStyle name="Normal 33 5" xfId="9078"/>
    <cellStyle name="Normal 33 6" xfId="9079"/>
    <cellStyle name="Normal 34" xfId="1888"/>
    <cellStyle name="Normal 34 2" xfId="9080"/>
    <cellStyle name="Normal 34 2 2" xfId="9081"/>
    <cellStyle name="Normal 34 3" xfId="9082"/>
    <cellStyle name="Normal 34 4" xfId="9083"/>
    <cellStyle name="Normal 34 4 2" xfId="9084"/>
    <cellStyle name="Normal 34 4 3" xfId="9085"/>
    <cellStyle name="Normal 34 5" xfId="9086"/>
    <cellStyle name="Normal 34 6" xfId="9087"/>
    <cellStyle name="Normal 34 7" xfId="9088"/>
    <cellStyle name="Normal 35" xfId="63"/>
    <cellStyle name="Normal 35 2" xfId="9089"/>
    <cellStyle name="Normal 35 2 2" xfId="9090"/>
    <cellStyle name="Normal 35 2 3" xfId="9091"/>
    <cellStyle name="Normal 35 3" xfId="9092"/>
    <cellStyle name="Normal 35 4" xfId="9093"/>
    <cellStyle name="Normal 35 5" xfId="9094"/>
    <cellStyle name="Normal 36" xfId="2154"/>
    <cellStyle name="Normal 36 2" xfId="1889"/>
    <cellStyle name="Normal 36 2 2" xfId="9095"/>
    <cellStyle name="Normal 36 2 3" xfId="9096"/>
    <cellStyle name="Normal 36 3" xfId="1890"/>
    <cellStyle name="Normal 36 4" xfId="1891"/>
    <cellStyle name="Normal 36 5" xfId="1892"/>
    <cellStyle name="Normal 37" xfId="1893"/>
    <cellStyle name="Normal 37 2" xfId="9097"/>
    <cellStyle name="Normal 37 2 2" xfId="9098"/>
    <cellStyle name="Normal 37 3" xfId="9099"/>
    <cellStyle name="Normal 37 4" xfId="9100"/>
    <cellStyle name="Normal 37 5" xfId="9101"/>
    <cellStyle name="Normal 38" xfId="1894"/>
    <cellStyle name="Normal 38 2" xfId="9102"/>
    <cellStyle name="Normal 38 2 2" xfId="9103"/>
    <cellStyle name="Normal 38 3" xfId="9104"/>
    <cellStyle name="Normal 38 4" xfId="9105"/>
    <cellStyle name="Normal 38 5" xfId="9106"/>
    <cellStyle name="Normal 39" xfId="9107"/>
    <cellStyle name="Normal 39 2" xfId="9108"/>
    <cellStyle name="Normal 39 3" xfId="9109"/>
    <cellStyle name="Normal 4" xfId="61"/>
    <cellStyle name="Normal 4 10" xfId="9110"/>
    <cellStyle name="Normal 4 11" xfId="9111"/>
    <cellStyle name="Normal 4 2" xfId="62"/>
    <cellStyle name="Normal 4 2 10" xfId="9112"/>
    <cellStyle name="Normal 4 2 10 2" xfId="9113"/>
    <cellStyle name="Normal 4 2 10 2 2" xfId="9114"/>
    <cellStyle name="Normal 4 2 10 3" xfId="9115"/>
    <cellStyle name="Normal 4 2 10 4" xfId="9116"/>
    <cellStyle name="Normal 4 2 10 5" xfId="9117"/>
    <cellStyle name="Normal 4 2 11" xfId="9118"/>
    <cellStyle name="Normal 4 2 2" xfId="9119"/>
    <cellStyle name="Normal 4 2 2 10" xfId="9120"/>
    <cellStyle name="Normal 4 2 2 11" xfId="9121"/>
    <cellStyle name="Normal 4 2 2 2" xfId="9122"/>
    <cellStyle name="Normal 4 2 2 2 10" xfId="9123"/>
    <cellStyle name="Normal 4 2 2 2 2" xfId="9124"/>
    <cellStyle name="Normal 4 2 2 2 2 2" xfId="9125"/>
    <cellStyle name="Normal 4 2 2 2 2 2 2" xfId="9126"/>
    <cellStyle name="Normal 4 2 2 2 2 2 2 2" xfId="9127"/>
    <cellStyle name="Normal 4 2 2 2 2 2 2 2 2" xfId="9128"/>
    <cellStyle name="Normal 4 2 2 2 2 2 2 2 3" xfId="9129"/>
    <cellStyle name="Normal 4 2 2 2 2 2 2 3" xfId="9130"/>
    <cellStyle name="Normal 4 2 2 2 2 2 2 3 2" xfId="9131"/>
    <cellStyle name="Normal 4 2 2 2 2 2 2 4" xfId="9132"/>
    <cellStyle name="Normal 4 2 2 2 2 2 2 5" xfId="9133"/>
    <cellStyle name="Normal 4 2 2 2 2 2 3" xfId="9134"/>
    <cellStyle name="Normal 4 2 2 2 2 2 3 2" xfId="9135"/>
    <cellStyle name="Normal 4 2 2 2 2 2 3 3" xfId="9136"/>
    <cellStyle name="Normal 4 2 2 2 2 2 4" xfId="9137"/>
    <cellStyle name="Normal 4 2 2 2 2 2 4 2" xfId="9138"/>
    <cellStyle name="Normal 4 2 2 2 2 2 5" xfId="9139"/>
    <cellStyle name="Normal 4 2 2 2 2 2 6" xfId="9140"/>
    <cellStyle name="Normal 4 2 2 2 2 3" xfId="9141"/>
    <cellStyle name="Normal 4 2 2 2 2 3 2" xfId="9142"/>
    <cellStyle name="Normal 4 2 2 2 2 3 2 2" xfId="9143"/>
    <cellStyle name="Normal 4 2 2 2 2 3 2 2 2" xfId="9144"/>
    <cellStyle name="Normal 4 2 2 2 2 3 2 3" xfId="9145"/>
    <cellStyle name="Normal 4 2 2 2 2 3 2 4" xfId="9146"/>
    <cellStyle name="Normal 4 2 2 2 2 3 2 5" xfId="9147"/>
    <cellStyle name="Normal 4 2 2 2 2 3 3" xfId="9148"/>
    <cellStyle name="Normal 4 2 2 2 2 3 3 2" xfId="9149"/>
    <cellStyle name="Normal 4 2 2 2 2 3 4" xfId="9150"/>
    <cellStyle name="Normal 4 2 2 2 2 3 5" xfId="9151"/>
    <cellStyle name="Normal 4 2 2 2 2 3 6" xfId="9152"/>
    <cellStyle name="Normal 4 2 2 2 2 4" xfId="9153"/>
    <cellStyle name="Normal 4 2 2 2 2 4 2" xfId="9154"/>
    <cellStyle name="Normal 4 2 2 2 2 4 2 2" xfId="9155"/>
    <cellStyle name="Normal 4 2 2 2 2 4 3" xfId="9156"/>
    <cellStyle name="Normal 4 2 2 2 2 4 4" xfId="9157"/>
    <cellStyle name="Normal 4 2 2 2 2 4 5" xfId="9158"/>
    <cellStyle name="Normal 4 2 2 2 2 5" xfId="9159"/>
    <cellStyle name="Normal 4 2 2 2 2 5 2" xfId="9160"/>
    <cellStyle name="Normal 4 2 2 2 2 5 2 2" xfId="9161"/>
    <cellStyle name="Normal 4 2 2 2 2 5 3" xfId="9162"/>
    <cellStyle name="Normal 4 2 2 2 2 5 4" xfId="9163"/>
    <cellStyle name="Normal 4 2 2 2 2 5 5" xfId="9164"/>
    <cellStyle name="Normal 4 2 2 2 2 6" xfId="9165"/>
    <cellStyle name="Normal 4 2 2 2 2 6 2" xfId="9166"/>
    <cellStyle name="Normal 4 2 2 2 2 7" xfId="9167"/>
    <cellStyle name="Normal 4 2 2 2 2 8" xfId="9168"/>
    <cellStyle name="Normal 4 2 2 2 2 9" xfId="9169"/>
    <cellStyle name="Normal 4 2 2 2 3" xfId="9170"/>
    <cellStyle name="Normal 4 2 2 2 3 2" xfId="9171"/>
    <cellStyle name="Normal 4 2 2 2 3 2 2" xfId="9172"/>
    <cellStyle name="Normal 4 2 2 2 3 2 2 2" xfId="9173"/>
    <cellStyle name="Normal 4 2 2 2 3 2 2 3" xfId="9174"/>
    <cellStyle name="Normal 4 2 2 2 3 2 3" xfId="9175"/>
    <cellStyle name="Normal 4 2 2 2 3 2 3 2" xfId="9176"/>
    <cellStyle name="Normal 4 2 2 2 3 2 4" xfId="9177"/>
    <cellStyle name="Normal 4 2 2 2 3 2 5" xfId="9178"/>
    <cellStyle name="Normal 4 2 2 2 3 3" xfId="9179"/>
    <cellStyle name="Normal 4 2 2 2 3 3 2" xfId="9180"/>
    <cellStyle name="Normal 4 2 2 2 3 3 3" xfId="9181"/>
    <cellStyle name="Normal 4 2 2 2 3 4" xfId="9182"/>
    <cellStyle name="Normal 4 2 2 2 3 4 2" xfId="9183"/>
    <cellStyle name="Normal 4 2 2 2 3 5" xfId="9184"/>
    <cellStyle name="Normal 4 2 2 2 3 6" xfId="9185"/>
    <cellStyle name="Normal 4 2 2 2 4" xfId="9186"/>
    <cellStyle name="Normal 4 2 2 2 4 2" xfId="9187"/>
    <cellStyle name="Normal 4 2 2 2 4 2 2" xfId="9188"/>
    <cellStyle name="Normal 4 2 2 2 4 2 2 2" xfId="9189"/>
    <cellStyle name="Normal 4 2 2 2 4 2 3" xfId="9190"/>
    <cellStyle name="Normal 4 2 2 2 4 2 4" xfId="9191"/>
    <cellStyle name="Normal 4 2 2 2 4 2 5" xfId="9192"/>
    <cellStyle name="Normal 4 2 2 2 4 3" xfId="9193"/>
    <cellStyle name="Normal 4 2 2 2 4 3 2" xfId="9194"/>
    <cellStyle name="Normal 4 2 2 2 4 4" xfId="9195"/>
    <cellStyle name="Normal 4 2 2 2 4 5" xfId="9196"/>
    <cellStyle name="Normal 4 2 2 2 4 6" xfId="9197"/>
    <cellStyle name="Normal 4 2 2 2 5" xfId="9198"/>
    <cellStyle name="Normal 4 2 2 2 5 2" xfId="9199"/>
    <cellStyle name="Normal 4 2 2 2 5 2 2" xfId="9200"/>
    <cellStyle name="Normal 4 2 2 2 5 3" xfId="9201"/>
    <cellStyle name="Normal 4 2 2 2 5 4" xfId="9202"/>
    <cellStyle name="Normal 4 2 2 2 5 5" xfId="9203"/>
    <cellStyle name="Normal 4 2 2 2 6" xfId="9204"/>
    <cellStyle name="Normal 4 2 2 2 6 2" xfId="9205"/>
    <cellStyle name="Normal 4 2 2 2 6 2 2" xfId="9206"/>
    <cellStyle name="Normal 4 2 2 2 6 3" xfId="9207"/>
    <cellStyle name="Normal 4 2 2 2 6 4" xfId="9208"/>
    <cellStyle name="Normal 4 2 2 2 6 5" xfId="9209"/>
    <cellStyle name="Normal 4 2 2 2 7" xfId="9210"/>
    <cellStyle name="Normal 4 2 2 2 7 2" xfId="9211"/>
    <cellStyle name="Normal 4 2 2 2 8" xfId="9212"/>
    <cellStyle name="Normal 4 2 2 2 9" xfId="9213"/>
    <cellStyle name="Normal 4 2 2 3" xfId="9214"/>
    <cellStyle name="Normal 4 2 2 3 2" xfId="9215"/>
    <cellStyle name="Normal 4 2 2 3 2 2" xfId="9216"/>
    <cellStyle name="Normal 4 2 2 3 2 2 2" xfId="9217"/>
    <cellStyle name="Normal 4 2 2 3 2 2 2 2" xfId="9218"/>
    <cellStyle name="Normal 4 2 2 3 2 2 2 3" xfId="9219"/>
    <cellStyle name="Normal 4 2 2 3 2 2 3" xfId="9220"/>
    <cellStyle name="Normal 4 2 2 3 2 2 3 2" xfId="9221"/>
    <cellStyle name="Normal 4 2 2 3 2 2 4" xfId="9222"/>
    <cellStyle name="Normal 4 2 2 3 2 2 5" xfId="9223"/>
    <cellStyle name="Normal 4 2 2 3 2 3" xfId="9224"/>
    <cellStyle name="Normal 4 2 2 3 2 3 2" xfId="9225"/>
    <cellStyle name="Normal 4 2 2 3 2 3 3" xfId="9226"/>
    <cellStyle name="Normal 4 2 2 3 2 4" xfId="9227"/>
    <cellStyle name="Normal 4 2 2 3 2 4 2" xfId="9228"/>
    <cellStyle name="Normal 4 2 2 3 2 5" xfId="9229"/>
    <cellStyle name="Normal 4 2 2 3 2 6" xfId="9230"/>
    <cellStyle name="Normal 4 2 2 3 3" xfId="9231"/>
    <cellStyle name="Normal 4 2 2 3 3 2" xfId="9232"/>
    <cellStyle name="Normal 4 2 2 3 3 2 2" xfId="9233"/>
    <cellStyle name="Normal 4 2 2 3 3 2 2 2" xfId="9234"/>
    <cellStyle name="Normal 4 2 2 3 3 2 3" xfId="9235"/>
    <cellStyle name="Normal 4 2 2 3 3 2 4" xfId="9236"/>
    <cellStyle name="Normal 4 2 2 3 3 2 5" xfId="9237"/>
    <cellStyle name="Normal 4 2 2 3 3 3" xfId="9238"/>
    <cellStyle name="Normal 4 2 2 3 3 3 2" xfId="9239"/>
    <cellStyle name="Normal 4 2 2 3 3 4" xfId="9240"/>
    <cellStyle name="Normal 4 2 2 3 3 5" xfId="9241"/>
    <cellStyle name="Normal 4 2 2 3 3 6" xfId="9242"/>
    <cellStyle name="Normal 4 2 2 3 4" xfId="9243"/>
    <cellStyle name="Normal 4 2 2 3 4 2" xfId="9244"/>
    <cellStyle name="Normal 4 2 2 3 4 2 2" xfId="9245"/>
    <cellStyle name="Normal 4 2 2 3 4 3" xfId="9246"/>
    <cellStyle name="Normal 4 2 2 3 4 4" xfId="9247"/>
    <cellStyle name="Normal 4 2 2 3 4 5" xfId="9248"/>
    <cellStyle name="Normal 4 2 2 3 5" xfId="9249"/>
    <cellStyle name="Normal 4 2 2 3 5 2" xfId="9250"/>
    <cellStyle name="Normal 4 2 2 3 5 2 2" xfId="9251"/>
    <cellStyle name="Normal 4 2 2 3 5 3" xfId="9252"/>
    <cellStyle name="Normal 4 2 2 3 5 4" xfId="9253"/>
    <cellStyle name="Normal 4 2 2 3 5 5" xfId="9254"/>
    <cellStyle name="Normal 4 2 2 3 6" xfId="9255"/>
    <cellStyle name="Normal 4 2 2 3 6 2" xfId="9256"/>
    <cellStyle name="Normal 4 2 2 3 7" xfId="9257"/>
    <cellStyle name="Normal 4 2 2 3 8" xfId="9258"/>
    <cellStyle name="Normal 4 2 2 3 9" xfId="9259"/>
    <cellStyle name="Normal 4 2 2 4" xfId="9260"/>
    <cellStyle name="Normal 4 2 2 4 2" xfId="9261"/>
    <cellStyle name="Normal 4 2 2 4 2 2" xfId="9262"/>
    <cellStyle name="Normal 4 2 2 4 2 2 2" xfId="9263"/>
    <cellStyle name="Normal 4 2 2 4 2 2 3" xfId="9264"/>
    <cellStyle name="Normal 4 2 2 4 2 3" xfId="9265"/>
    <cellStyle name="Normal 4 2 2 4 2 3 2" xfId="9266"/>
    <cellStyle name="Normal 4 2 2 4 2 4" xfId="9267"/>
    <cellStyle name="Normal 4 2 2 4 2 5" xfId="9268"/>
    <cellStyle name="Normal 4 2 2 4 3" xfId="9269"/>
    <cellStyle name="Normal 4 2 2 4 3 2" xfId="9270"/>
    <cellStyle name="Normal 4 2 2 4 3 3" xfId="9271"/>
    <cellStyle name="Normal 4 2 2 4 4" xfId="9272"/>
    <cellStyle name="Normal 4 2 2 4 4 2" xfId="9273"/>
    <cellStyle name="Normal 4 2 2 4 5" xfId="9274"/>
    <cellStyle name="Normal 4 2 2 4 6" xfId="9275"/>
    <cellStyle name="Normal 4 2 2 5" xfId="9276"/>
    <cellStyle name="Normal 4 2 2 5 2" xfId="9277"/>
    <cellStyle name="Normal 4 2 2 5 2 2" xfId="9278"/>
    <cellStyle name="Normal 4 2 2 5 2 2 2" xfId="9279"/>
    <cellStyle name="Normal 4 2 2 5 2 3" xfId="9280"/>
    <cellStyle name="Normal 4 2 2 5 2 4" xfId="9281"/>
    <cellStyle name="Normal 4 2 2 5 2 5" xfId="9282"/>
    <cellStyle name="Normal 4 2 2 5 3" xfId="9283"/>
    <cellStyle name="Normal 4 2 2 5 3 2" xfId="9284"/>
    <cellStyle name="Normal 4 2 2 5 4" xfId="9285"/>
    <cellStyle name="Normal 4 2 2 5 5" xfId="9286"/>
    <cellStyle name="Normal 4 2 2 5 6" xfId="9287"/>
    <cellStyle name="Normal 4 2 2 6" xfId="9288"/>
    <cellStyle name="Normal 4 2 2 6 2" xfId="9289"/>
    <cellStyle name="Normal 4 2 2 6 2 2" xfId="9290"/>
    <cellStyle name="Normal 4 2 2 6 3" xfId="9291"/>
    <cellStyle name="Normal 4 2 2 6 4" xfId="9292"/>
    <cellStyle name="Normal 4 2 2 6 5" xfId="9293"/>
    <cellStyle name="Normal 4 2 2 7" xfId="9294"/>
    <cellStyle name="Normal 4 2 2 7 2" xfId="9295"/>
    <cellStyle name="Normal 4 2 2 7 2 2" xfId="9296"/>
    <cellStyle name="Normal 4 2 2 7 3" xfId="9297"/>
    <cellStyle name="Normal 4 2 2 7 4" xfId="9298"/>
    <cellStyle name="Normal 4 2 2 7 5" xfId="9299"/>
    <cellStyle name="Normal 4 2 2 8" xfId="9300"/>
    <cellStyle name="Normal 4 2 2 8 2" xfId="9301"/>
    <cellStyle name="Normal 4 2 2 9" xfId="9302"/>
    <cellStyle name="Normal 4 2 3" xfId="9303"/>
    <cellStyle name="Normal 4 2 3 10" xfId="9304"/>
    <cellStyle name="Normal 4 2 3 11" xfId="9305"/>
    <cellStyle name="Normal 4 2 3 2" xfId="9306"/>
    <cellStyle name="Normal 4 2 3 2 10" xfId="9307"/>
    <cellStyle name="Normal 4 2 3 2 2" xfId="9308"/>
    <cellStyle name="Normal 4 2 3 2 2 2" xfId="9309"/>
    <cellStyle name="Normal 4 2 3 2 2 2 2" xfId="9310"/>
    <cellStyle name="Normal 4 2 3 2 2 2 2 2" xfId="9311"/>
    <cellStyle name="Normal 4 2 3 2 2 2 2 2 2" xfId="9312"/>
    <cellStyle name="Normal 4 2 3 2 2 2 2 2 3" xfId="9313"/>
    <cellStyle name="Normal 4 2 3 2 2 2 2 3" xfId="9314"/>
    <cellStyle name="Normal 4 2 3 2 2 2 2 3 2" xfId="9315"/>
    <cellStyle name="Normal 4 2 3 2 2 2 2 4" xfId="9316"/>
    <cellStyle name="Normal 4 2 3 2 2 2 2 5" xfId="9317"/>
    <cellStyle name="Normal 4 2 3 2 2 2 3" xfId="9318"/>
    <cellStyle name="Normal 4 2 3 2 2 2 3 2" xfId="9319"/>
    <cellStyle name="Normal 4 2 3 2 2 2 3 3" xfId="9320"/>
    <cellStyle name="Normal 4 2 3 2 2 2 4" xfId="9321"/>
    <cellStyle name="Normal 4 2 3 2 2 2 4 2" xfId="9322"/>
    <cellStyle name="Normal 4 2 3 2 2 2 5" xfId="9323"/>
    <cellStyle name="Normal 4 2 3 2 2 2 6" xfId="9324"/>
    <cellStyle name="Normal 4 2 3 2 2 3" xfId="9325"/>
    <cellStyle name="Normal 4 2 3 2 2 3 2" xfId="9326"/>
    <cellStyle name="Normal 4 2 3 2 2 3 2 2" xfId="9327"/>
    <cellStyle name="Normal 4 2 3 2 2 3 2 2 2" xfId="9328"/>
    <cellStyle name="Normal 4 2 3 2 2 3 2 3" xfId="9329"/>
    <cellStyle name="Normal 4 2 3 2 2 3 2 4" xfId="9330"/>
    <cellStyle name="Normal 4 2 3 2 2 3 2 5" xfId="9331"/>
    <cellStyle name="Normal 4 2 3 2 2 3 3" xfId="9332"/>
    <cellStyle name="Normal 4 2 3 2 2 3 3 2" xfId="9333"/>
    <cellStyle name="Normal 4 2 3 2 2 3 4" xfId="9334"/>
    <cellStyle name="Normal 4 2 3 2 2 3 5" xfId="9335"/>
    <cellStyle name="Normal 4 2 3 2 2 3 6" xfId="9336"/>
    <cellStyle name="Normal 4 2 3 2 2 4" xfId="9337"/>
    <cellStyle name="Normal 4 2 3 2 2 4 2" xfId="9338"/>
    <cellStyle name="Normal 4 2 3 2 2 4 2 2" xfId="9339"/>
    <cellStyle name="Normal 4 2 3 2 2 4 3" xfId="9340"/>
    <cellStyle name="Normal 4 2 3 2 2 4 4" xfId="9341"/>
    <cellStyle name="Normal 4 2 3 2 2 4 5" xfId="9342"/>
    <cellStyle name="Normal 4 2 3 2 2 5" xfId="9343"/>
    <cellStyle name="Normal 4 2 3 2 2 5 2" xfId="9344"/>
    <cellStyle name="Normal 4 2 3 2 2 5 2 2" xfId="9345"/>
    <cellStyle name="Normal 4 2 3 2 2 5 3" xfId="9346"/>
    <cellStyle name="Normal 4 2 3 2 2 5 4" xfId="9347"/>
    <cellStyle name="Normal 4 2 3 2 2 5 5" xfId="9348"/>
    <cellStyle name="Normal 4 2 3 2 2 6" xfId="9349"/>
    <cellStyle name="Normal 4 2 3 2 2 6 2" xfId="9350"/>
    <cellStyle name="Normal 4 2 3 2 2 7" xfId="9351"/>
    <cellStyle name="Normal 4 2 3 2 2 8" xfId="9352"/>
    <cellStyle name="Normal 4 2 3 2 2 9" xfId="9353"/>
    <cellStyle name="Normal 4 2 3 2 3" xfId="9354"/>
    <cellStyle name="Normal 4 2 3 2 3 2" xfId="9355"/>
    <cellStyle name="Normal 4 2 3 2 3 2 2" xfId="9356"/>
    <cellStyle name="Normal 4 2 3 2 3 2 2 2" xfId="9357"/>
    <cellStyle name="Normal 4 2 3 2 3 2 2 3" xfId="9358"/>
    <cellStyle name="Normal 4 2 3 2 3 2 3" xfId="9359"/>
    <cellStyle name="Normal 4 2 3 2 3 2 3 2" xfId="9360"/>
    <cellStyle name="Normal 4 2 3 2 3 2 4" xfId="9361"/>
    <cellStyle name="Normal 4 2 3 2 3 2 5" xfId="9362"/>
    <cellStyle name="Normal 4 2 3 2 3 3" xfId="9363"/>
    <cellStyle name="Normal 4 2 3 2 3 3 2" xfId="9364"/>
    <cellStyle name="Normal 4 2 3 2 3 3 3" xfId="9365"/>
    <cellStyle name="Normal 4 2 3 2 3 4" xfId="9366"/>
    <cellStyle name="Normal 4 2 3 2 3 4 2" xfId="9367"/>
    <cellStyle name="Normal 4 2 3 2 3 5" xfId="9368"/>
    <cellStyle name="Normal 4 2 3 2 3 6" xfId="9369"/>
    <cellStyle name="Normal 4 2 3 2 4" xfId="9370"/>
    <cellStyle name="Normal 4 2 3 2 4 2" xfId="9371"/>
    <cellStyle name="Normal 4 2 3 2 4 2 2" xfId="9372"/>
    <cellStyle name="Normal 4 2 3 2 4 2 2 2" xfId="9373"/>
    <cellStyle name="Normal 4 2 3 2 4 2 3" xfId="9374"/>
    <cellStyle name="Normal 4 2 3 2 4 2 4" xfId="9375"/>
    <cellStyle name="Normal 4 2 3 2 4 2 5" xfId="9376"/>
    <cellStyle name="Normal 4 2 3 2 4 3" xfId="9377"/>
    <cellStyle name="Normal 4 2 3 2 4 3 2" xfId="9378"/>
    <cellStyle name="Normal 4 2 3 2 4 4" xfId="9379"/>
    <cellStyle name="Normal 4 2 3 2 4 5" xfId="9380"/>
    <cellStyle name="Normal 4 2 3 2 4 6" xfId="9381"/>
    <cellStyle name="Normal 4 2 3 2 5" xfId="9382"/>
    <cellStyle name="Normal 4 2 3 2 5 2" xfId="9383"/>
    <cellStyle name="Normal 4 2 3 2 5 2 2" xfId="9384"/>
    <cellStyle name="Normal 4 2 3 2 5 3" xfId="9385"/>
    <cellStyle name="Normal 4 2 3 2 5 4" xfId="9386"/>
    <cellStyle name="Normal 4 2 3 2 5 5" xfId="9387"/>
    <cellStyle name="Normal 4 2 3 2 6" xfId="9388"/>
    <cellStyle name="Normal 4 2 3 2 6 2" xfId="9389"/>
    <cellStyle name="Normal 4 2 3 2 6 2 2" xfId="9390"/>
    <cellStyle name="Normal 4 2 3 2 6 3" xfId="9391"/>
    <cellStyle name="Normal 4 2 3 2 6 4" xfId="9392"/>
    <cellStyle name="Normal 4 2 3 2 6 5" xfId="9393"/>
    <cellStyle name="Normal 4 2 3 2 7" xfId="9394"/>
    <cellStyle name="Normal 4 2 3 2 7 2" xfId="9395"/>
    <cellStyle name="Normal 4 2 3 2 8" xfId="9396"/>
    <cellStyle name="Normal 4 2 3 2 9" xfId="9397"/>
    <cellStyle name="Normal 4 2 3 3" xfId="9398"/>
    <cellStyle name="Normal 4 2 3 3 2" xfId="9399"/>
    <cellStyle name="Normal 4 2 3 3 2 2" xfId="9400"/>
    <cellStyle name="Normal 4 2 3 3 2 2 2" xfId="9401"/>
    <cellStyle name="Normal 4 2 3 3 2 2 2 2" xfId="9402"/>
    <cellStyle name="Normal 4 2 3 3 2 2 2 3" xfId="9403"/>
    <cellStyle name="Normal 4 2 3 3 2 2 3" xfId="9404"/>
    <cellStyle name="Normal 4 2 3 3 2 2 3 2" xfId="9405"/>
    <cellStyle name="Normal 4 2 3 3 2 2 4" xfId="9406"/>
    <cellStyle name="Normal 4 2 3 3 2 2 5" xfId="9407"/>
    <cellStyle name="Normal 4 2 3 3 2 3" xfId="9408"/>
    <cellStyle name="Normal 4 2 3 3 2 3 2" xfId="9409"/>
    <cellStyle name="Normal 4 2 3 3 2 3 3" xfId="9410"/>
    <cellStyle name="Normal 4 2 3 3 2 4" xfId="9411"/>
    <cellStyle name="Normal 4 2 3 3 2 4 2" xfId="9412"/>
    <cellStyle name="Normal 4 2 3 3 2 5" xfId="9413"/>
    <cellStyle name="Normal 4 2 3 3 2 6" xfId="9414"/>
    <cellStyle name="Normal 4 2 3 3 3" xfId="9415"/>
    <cellStyle name="Normal 4 2 3 3 3 2" xfId="9416"/>
    <cellStyle name="Normal 4 2 3 3 3 2 2" xfId="9417"/>
    <cellStyle name="Normal 4 2 3 3 3 2 2 2" xfId="9418"/>
    <cellStyle name="Normal 4 2 3 3 3 2 3" xfId="9419"/>
    <cellStyle name="Normal 4 2 3 3 3 2 4" xfId="9420"/>
    <cellStyle name="Normal 4 2 3 3 3 2 5" xfId="9421"/>
    <cellStyle name="Normal 4 2 3 3 3 3" xfId="9422"/>
    <cellStyle name="Normal 4 2 3 3 3 3 2" xfId="9423"/>
    <cellStyle name="Normal 4 2 3 3 3 4" xfId="9424"/>
    <cellStyle name="Normal 4 2 3 3 3 5" xfId="9425"/>
    <cellStyle name="Normal 4 2 3 3 3 6" xfId="9426"/>
    <cellStyle name="Normal 4 2 3 3 4" xfId="9427"/>
    <cellStyle name="Normal 4 2 3 3 4 2" xfId="9428"/>
    <cellStyle name="Normal 4 2 3 3 4 2 2" xfId="9429"/>
    <cellStyle name="Normal 4 2 3 3 4 3" xfId="9430"/>
    <cellStyle name="Normal 4 2 3 3 4 4" xfId="9431"/>
    <cellStyle name="Normal 4 2 3 3 4 5" xfId="9432"/>
    <cellStyle name="Normal 4 2 3 3 5" xfId="9433"/>
    <cellStyle name="Normal 4 2 3 3 5 2" xfId="9434"/>
    <cellStyle name="Normal 4 2 3 3 5 2 2" xfId="9435"/>
    <cellStyle name="Normal 4 2 3 3 5 3" xfId="9436"/>
    <cellStyle name="Normal 4 2 3 3 5 4" xfId="9437"/>
    <cellStyle name="Normal 4 2 3 3 5 5" xfId="9438"/>
    <cellStyle name="Normal 4 2 3 3 6" xfId="9439"/>
    <cellStyle name="Normal 4 2 3 3 6 2" xfId="9440"/>
    <cellStyle name="Normal 4 2 3 3 7" xfId="9441"/>
    <cellStyle name="Normal 4 2 3 3 8" xfId="9442"/>
    <cellStyle name="Normal 4 2 3 3 9" xfId="9443"/>
    <cellStyle name="Normal 4 2 3 4" xfId="9444"/>
    <cellStyle name="Normal 4 2 3 4 2" xfId="9445"/>
    <cellStyle name="Normal 4 2 3 4 2 2" xfId="9446"/>
    <cellStyle name="Normal 4 2 3 4 2 2 2" xfId="9447"/>
    <cellStyle name="Normal 4 2 3 4 2 2 3" xfId="9448"/>
    <cellStyle name="Normal 4 2 3 4 2 3" xfId="9449"/>
    <cellStyle name="Normal 4 2 3 4 2 3 2" xfId="9450"/>
    <cellStyle name="Normal 4 2 3 4 2 4" xfId="9451"/>
    <cellStyle name="Normal 4 2 3 4 2 5" xfId="9452"/>
    <cellStyle name="Normal 4 2 3 4 3" xfId="9453"/>
    <cellStyle name="Normal 4 2 3 4 3 2" xfId="9454"/>
    <cellStyle name="Normal 4 2 3 4 3 3" xfId="9455"/>
    <cellStyle name="Normal 4 2 3 4 4" xfId="9456"/>
    <cellStyle name="Normal 4 2 3 4 4 2" xfId="9457"/>
    <cellStyle name="Normal 4 2 3 4 5" xfId="9458"/>
    <cellStyle name="Normal 4 2 3 4 6" xfId="9459"/>
    <cellStyle name="Normal 4 2 3 5" xfId="9460"/>
    <cellStyle name="Normal 4 2 3 5 2" xfId="9461"/>
    <cellStyle name="Normal 4 2 3 5 2 2" xfId="9462"/>
    <cellStyle name="Normal 4 2 3 5 2 2 2" xfId="9463"/>
    <cellStyle name="Normal 4 2 3 5 2 3" xfId="9464"/>
    <cellStyle name="Normal 4 2 3 5 2 4" xfId="9465"/>
    <cellStyle name="Normal 4 2 3 5 2 5" xfId="9466"/>
    <cellStyle name="Normal 4 2 3 5 3" xfId="9467"/>
    <cellStyle name="Normal 4 2 3 5 3 2" xfId="9468"/>
    <cellStyle name="Normal 4 2 3 5 4" xfId="9469"/>
    <cellStyle name="Normal 4 2 3 5 5" xfId="9470"/>
    <cellStyle name="Normal 4 2 3 5 6" xfId="9471"/>
    <cellStyle name="Normal 4 2 3 6" xfId="9472"/>
    <cellStyle name="Normal 4 2 3 6 2" xfId="9473"/>
    <cellStyle name="Normal 4 2 3 6 2 2" xfId="9474"/>
    <cellStyle name="Normal 4 2 3 6 3" xfId="9475"/>
    <cellStyle name="Normal 4 2 3 6 4" xfId="9476"/>
    <cellStyle name="Normal 4 2 3 6 5" xfId="9477"/>
    <cellStyle name="Normal 4 2 3 7" xfId="9478"/>
    <cellStyle name="Normal 4 2 3 7 2" xfId="9479"/>
    <cellStyle name="Normal 4 2 3 7 2 2" xfId="9480"/>
    <cellStyle name="Normal 4 2 3 7 3" xfId="9481"/>
    <cellStyle name="Normal 4 2 3 7 4" xfId="9482"/>
    <cellStyle name="Normal 4 2 3 7 5" xfId="9483"/>
    <cellStyle name="Normal 4 2 3 8" xfId="9484"/>
    <cellStyle name="Normal 4 2 3 8 2" xfId="9485"/>
    <cellStyle name="Normal 4 2 3 9" xfId="9486"/>
    <cellStyle name="Normal 4 2 4" xfId="9487"/>
    <cellStyle name="Normal 4 2 4 10" xfId="9488"/>
    <cellStyle name="Normal 4 2 4 2" xfId="9489"/>
    <cellStyle name="Normal 4 2 4 2 2" xfId="9490"/>
    <cellStyle name="Normal 4 2 4 2 2 2" xfId="9491"/>
    <cellStyle name="Normal 4 2 4 2 2 2 2" xfId="9492"/>
    <cellStyle name="Normal 4 2 4 2 2 2 2 2" xfId="9493"/>
    <cellStyle name="Normal 4 2 4 2 2 2 2 3" xfId="9494"/>
    <cellStyle name="Normal 4 2 4 2 2 2 3" xfId="9495"/>
    <cellStyle name="Normal 4 2 4 2 2 2 3 2" xfId="9496"/>
    <cellStyle name="Normal 4 2 4 2 2 2 4" xfId="9497"/>
    <cellStyle name="Normal 4 2 4 2 2 2 5" xfId="9498"/>
    <cellStyle name="Normal 4 2 4 2 2 3" xfId="9499"/>
    <cellStyle name="Normal 4 2 4 2 2 3 2" xfId="9500"/>
    <cellStyle name="Normal 4 2 4 2 2 3 3" xfId="9501"/>
    <cellStyle name="Normal 4 2 4 2 2 4" xfId="9502"/>
    <cellStyle name="Normal 4 2 4 2 2 4 2" xfId="9503"/>
    <cellStyle name="Normal 4 2 4 2 2 5" xfId="9504"/>
    <cellStyle name="Normal 4 2 4 2 2 6" xfId="9505"/>
    <cellStyle name="Normal 4 2 4 2 3" xfId="9506"/>
    <cellStyle name="Normal 4 2 4 2 3 2" xfId="9507"/>
    <cellStyle name="Normal 4 2 4 2 3 2 2" xfId="9508"/>
    <cellStyle name="Normal 4 2 4 2 3 2 2 2" xfId="9509"/>
    <cellStyle name="Normal 4 2 4 2 3 2 3" xfId="9510"/>
    <cellStyle name="Normal 4 2 4 2 3 2 4" xfId="9511"/>
    <cellStyle name="Normal 4 2 4 2 3 2 5" xfId="9512"/>
    <cellStyle name="Normal 4 2 4 2 3 3" xfId="9513"/>
    <cellStyle name="Normal 4 2 4 2 3 3 2" xfId="9514"/>
    <cellStyle name="Normal 4 2 4 2 3 4" xfId="9515"/>
    <cellStyle name="Normal 4 2 4 2 3 5" xfId="9516"/>
    <cellStyle name="Normal 4 2 4 2 3 6" xfId="9517"/>
    <cellStyle name="Normal 4 2 4 2 4" xfId="9518"/>
    <cellStyle name="Normal 4 2 4 2 4 2" xfId="9519"/>
    <cellStyle name="Normal 4 2 4 2 4 2 2" xfId="9520"/>
    <cellStyle name="Normal 4 2 4 2 4 3" xfId="9521"/>
    <cellStyle name="Normal 4 2 4 2 4 4" xfId="9522"/>
    <cellStyle name="Normal 4 2 4 2 4 5" xfId="9523"/>
    <cellStyle name="Normal 4 2 4 2 5" xfId="9524"/>
    <cellStyle name="Normal 4 2 4 2 5 2" xfId="9525"/>
    <cellStyle name="Normal 4 2 4 2 5 2 2" xfId="9526"/>
    <cellStyle name="Normal 4 2 4 2 5 3" xfId="9527"/>
    <cellStyle name="Normal 4 2 4 2 5 4" xfId="9528"/>
    <cellStyle name="Normal 4 2 4 2 5 5" xfId="9529"/>
    <cellStyle name="Normal 4 2 4 2 6" xfId="9530"/>
    <cellStyle name="Normal 4 2 4 2 6 2" xfId="9531"/>
    <cellStyle name="Normal 4 2 4 2 7" xfId="9532"/>
    <cellStyle name="Normal 4 2 4 2 8" xfId="9533"/>
    <cellStyle name="Normal 4 2 4 2 9" xfId="9534"/>
    <cellStyle name="Normal 4 2 4 3" xfId="9535"/>
    <cellStyle name="Normal 4 2 4 3 2" xfId="9536"/>
    <cellStyle name="Normal 4 2 4 3 2 2" xfId="9537"/>
    <cellStyle name="Normal 4 2 4 3 2 2 2" xfId="9538"/>
    <cellStyle name="Normal 4 2 4 3 2 2 3" xfId="9539"/>
    <cellStyle name="Normal 4 2 4 3 2 3" xfId="9540"/>
    <cellStyle name="Normal 4 2 4 3 2 3 2" xfId="9541"/>
    <cellStyle name="Normal 4 2 4 3 2 4" xfId="9542"/>
    <cellStyle name="Normal 4 2 4 3 2 5" xfId="9543"/>
    <cellStyle name="Normal 4 2 4 3 3" xfId="9544"/>
    <cellStyle name="Normal 4 2 4 3 3 2" xfId="9545"/>
    <cellStyle name="Normal 4 2 4 3 3 3" xfId="9546"/>
    <cellStyle name="Normal 4 2 4 3 4" xfId="9547"/>
    <cellStyle name="Normal 4 2 4 3 4 2" xfId="9548"/>
    <cellStyle name="Normal 4 2 4 3 5" xfId="9549"/>
    <cellStyle name="Normal 4 2 4 3 6" xfId="9550"/>
    <cellStyle name="Normal 4 2 4 4" xfId="9551"/>
    <cellStyle name="Normal 4 2 4 4 2" xfId="9552"/>
    <cellStyle name="Normal 4 2 4 4 2 2" xfId="9553"/>
    <cellStyle name="Normal 4 2 4 4 2 2 2" xfId="9554"/>
    <cellStyle name="Normal 4 2 4 4 2 3" xfId="9555"/>
    <cellStyle name="Normal 4 2 4 4 2 4" xfId="9556"/>
    <cellStyle name="Normal 4 2 4 4 2 5" xfId="9557"/>
    <cellStyle name="Normal 4 2 4 4 3" xfId="9558"/>
    <cellStyle name="Normal 4 2 4 4 3 2" xfId="9559"/>
    <cellStyle name="Normal 4 2 4 4 4" xfId="9560"/>
    <cellStyle name="Normal 4 2 4 4 5" xfId="9561"/>
    <cellStyle name="Normal 4 2 4 4 6" xfId="9562"/>
    <cellStyle name="Normal 4 2 4 5" xfId="9563"/>
    <cellStyle name="Normal 4 2 4 5 2" xfId="9564"/>
    <cellStyle name="Normal 4 2 4 5 2 2" xfId="9565"/>
    <cellStyle name="Normal 4 2 4 5 3" xfId="9566"/>
    <cellStyle name="Normal 4 2 4 5 4" xfId="9567"/>
    <cellStyle name="Normal 4 2 4 5 5" xfId="9568"/>
    <cellStyle name="Normal 4 2 4 6" xfId="9569"/>
    <cellStyle name="Normal 4 2 4 6 2" xfId="9570"/>
    <cellStyle name="Normal 4 2 4 6 2 2" xfId="9571"/>
    <cellStyle name="Normal 4 2 4 6 3" xfId="9572"/>
    <cellStyle name="Normal 4 2 4 6 4" xfId="9573"/>
    <cellStyle name="Normal 4 2 4 6 5" xfId="9574"/>
    <cellStyle name="Normal 4 2 4 7" xfId="9575"/>
    <cellStyle name="Normal 4 2 4 7 2" xfId="9576"/>
    <cellStyle name="Normal 4 2 4 8" xfId="9577"/>
    <cellStyle name="Normal 4 2 4 9" xfId="9578"/>
    <cellStyle name="Normal 4 2 5" xfId="9579"/>
    <cellStyle name="Normal 4 2 5 2" xfId="9580"/>
    <cellStyle name="Normal 4 2 5 2 2" xfId="9581"/>
    <cellStyle name="Normal 4 2 5 2 2 2" xfId="9582"/>
    <cellStyle name="Normal 4 2 5 2 2 2 2" xfId="9583"/>
    <cellStyle name="Normal 4 2 5 2 2 2 3" xfId="9584"/>
    <cellStyle name="Normal 4 2 5 2 2 3" xfId="9585"/>
    <cellStyle name="Normal 4 2 5 2 2 3 2" xfId="9586"/>
    <cellStyle name="Normal 4 2 5 2 2 4" xfId="9587"/>
    <cellStyle name="Normal 4 2 5 2 2 5" xfId="9588"/>
    <cellStyle name="Normal 4 2 5 2 3" xfId="9589"/>
    <cellStyle name="Normal 4 2 5 2 3 2" xfId="9590"/>
    <cellStyle name="Normal 4 2 5 2 3 3" xfId="9591"/>
    <cellStyle name="Normal 4 2 5 2 4" xfId="9592"/>
    <cellStyle name="Normal 4 2 5 2 4 2" xfId="9593"/>
    <cellStyle name="Normal 4 2 5 2 5" xfId="9594"/>
    <cellStyle name="Normal 4 2 5 2 6" xfId="9595"/>
    <cellStyle name="Normal 4 2 5 3" xfId="9596"/>
    <cellStyle name="Normal 4 2 5 3 2" xfId="9597"/>
    <cellStyle name="Normal 4 2 5 3 2 2" xfId="9598"/>
    <cellStyle name="Normal 4 2 5 3 2 2 2" xfId="9599"/>
    <cellStyle name="Normal 4 2 5 3 2 3" xfId="9600"/>
    <cellStyle name="Normal 4 2 5 3 2 4" xfId="9601"/>
    <cellStyle name="Normal 4 2 5 3 2 5" xfId="9602"/>
    <cellStyle name="Normal 4 2 5 3 3" xfId="9603"/>
    <cellStyle name="Normal 4 2 5 3 3 2" xfId="9604"/>
    <cellStyle name="Normal 4 2 5 3 4" xfId="9605"/>
    <cellStyle name="Normal 4 2 5 3 5" xfId="9606"/>
    <cellStyle name="Normal 4 2 5 3 6" xfId="9607"/>
    <cellStyle name="Normal 4 2 5 4" xfId="9608"/>
    <cellStyle name="Normal 4 2 5 4 2" xfId="9609"/>
    <cellStyle name="Normal 4 2 5 4 2 2" xfId="9610"/>
    <cellStyle name="Normal 4 2 5 4 3" xfId="9611"/>
    <cellStyle name="Normal 4 2 5 4 4" xfId="9612"/>
    <cellStyle name="Normal 4 2 5 4 5" xfId="9613"/>
    <cellStyle name="Normal 4 2 5 5" xfId="9614"/>
    <cellStyle name="Normal 4 2 5 5 2" xfId="9615"/>
    <cellStyle name="Normal 4 2 5 5 2 2" xfId="9616"/>
    <cellStyle name="Normal 4 2 5 5 3" xfId="9617"/>
    <cellStyle name="Normal 4 2 5 5 4" xfId="9618"/>
    <cellStyle name="Normal 4 2 5 5 5" xfId="9619"/>
    <cellStyle name="Normal 4 2 5 6" xfId="9620"/>
    <cellStyle name="Normal 4 2 5 6 2" xfId="9621"/>
    <cellStyle name="Normal 4 2 5 7" xfId="9622"/>
    <cellStyle name="Normal 4 2 5 8" xfId="9623"/>
    <cellStyle name="Normal 4 2 5 9" xfId="9624"/>
    <cellStyle name="Normal 4 2 6" xfId="9625"/>
    <cellStyle name="Normal 4 2 6 2" xfId="9626"/>
    <cellStyle name="Normal 4 2 6 2 2" xfId="9627"/>
    <cellStyle name="Normal 4 2 6 2 2 2" xfId="9628"/>
    <cellStyle name="Normal 4 2 6 2 2 3" xfId="9629"/>
    <cellStyle name="Normal 4 2 6 2 3" xfId="9630"/>
    <cellStyle name="Normal 4 2 6 2 3 2" xfId="9631"/>
    <cellStyle name="Normal 4 2 6 2 4" xfId="9632"/>
    <cellStyle name="Normal 4 2 6 2 5" xfId="9633"/>
    <cellStyle name="Normal 4 2 6 3" xfId="9634"/>
    <cellStyle name="Normal 4 2 6 3 2" xfId="9635"/>
    <cellStyle name="Normal 4 2 6 3 3" xfId="9636"/>
    <cellStyle name="Normal 4 2 6 4" xfId="9637"/>
    <cellStyle name="Normal 4 2 6 4 2" xfId="9638"/>
    <cellStyle name="Normal 4 2 6 5" xfId="9639"/>
    <cellStyle name="Normal 4 2 6 6" xfId="9640"/>
    <cellStyle name="Normal 4 2 7" xfId="9641"/>
    <cellStyle name="Normal 4 2 7 2" xfId="9642"/>
    <cellStyle name="Normal 4 2 7 2 2" xfId="9643"/>
    <cellStyle name="Normal 4 2 7 2 2 2" xfId="9644"/>
    <cellStyle name="Normal 4 2 7 2 3" xfId="9645"/>
    <cellStyle name="Normal 4 2 7 2 4" xfId="9646"/>
    <cellStyle name="Normal 4 2 7 2 5" xfId="9647"/>
    <cellStyle name="Normal 4 2 7 3" xfId="9648"/>
    <cellStyle name="Normal 4 2 7 3 2" xfId="9649"/>
    <cellStyle name="Normal 4 2 7 4" xfId="9650"/>
    <cellStyle name="Normal 4 2 7 5" xfId="9651"/>
    <cellStyle name="Normal 4 2 7 6" xfId="9652"/>
    <cellStyle name="Normal 4 2 8" xfId="9653"/>
    <cellStyle name="Normal 4 2 8 2" xfId="9654"/>
    <cellStyle name="Normal 4 2 8 2 2" xfId="9655"/>
    <cellStyle name="Normal 4 2 8 3" xfId="9656"/>
    <cellStyle name="Normal 4 2 8 4" xfId="9657"/>
    <cellStyle name="Normal 4 2 8 5" xfId="9658"/>
    <cellStyle name="Normal 4 2 9" xfId="9659"/>
    <cellStyle name="Normal 4 2 9 2" xfId="9660"/>
    <cellStyle name="Normal 4 2 9 2 2" xfId="9661"/>
    <cellStyle name="Normal 4 2 9 3" xfId="9662"/>
    <cellStyle name="Normal 4 2 9 4" xfId="9663"/>
    <cellStyle name="Normal 4 2 9 5" xfId="9664"/>
    <cellStyle name="Normal 4 3" xfId="2150"/>
    <cellStyle name="Normal 4 3 2" xfId="9665"/>
    <cellStyle name="Normal 4 3 2 2" xfId="9666"/>
    <cellStyle name="Normal 4 3 2 2 2" xfId="9667"/>
    <cellStyle name="Normal 4 3 2 2 2 2" xfId="9668"/>
    <cellStyle name="Normal 4 3 2 2 3" xfId="9669"/>
    <cellStyle name="Normal 4 3 2 3" xfId="9670"/>
    <cellStyle name="Normal 4 3 2 3 2" xfId="9671"/>
    <cellStyle name="Normal 4 3 2 4" xfId="9672"/>
    <cellStyle name="Normal 4 3 2 5" xfId="9673"/>
    <cellStyle name="Normal 4 3 3" xfId="9674"/>
    <cellStyle name="Normal 4 3 3 2" xfId="9675"/>
    <cellStyle name="Normal 4 3 3 2 2" xfId="9676"/>
    <cellStyle name="Normal 4 3 3 3" xfId="9677"/>
    <cellStyle name="Normal 4 3 4" xfId="9678"/>
    <cellStyle name="Normal 4 3 4 2" xfId="9679"/>
    <cellStyle name="Normal 4 3 5" xfId="9680"/>
    <cellStyle name="Normal 4 3 6" xfId="9681"/>
    <cellStyle name="Normal 4 4" xfId="9682"/>
    <cellStyle name="Normal 4 4 2" xfId="9683"/>
    <cellStyle name="Normal 4 4 2 2" xfId="9684"/>
    <cellStyle name="Normal 4 4 2 2 2" xfId="9685"/>
    <cellStyle name="Normal 4 4 2 2 3" xfId="9686"/>
    <cellStyle name="Normal 4 4 2 3" xfId="9687"/>
    <cellStyle name="Normal 4 4 2 4" xfId="9688"/>
    <cellStyle name="Normal 4 4 3" xfId="9689"/>
    <cellStyle name="Normal 4 4 3 2" xfId="9690"/>
    <cellStyle name="Normal 4 4 3 3" xfId="9691"/>
    <cellStyle name="Normal 4 4 4" xfId="9692"/>
    <cellStyle name="Normal 4 4 5" xfId="9693"/>
    <cellStyle name="Normal 4 4 6" xfId="9694"/>
    <cellStyle name="Normal 4 4 7" xfId="9695"/>
    <cellStyle name="Normal 4 5" xfId="9696"/>
    <cellStyle name="Normal 4 5 2" xfId="9697"/>
    <cellStyle name="Normal 4 5 2 2" xfId="9698"/>
    <cellStyle name="Normal 4 5 2 3" xfId="9699"/>
    <cellStyle name="Normal 4 5 3" xfId="9700"/>
    <cellStyle name="Normal 4 5 4" xfId="9701"/>
    <cellStyle name="Normal 4 6" xfId="9702"/>
    <cellStyle name="Normal 4 6 2" xfId="9703"/>
    <cellStyle name="Normal 4 6 3" xfId="9704"/>
    <cellStyle name="Normal 4 7" xfId="9705"/>
    <cellStyle name="Normal 4 7 2" xfId="9706"/>
    <cellStyle name="Normal 4 8" xfId="9707"/>
    <cellStyle name="Normal 4 9" xfId="9708"/>
    <cellStyle name="Normal 4_Regenerated Revenues LGE Gas 10312009" xfId="9709"/>
    <cellStyle name="Normal 40" xfId="1895"/>
    <cellStyle name="Normal 40 2" xfId="9710"/>
    <cellStyle name="Normal 41" xfId="9711"/>
    <cellStyle name="Normal 41 2" xfId="9712"/>
    <cellStyle name="Normal 42" xfId="1896"/>
    <cellStyle name="Normal 42 2" xfId="9713"/>
    <cellStyle name="Normal 42 3" xfId="9714"/>
    <cellStyle name="Normal 42 4" xfId="9715"/>
    <cellStyle name="Normal 43" xfId="1897"/>
    <cellStyle name="Normal 43 2" xfId="9716"/>
    <cellStyle name="Normal 43 3" xfId="9717"/>
    <cellStyle name="Normal 44" xfId="9718"/>
    <cellStyle name="Normal 44 2" xfId="9719"/>
    <cellStyle name="Normal 44 3" xfId="9720"/>
    <cellStyle name="Normal 45" xfId="1898"/>
    <cellStyle name="Normal 45 2" xfId="9721"/>
    <cellStyle name="Normal 45 3" xfId="9722"/>
    <cellStyle name="Normal 46" xfId="1899"/>
    <cellStyle name="Normal 46 2" xfId="9723"/>
    <cellStyle name="Normal 46 3" xfId="9724"/>
    <cellStyle name="Normal 47" xfId="2160"/>
    <cellStyle name="Normal 47 2" xfId="9725"/>
    <cellStyle name="Normal 47 3" xfId="9726"/>
    <cellStyle name="Normal 48" xfId="1900"/>
    <cellStyle name="Normal 48 2" xfId="9727"/>
    <cellStyle name="Normal 48 3" xfId="9728"/>
    <cellStyle name="Normal 49" xfId="1901"/>
    <cellStyle name="Normal 49 2" xfId="9729"/>
    <cellStyle name="Normal 49 3" xfId="9730"/>
    <cellStyle name="Normal 5" xfId="1902"/>
    <cellStyle name="Normal 5 10" xfId="9731"/>
    <cellStyle name="Normal 5 10 2" xfId="9732"/>
    <cellStyle name="Normal 5 10 2 2" xfId="9733"/>
    <cellStyle name="Normal 5 10 2 2 2" xfId="9734"/>
    <cellStyle name="Normal 5 10 2 3" xfId="9735"/>
    <cellStyle name="Normal 5 10 3" xfId="9736"/>
    <cellStyle name="Normal 5 10 3 2" xfId="9737"/>
    <cellStyle name="Normal 5 10 4" xfId="9738"/>
    <cellStyle name="Normal 5 11" xfId="9739"/>
    <cellStyle name="Normal 5 11 2" xfId="9740"/>
    <cellStyle name="Normal 5 11 2 2" xfId="9741"/>
    <cellStyle name="Normal 5 11 3" xfId="9742"/>
    <cellStyle name="Normal 5 12" xfId="9743"/>
    <cellStyle name="Normal 5 12 2" xfId="9744"/>
    <cellStyle name="Normal 5 2" xfId="9745"/>
    <cellStyle name="Normal 5 2 10" xfId="9746"/>
    <cellStyle name="Normal 5 2 11" xfId="9747"/>
    <cellStyle name="Normal 5 2 2" xfId="9748"/>
    <cellStyle name="Normal 5 2 2 2" xfId="9749"/>
    <cellStyle name="Normal 5 2 2 2 2" xfId="9750"/>
    <cellStyle name="Normal 5 2 2 2 2 2" xfId="9751"/>
    <cellStyle name="Normal 5 2 2 2 2 2 2" xfId="9752"/>
    <cellStyle name="Normal 5 2 2 2 2 2 2 2" xfId="9753"/>
    <cellStyle name="Normal 5 2 2 2 2 2 2 2 2" xfId="9754"/>
    <cellStyle name="Normal 5 2 2 2 2 2 2 3" xfId="9755"/>
    <cellStyle name="Normal 5 2 2 2 2 2 3" xfId="9756"/>
    <cellStyle name="Normal 5 2 2 2 2 2 3 2" xfId="9757"/>
    <cellStyle name="Normal 5 2 2 2 2 2 4" xfId="9758"/>
    <cellStyle name="Normal 5 2 2 2 2 3" xfId="9759"/>
    <cellStyle name="Normal 5 2 2 2 2 3 2" xfId="9760"/>
    <cellStyle name="Normal 5 2 2 2 2 3 2 2" xfId="9761"/>
    <cellStyle name="Normal 5 2 2 2 2 3 3" xfId="9762"/>
    <cellStyle name="Normal 5 2 2 2 2 4" xfId="9763"/>
    <cellStyle name="Normal 5 2 2 2 2 4 2" xfId="9764"/>
    <cellStyle name="Normal 5 2 2 2 2 5" xfId="9765"/>
    <cellStyle name="Normal 5 2 2 2 2 6" xfId="9766"/>
    <cellStyle name="Normal 5 2 2 2 3" xfId="9767"/>
    <cellStyle name="Normal 5 2 2 2 3 2" xfId="9768"/>
    <cellStyle name="Normal 5 2 2 2 3 2 2" xfId="9769"/>
    <cellStyle name="Normal 5 2 2 2 3 2 2 2" xfId="9770"/>
    <cellStyle name="Normal 5 2 2 2 3 2 3" xfId="9771"/>
    <cellStyle name="Normal 5 2 2 2 3 3" xfId="9772"/>
    <cellStyle name="Normal 5 2 2 2 3 3 2" xfId="9773"/>
    <cellStyle name="Normal 5 2 2 2 3 4" xfId="9774"/>
    <cellStyle name="Normal 5 2 2 2 4" xfId="9775"/>
    <cellStyle name="Normal 5 2 2 2 4 2" xfId="9776"/>
    <cellStyle name="Normal 5 2 2 2 4 2 2" xfId="9777"/>
    <cellStyle name="Normal 5 2 2 2 4 3" xfId="9778"/>
    <cellStyle name="Normal 5 2 2 2 5" xfId="9779"/>
    <cellStyle name="Normal 5 2 2 2 5 2" xfId="9780"/>
    <cellStyle name="Normal 5 2 2 2 6" xfId="9781"/>
    <cellStyle name="Normal 5 2 2 2 7" xfId="9782"/>
    <cellStyle name="Normal 5 2 2 3" xfId="9783"/>
    <cellStyle name="Normal 5 2 2 3 2" xfId="9784"/>
    <cellStyle name="Normal 5 2 2 3 2 2" xfId="9785"/>
    <cellStyle name="Normal 5 2 2 3 2 2 2" xfId="9786"/>
    <cellStyle name="Normal 5 2 2 3 2 2 2 2" xfId="9787"/>
    <cellStyle name="Normal 5 2 2 3 2 2 3" xfId="9788"/>
    <cellStyle name="Normal 5 2 2 3 2 3" xfId="9789"/>
    <cellStyle name="Normal 5 2 2 3 2 3 2" xfId="9790"/>
    <cellStyle name="Normal 5 2 2 3 2 4" xfId="9791"/>
    <cellStyle name="Normal 5 2 2 3 3" xfId="9792"/>
    <cellStyle name="Normal 5 2 2 3 3 2" xfId="9793"/>
    <cellStyle name="Normal 5 2 2 3 3 2 2" xfId="9794"/>
    <cellStyle name="Normal 5 2 2 3 3 3" xfId="9795"/>
    <cellStyle name="Normal 5 2 2 3 4" xfId="9796"/>
    <cellStyle name="Normal 5 2 2 3 4 2" xfId="9797"/>
    <cellStyle name="Normal 5 2 2 3 5" xfId="9798"/>
    <cellStyle name="Normal 5 2 2 3 6" xfId="9799"/>
    <cellStyle name="Normal 5 2 2 4" xfId="9800"/>
    <cellStyle name="Normal 5 2 2 4 2" xfId="9801"/>
    <cellStyle name="Normal 5 2 2 4 2 2" xfId="9802"/>
    <cellStyle name="Normal 5 2 2 4 2 2 2" xfId="9803"/>
    <cellStyle name="Normal 5 2 2 4 2 2 2 2" xfId="9804"/>
    <cellStyle name="Normal 5 2 2 4 2 2 3" xfId="9805"/>
    <cellStyle name="Normal 5 2 2 4 2 3" xfId="9806"/>
    <cellStyle name="Normal 5 2 2 4 2 3 2" xfId="9807"/>
    <cellStyle name="Normal 5 2 2 4 2 4" xfId="9808"/>
    <cellStyle name="Normal 5 2 2 4 3" xfId="9809"/>
    <cellStyle name="Normal 5 2 2 4 3 2" xfId="9810"/>
    <cellStyle name="Normal 5 2 2 4 3 2 2" xfId="9811"/>
    <cellStyle name="Normal 5 2 2 4 3 3" xfId="9812"/>
    <cellStyle name="Normal 5 2 2 4 4" xfId="9813"/>
    <cellStyle name="Normal 5 2 2 4 4 2" xfId="9814"/>
    <cellStyle name="Normal 5 2 2 4 5" xfId="9815"/>
    <cellStyle name="Normal 5 2 2 5" xfId="9816"/>
    <cellStyle name="Normal 5 2 2 5 2" xfId="9817"/>
    <cellStyle name="Normal 5 2 2 5 2 2" xfId="9818"/>
    <cellStyle name="Normal 5 2 2 5 2 2 2" xfId="9819"/>
    <cellStyle name="Normal 5 2 2 5 2 3" xfId="9820"/>
    <cellStyle name="Normal 5 2 2 5 3" xfId="9821"/>
    <cellStyle name="Normal 5 2 2 5 3 2" xfId="9822"/>
    <cellStyle name="Normal 5 2 2 5 4" xfId="9823"/>
    <cellStyle name="Normal 5 2 2 6" xfId="9824"/>
    <cellStyle name="Normal 5 2 2 6 2" xfId="9825"/>
    <cellStyle name="Normal 5 2 2 6 2 2" xfId="9826"/>
    <cellStyle name="Normal 5 2 2 6 3" xfId="9827"/>
    <cellStyle name="Normal 5 2 2 7" xfId="9828"/>
    <cellStyle name="Normal 5 2 2 7 2" xfId="9829"/>
    <cellStyle name="Normal 5 2 2 8" xfId="9830"/>
    <cellStyle name="Normal 5 2 2 9" xfId="9831"/>
    <cellStyle name="Normal 5 2 3" xfId="9832"/>
    <cellStyle name="Normal 5 2 3 2" xfId="9833"/>
    <cellStyle name="Normal 5 2 3 2 2" xfId="9834"/>
    <cellStyle name="Normal 5 2 3 2 2 2" xfId="9835"/>
    <cellStyle name="Normal 5 2 3 2 2 2 2" xfId="9836"/>
    <cellStyle name="Normal 5 2 3 2 2 2 2 2" xfId="9837"/>
    <cellStyle name="Normal 5 2 3 2 2 2 3" xfId="9838"/>
    <cellStyle name="Normal 5 2 3 2 2 3" xfId="9839"/>
    <cellStyle name="Normal 5 2 3 2 2 3 2" xfId="9840"/>
    <cellStyle name="Normal 5 2 3 2 2 4" xfId="9841"/>
    <cellStyle name="Normal 5 2 3 2 3" xfId="9842"/>
    <cellStyle name="Normal 5 2 3 2 3 2" xfId="9843"/>
    <cellStyle name="Normal 5 2 3 2 3 2 2" xfId="9844"/>
    <cellStyle name="Normal 5 2 3 2 3 3" xfId="9845"/>
    <cellStyle name="Normal 5 2 3 2 4" xfId="9846"/>
    <cellStyle name="Normal 5 2 3 2 4 2" xfId="9847"/>
    <cellStyle name="Normal 5 2 3 2 5" xfId="9848"/>
    <cellStyle name="Normal 5 2 3 3" xfId="9849"/>
    <cellStyle name="Normal 5 2 3 3 2" xfId="9850"/>
    <cellStyle name="Normal 5 2 3 3 2 2" xfId="9851"/>
    <cellStyle name="Normal 5 2 3 3 2 2 2" xfId="9852"/>
    <cellStyle name="Normal 5 2 3 3 2 3" xfId="9853"/>
    <cellStyle name="Normal 5 2 3 3 3" xfId="9854"/>
    <cellStyle name="Normal 5 2 3 3 3 2" xfId="9855"/>
    <cellStyle name="Normal 5 2 3 3 4" xfId="9856"/>
    <cellStyle name="Normal 5 2 3 4" xfId="9857"/>
    <cellStyle name="Normal 5 2 3 4 2" xfId="9858"/>
    <cellStyle name="Normal 5 2 3 4 2 2" xfId="9859"/>
    <cellStyle name="Normal 5 2 3 4 3" xfId="9860"/>
    <cellStyle name="Normal 5 2 3 5" xfId="9861"/>
    <cellStyle name="Normal 5 2 3 5 2" xfId="9862"/>
    <cellStyle name="Normal 5 2 3 6" xfId="9863"/>
    <cellStyle name="Normal 5 2 3 7" xfId="9864"/>
    <cellStyle name="Normal 5 2 4" xfId="9865"/>
    <cellStyle name="Normal 5 2 4 2" xfId="9866"/>
    <cellStyle name="Normal 5 2 4 2 2" xfId="9867"/>
    <cellStyle name="Normal 5 2 4 2 2 2" xfId="9868"/>
    <cellStyle name="Normal 5 2 4 2 2 2 2" xfId="9869"/>
    <cellStyle name="Normal 5 2 4 2 2 3" xfId="9870"/>
    <cellStyle name="Normal 5 2 4 2 3" xfId="9871"/>
    <cellStyle name="Normal 5 2 4 2 3 2" xfId="9872"/>
    <cellStyle name="Normal 5 2 4 2 4" xfId="9873"/>
    <cellStyle name="Normal 5 2 4 2 5" xfId="9874"/>
    <cellStyle name="Normal 5 2 4 3" xfId="9875"/>
    <cellStyle name="Normal 5 2 4 3 2" xfId="9876"/>
    <cellStyle name="Normal 5 2 4 3 2 2" xfId="9877"/>
    <cellStyle name="Normal 5 2 4 3 3" xfId="9878"/>
    <cellStyle name="Normal 5 2 4 4" xfId="9879"/>
    <cellStyle name="Normal 5 2 4 4 2" xfId="9880"/>
    <cellStyle name="Normal 5 2 4 5" xfId="9881"/>
    <cellStyle name="Normal 5 2 4 6" xfId="9882"/>
    <cellStyle name="Normal 5 2 5" xfId="9883"/>
    <cellStyle name="Normal 5 2 5 2" xfId="9884"/>
    <cellStyle name="Normal 5 2 5 2 2" xfId="9885"/>
    <cellStyle name="Normal 5 2 5 2 2 2" xfId="9886"/>
    <cellStyle name="Normal 5 2 5 2 2 2 2" xfId="9887"/>
    <cellStyle name="Normal 5 2 5 2 2 3" xfId="9888"/>
    <cellStyle name="Normal 5 2 5 2 3" xfId="9889"/>
    <cellStyle name="Normal 5 2 5 2 3 2" xfId="9890"/>
    <cellStyle name="Normal 5 2 5 2 4" xfId="9891"/>
    <cellStyle name="Normal 5 2 5 3" xfId="9892"/>
    <cellStyle name="Normal 5 2 5 3 2" xfId="9893"/>
    <cellStyle name="Normal 5 2 5 3 2 2" xfId="9894"/>
    <cellStyle name="Normal 5 2 5 3 3" xfId="9895"/>
    <cellStyle name="Normal 5 2 5 4" xfId="9896"/>
    <cellStyle name="Normal 5 2 5 4 2" xfId="9897"/>
    <cellStyle name="Normal 5 2 5 5" xfId="9898"/>
    <cellStyle name="Normal 5 2 5 6" xfId="9899"/>
    <cellStyle name="Normal 5 2 6" xfId="9900"/>
    <cellStyle name="Normal 5 2 6 2" xfId="9901"/>
    <cellStyle name="Normal 5 2 6 2 2" xfId="9902"/>
    <cellStyle name="Normal 5 2 6 2 2 2" xfId="9903"/>
    <cellStyle name="Normal 5 2 6 2 3" xfId="9904"/>
    <cellStyle name="Normal 5 2 6 3" xfId="9905"/>
    <cellStyle name="Normal 5 2 6 3 2" xfId="9906"/>
    <cellStyle name="Normal 5 2 6 4" xfId="9907"/>
    <cellStyle name="Normal 5 2 7" xfId="9908"/>
    <cellStyle name="Normal 5 2 7 2" xfId="9909"/>
    <cellStyle name="Normal 5 2 7 2 2" xfId="9910"/>
    <cellStyle name="Normal 5 2 7 3" xfId="9911"/>
    <cellStyle name="Normal 5 2 8" xfId="9912"/>
    <cellStyle name="Normal 5 2 8 2" xfId="9913"/>
    <cellStyle name="Normal 5 2 9" xfId="9914"/>
    <cellStyle name="Normal 5 3" xfId="9915"/>
    <cellStyle name="Normal 5 3 10" xfId="9916"/>
    <cellStyle name="Normal 5 3 11" xfId="9917"/>
    <cellStyle name="Normal 5 3 2" xfId="9918"/>
    <cellStyle name="Normal 5 3 2 2" xfId="9919"/>
    <cellStyle name="Normal 5 3 2 2 2" xfId="9920"/>
    <cellStyle name="Normal 5 3 2 2 2 2" xfId="9921"/>
    <cellStyle name="Normal 5 3 2 2 2 2 2" xfId="9922"/>
    <cellStyle name="Normal 5 3 2 2 2 2 2 2" xfId="9923"/>
    <cellStyle name="Normal 5 3 2 2 2 2 2 2 2" xfId="9924"/>
    <cellStyle name="Normal 5 3 2 2 2 2 2 3" xfId="9925"/>
    <cellStyle name="Normal 5 3 2 2 2 2 3" xfId="9926"/>
    <cellStyle name="Normal 5 3 2 2 2 2 3 2" xfId="9927"/>
    <cellStyle name="Normal 5 3 2 2 2 2 4" xfId="9928"/>
    <cellStyle name="Normal 5 3 2 2 2 3" xfId="9929"/>
    <cellStyle name="Normal 5 3 2 2 2 3 2" xfId="9930"/>
    <cellStyle name="Normal 5 3 2 2 2 3 2 2" xfId="9931"/>
    <cellStyle name="Normal 5 3 2 2 2 3 3" xfId="9932"/>
    <cellStyle name="Normal 5 3 2 2 2 4" xfId="9933"/>
    <cellStyle name="Normal 5 3 2 2 2 4 2" xfId="9934"/>
    <cellStyle name="Normal 5 3 2 2 2 5" xfId="9935"/>
    <cellStyle name="Normal 5 3 2 2 3" xfId="9936"/>
    <cellStyle name="Normal 5 3 2 2 3 2" xfId="9937"/>
    <cellStyle name="Normal 5 3 2 2 3 2 2" xfId="9938"/>
    <cellStyle name="Normal 5 3 2 2 3 2 2 2" xfId="9939"/>
    <cellStyle name="Normal 5 3 2 2 3 2 3" xfId="9940"/>
    <cellStyle name="Normal 5 3 2 2 3 3" xfId="9941"/>
    <cellStyle name="Normal 5 3 2 2 3 3 2" xfId="9942"/>
    <cellStyle name="Normal 5 3 2 2 3 4" xfId="9943"/>
    <cellStyle name="Normal 5 3 2 2 4" xfId="9944"/>
    <cellStyle name="Normal 5 3 2 2 4 2" xfId="9945"/>
    <cellStyle name="Normal 5 3 2 2 4 2 2" xfId="9946"/>
    <cellStyle name="Normal 5 3 2 2 4 3" xfId="9947"/>
    <cellStyle name="Normal 5 3 2 2 5" xfId="9948"/>
    <cellStyle name="Normal 5 3 2 2 5 2" xfId="9949"/>
    <cellStyle name="Normal 5 3 2 2 6" xfId="9950"/>
    <cellStyle name="Normal 5 3 2 3" xfId="9951"/>
    <cellStyle name="Normal 5 3 2 3 2" xfId="9952"/>
    <cellStyle name="Normal 5 3 2 3 2 2" xfId="9953"/>
    <cellStyle name="Normal 5 3 2 3 2 2 2" xfId="9954"/>
    <cellStyle name="Normal 5 3 2 3 2 2 2 2" xfId="9955"/>
    <cellStyle name="Normal 5 3 2 3 2 2 3" xfId="9956"/>
    <cellStyle name="Normal 5 3 2 3 2 3" xfId="9957"/>
    <cellStyle name="Normal 5 3 2 3 2 3 2" xfId="9958"/>
    <cellStyle name="Normal 5 3 2 3 2 4" xfId="9959"/>
    <cellStyle name="Normal 5 3 2 3 3" xfId="9960"/>
    <cellStyle name="Normal 5 3 2 3 3 2" xfId="9961"/>
    <cellStyle name="Normal 5 3 2 3 3 2 2" xfId="9962"/>
    <cellStyle name="Normal 5 3 2 3 3 3" xfId="9963"/>
    <cellStyle name="Normal 5 3 2 3 4" xfId="9964"/>
    <cellStyle name="Normal 5 3 2 3 4 2" xfId="9965"/>
    <cellStyle name="Normal 5 3 2 3 5" xfId="9966"/>
    <cellStyle name="Normal 5 3 2 4" xfId="9967"/>
    <cellStyle name="Normal 5 3 2 4 2" xfId="9968"/>
    <cellStyle name="Normal 5 3 2 4 2 2" xfId="9969"/>
    <cellStyle name="Normal 5 3 2 4 2 2 2" xfId="9970"/>
    <cellStyle name="Normal 5 3 2 4 2 2 2 2" xfId="9971"/>
    <cellStyle name="Normal 5 3 2 4 2 2 3" xfId="9972"/>
    <cellStyle name="Normal 5 3 2 4 2 3" xfId="9973"/>
    <cellStyle name="Normal 5 3 2 4 2 3 2" xfId="9974"/>
    <cellStyle name="Normal 5 3 2 4 2 4" xfId="9975"/>
    <cellStyle name="Normal 5 3 2 4 3" xfId="9976"/>
    <cellStyle name="Normal 5 3 2 4 3 2" xfId="9977"/>
    <cellStyle name="Normal 5 3 2 4 3 2 2" xfId="9978"/>
    <cellStyle name="Normal 5 3 2 4 3 3" xfId="9979"/>
    <cellStyle name="Normal 5 3 2 4 4" xfId="9980"/>
    <cellStyle name="Normal 5 3 2 4 4 2" xfId="9981"/>
    <cellStyle name="Normal 5 3 2 4 5" xfId="9982"/>
    <cellStyle name="Normal 5 3 2 5" xfId="9983"/>
    <cellStyle name="Normal 5 3 2 5 2" xfId="9984"/>
    <cellStyle name="Normal 5 3 2 5 2 2" xfId="9985"/>
    <cellStyle name="Normal 5 3 2 5 2 2 2" xfId="9986"/>
    <cellStyle name="Normal 5 3 2 5 2 3" xfId="9987"/>
    <cellStyle name="Normal 5 3 2 5 3" xfId="9988"/>
    <cellStyle name="Normal 5 3 2 5 3 2" xfId="9989"/>
    <cellStyle name="Normal 5 3 2 5 4" xfId="9990"/>
    <cellStyle name="Normal 5 3 2 6" xfId="9991"/>
    <cellStyle name="Normal 5 3 2 6 2" xfId="9992"/>
    <cellStyle name="Normal 5 3 2 6 2 2" xfId="9993"/>
    <cellStyle name="Normal 5 3 2 6 3" xfId="9994"/>
    <cellStyle name="Normal 5 3 2 7" xfId="9995"/>
    <cellStyle name="Normal 5 3 2 7 2" xfId="9996"/>
    <cellStyle name="Normal 5 3 2 8" xfId="9997"/>
    <cellStyle name="Normal 5 3 3" xfId="9998"/>
    <cellStyle name="Normal 5 3 3 2" xfId="9999"/>
    <cellStyle name="Normal 5 3 3 2 2" xfId="10000"/>
    <cellStyle name="Normal 5 3 3 2 2 2" xfId="10001"/>
    <cellStyle name="Normal 5 3 3 2 2 2 2" xfId="10002"/>
    <cellStyle name="Normal 5 3 3 2 2 2 2 2" xfId="10003"/>
    <cellStyle name="Normal 5 3 3 2 2 2 3" xfId="10004"/>
    <cellStyle name="Normal 5 3 3 2 2 3" xfId="10005"/>
    <cellStyle name="Normal 5 3 3 2 2 3 2" xfId="10006"/>
    <cellStyle name="Normal 5 3 3 2 2 4" xfId="10007"/>
    <cellStyle name="Normal 5 3 3 2 3" xfId="10008"/>
    <cellStyle name="Normal 5 3 3 2 3 2" xfId="10009"/>
    <cellStyle name="Normal 5 3 3 2 3 2 2" xfId="10010"/>
    <cellStyle name="Normal 5 3 3 2 3 3" xfId="10011"/>
    <cellStyle name="Normal 5 3 3 2 4" xfId="10012"/>
    <cellStyle name="Normal 5 3 3 2 4 2" xfId="10013"/>
    <cellStyle name="Normal 5 3 3 2 5" xfId="10014"/>
    <cellStyle name="Normal 5 3 3 3" xfId="10015"/>
    <cellStyle name="Normal 5 3 3 3 2" xfId="10016"/>
    <cellStyle name="Normal 5 3 3 3 2 2" xfId="10017"/>
    <cellStyle name="Normal 5 3 3 3 2 2 2" xfId="10018"/>
    <cellStyle name="Normal 5 3 3 3 2 3" xfId="10019"/>
    <cellStyle name="Normal 5 3 3 3 3" xfId="10020"/>
    <cellStyle name="Normal 5 3 3 3 3 2" xfId="10021"/>
    <cellStyle name="Normal 5 3 3 3 4" xfId="10022"/>
    <cellStyle name="Normal 5 3 3 4" xfId="10023"/>
    <cellStyle name="Normal 5 3 3 4 2" xfId="10024"/>
    <cellStyle name="Normal 5 3 3 4 2 2" xfId="10025"/>
    <cellStyle name="Normal 5 3 3 4 3" xfId="10026"/>
    <cellStyle name="Normal 5 3 3 5" xfId="10027"/>
    <cellStyle name="Normal 5 3 3 5 2" xfId="10028"/>
    <cellStyle name="Normal 5 3 3 6" xfId="10029"/>
    <cellStyle name="Normal 5 3 4" xfId="10030"/>
    <cellStyle name="Normal 5 3 4 2" xfId="10031"/>
    <cellStyle name="Normal 5 3 4 2 2" xfId="10032"/>
    <cellStyle name="Normal 5 3 4 2 2 2" xfId="10033"/>
    <cellStyle name="Normal 5 3 4 2 2 2 2" xfId="10034"/>
    <cellStyle name="Normal 5 3 4 2 2 3" xfId="10035"/>
    <cellStyle name="Normal 5 3 4 2 3" xfId="10036"/>
    <cellStyle name="Normal 5 3 4 2 3 2" xfId="10037"/>
    <cellStyle name="Normal 5 3 4 2 4" xfId="10038"/>
    <cellStyle name="Normal 5 3 4 3" xfId="10039"/>
    <cellStyle name="Normal 5 3 4 3 2" xfId="10040"/>
    <cellStyle name="Normal 5 3 4 3 2 2" xfId="10041"/>
    <cellStyle name="Normal 5 3 4 3 3" xfId="10042"/>
    <cellStyle name="Normal 5 3 4 4" xfId="10043"/>
    <cellStyle name="Normal 5 3 4 4 2" xfId="10044"/>
    <cellStyle name="Normal 5 3 4 5" xfId="10045"/>
    <cellStyle name="Normal 5 3 5" xfId="10046"/>
    <cellStyle name="Normal 5 3 5 2" xfId="10047"/>
    <cellStyle name="Normal 5 3 5 2 2" xfId="10048"/>
    <cellStyle name="Normal 5 3 5 2 2 2" xfId="10049"/>
    <cellStyle name="Normal 5 3 5 2 2 2 2" xfId="10050"/>
    <cellStyle name="Normal 5 3 5 2 2 3" xfId="10051"/>
    <cellStyle name="Normal 5 3 5 2 3" xfId="10052"/>
    <cellStyle name="Normal 5 3 5 2 3 2" xfId="10053"/>
    <cellStyle name="Normal 5 3 5 2 4" xfId="10054"/>
    <cellStyle name="Normal 5 3 5 3" xfId="10055"/>
    <cellStyle name="Normal 5 3 5 3 2" xfId="10056"/>
    <cellStyle name="Normal 5 3 5 3 2 2" xfId="10057"/>
    <cellStyle name="Normal 5 3 5 3 3" xfId="10058"/>
    <cellStyle name="Normal 5 3 5 4" xfId="10059"/>
    <cellStyle name="Normal 5 3 5 4 2" xfId="10060"/>
    <cellStyle name="Normal 5 3 5 5" xfId="10061"/>
    <cellStyle name="Normal 5 3 6" xfId="10062"/>
    <cellStyle name="Normal 5 3 6 2" xfId="10063"/>
    <cellStyle name="Normal 5 3 6 2 2" xfId="10064"/>
    <cellStyle name="Normal 5 3 6 2 2 2" xfId="10065"/>
    <cellStyle name="Normal 5 3 6 2 3" xfId="10066"/>
    <cellStyle name="Normal 5 3 6 3" xfId="10067"/>
    <cellStyle name="Normal 5 3 6 3 2" xfId="10068"/>
    <cellStyle name="Normal 5 3 6 4" xfId="10069"/>
    <cellStyle name="Normal 5 3 7" xfId="10070"/>
    <cellStyle name="Normal 5 3 7 2" xfId="10071"/>
    <cellStyle name="Normal 5 3 7 2 2" xfId="10072"/>
    <cellStyle name="Normal 5 3 7 3" xfId="10073"/>
    <cellStyle name="Normal 5 3 8" xfId="10074"/>
    <cellStyle name="Normal 5 3 8 2" xfId="10075"/>
    <cellStyle name="Normal 5 3 9" xfId="10076"/>
    <cellStyle name="Normal 5 4" xfId="10077"/>
    <cellStyle name="Normal 5 4 10" xfId="10078"/>
    <cellStyle name="Normal 5 4 2" xfId="10079"/>
    <cellStyle name="Normal 5 4 2 2" xfId="10080"/>
    <cellStyle name="Normal 5 4 2 2 2" xfId="10081"/>
    <cellStyle name="Normal 5 4 2 2 2 2" xfId="10082"/>
    <cellStyle name="Normal 5 4 2 2 2 2 2" xfId="10083"/>
    <cellStyle name="Normal 5 4 2 2 2 2 2 2" xfId="10084"/>
    <cellStyle name="Normal 5 4 2 2 2 2 3" xfId="10085"/>
    <cellStyle name="Normal 5 4 2 2 2 3" xfId="10086"/>
    <cellStyle name="Normal 5 4 2 2 2 3 2" xfId="10087"/>
    <cellStyle name="Normal 5 4 2 2 2 4" xfId="10088"/>
    <cellStyle name="Normal 5 4 2 2 3" xfId="10089"/>
    <cellStyle name="Normal 5 4 2 2 3 2" xfId="10090"/>
    <cellStyle name="Normal 5 4 2 2 3 2 2" xfId="10091"/>
    <cellStyle name="Normal 5 4 2 2 3 3" xfId="10092"/>
    <cellStyle name="Normal 5 4 2 2 4" xfId="10093"/>
    <cellStyle name="Normal 5 4 2 2 4 2" xfId="10094"/>
    <cellStyle name="Normal 5 4 2 2 5" xfId="10095"/>
    <cellStyle name="Normal 5 4 2 2 6" xfId="10096"/>
    <cellStyle name="Normal 5 4 2 3" xfId="10097"/>
    <cellStyle name="Normal 5 4 2 3 2" xfId="10098"/>
    <cellStyle name="Normal 5 4 2 3 2 2" xfId="10099"/>
    <cellStyle name="Normal 5 4 2 3 2 2 2" xfId="10100"/>
    <cellStyle name="Normal 5 4 2 3 2 2 2 2" xfId="10101"/>
    <cellStyle name="Normal 5 4 2 3 2 2 3" xfId="10102"/>
    <cellStyle name="Normal 5 4 2 3 2 3" xfId="10103"/>
    <cellStyle name="Normal 5 4 2 3 2 3 2" xfId="10104"/>
    <cellStyle name="Normal 5 4 2 3 2 4" xfId="10105"/>
    <cellStyle name="Normal 5 4 2 3 3" xfId="10106"/>
    <cellStyle name="Normal 5 4 2 3 3 2" xfId="10107"/>
    <cellStyle name="Normal 5 4 2 3 3 2 2" xfId="10108"/>
    <cellStyle name="Normal 5 4 2 3 3 3" xfId="10109"/>
    <cellStyle name="Normal 5 4 2 3 4" xfId="10110"/>
    <cellStyle name="Normal 5 4 2 3 4 2" xfId="10111"/>
    <cellStyle name="Normal 5 4 2 3 5" xfId="10112"/>
    <cellStyle name="Normal 5 4 2 4" xfId="10113"/>
    <cellStyle name="Normal 5 4 2 4 2" xfId="10114"/>
    <cellStyle name="Normal 5 4 2 4 2 2" xfId="10115"/>
    <cellStyle name="Normal 5 4 2 4 2 2 2" xfId="10116"/>
    <cellStyle name="Normal 5 4 2 4 2 3" xfId="10117"/>
    <cellStyle name="Normal 5 4 2 4 3" xfId="10118"/>
    <cellStyle name="Normal 5 4 2 4 3 2" xfId="10119"/>
    <cellStyle name="Normal 5 4 2 4 4" xfId="10120"/>
    <cellStyle name="Normal 5 4 2 5" xfId="10121"/>
    <cellStyle name="Normal 5 4 2 5 2" xfId="10122"/>
    <cellStyle name="Normal 5 4 2 5 2 2" xfId="10123"/>
    <cellStyle name="Normal 5 4 2 5 3" xfId="10124"/>
    <cellStyle name="Normal 5 4 2 6" xfId="10125"/>
    <cellStyle name="Normal 5 4 2 6 2" xfId="10126"/>
    <cellStyle name="Normal 5 4 2 7" xfId="10127"/>
    <cellStyle name="Normal 5 4 2 8" xfId="10128"/>
    <cellStyle name="Normal 5 4 3" xfId="10129"/>
    <cellStyle name="Normal 5 4 3 2" xfId="10130"/>
    <cellStyle name="Normal 5 4 3 2 2" xfId="10131"/>
    <cellStyle name="Normal 5 4 3 2 2 2" xfId="10132"/>
    <cellStyle name="Normal 5 4 3 2 2 2 2" xfId="10133"/>
    <cellStyle name="Normal 5 4 3 2 2 2 2 2" xfId="10134"/>
    <cellStyle name="Normal 5 4 3 2 2 2 3" xfId="10135"/>
    <cellStyle name="Normal 5 4 3 2 2 3" xfId="10136"/>
    <cellStyle name="Normal 5 4 3 2 2 3 2" xfId="10137"/>
    <cellStyle name="Normal 5 4 3 2 2 4" xfId="10138"/>
    <cellStyle name="Normal 5 4 3 2 3" xfId="10139"/>
    <cellStyle name="Normal 5 4 3 2 3 2" xfId="10140"/>
    <cellStyle name="Normal 5 4 3 2 3 2 2" xfId="10141"/>
    <cellStyle name="Normal 5 4 3 2 3 3" xfId="10142"/>
    <cellStyle name="Normal 5 4 3 2 4" xfId="10143"/>
    <cellStyle name="Normal 5 4 3 2 4 2" xfId="10144"/>
    <cellStyle name="Normal 5 4 3 2 5" xfId="10145"/>
    <cellStyle name="Normal 5 4 3 3" xfId="10146"/>
    <cellStyle name="Normal 5 4 3 3 2" xfId="10147"/>
    <cellStyle name="Normal 5 4 3 3 2 2" xfId="10148"/>
    <cellStyle name="Normal 5 4 3 3 2 2 2" xfId="10149"/>
    <cellStyle name="Normal 5 4 3 3 2 3" xfId="10150"/>
    <cellStyle name="Normal 5 4 3 3 3" xfId="10151"/>
    <cellStyle name="Normal 5 4 3 3 3 2" xfId="10152"/>
    <cellStyle name="Normal 5 4 3 3 4" xfId="10153"/>
    <cellStyle name="Normal 5 4 3 4" xfId="10154"/>
    <cellStyle name="Normal 5 4 3 4 2" xfId="10155"/>
    <cellStyle name="Normal 5 4 3 4 2 2" xfId="10156"/>
    <cellStyle name="Normal 5 4 3 4 3" xfId="10157"/>
    <cellStyle name="Normal 5 4 3 5" xfId="10158"/>
    <cellStyle name="Normal 5 4 3 5 2" xfId="10159"/>
    <cellStyle name="Normal 5 4 3 6" xfId="10160"/>
    <cellStyle name="Normal 5 4 3 7" xfId="10161"/>
    <cellStyle name="Normal 5 4 4" xfId="10162"/>
    <cellStyle name="Normal 5 4 4 2" xfId="10163"/>
    <cellStyle name="Normal 5 4 4 2 2" xfId="10164"/>
    <cellStyle name="Normal 5 4 4 2 2 2" xfId="10165"/>
    <cellStyle name="Normal 5 4 4 2 2 2 2" xfId="10166"/>
    <cellStyle name="Normal 5 4 4 2 2 3" xfId="10167"/>
    <cellStyle name="Normal 5 4 4 2 3" xfId="10168"/>
    <cellStyle name="Normal 5 4 4 2 3 2" xfId="10169"/>
    <cellStyle name="Normal 5 4 4 2 4" xfId="10170"/>
    <cellStyle name="Normal 5 4 4 3" xfId="10171"/>
    <cellStyle name="Normal 5 4 4 3 2" xfId="10172"/>
    <cellStyle name="Normal 5 4 4 3 2 2" xfId="10173"/>
    <cellStyle name="Normal 5 4 4 3 3" xfId="10174"/>
    <cellStyle name="Normal 5 4 4 4" xfId="10175"/>
    <cellStyle name="Normal 5 4 4 4 2" xfId="10176"/>
    <cellStyle name="Normal 5 4 4 5" xfId="10177"/>
    <cellStyle name="Normal 5 4 5" xfId="10178"/>
    <cellStyle name="Normal 5 4 5 2" xfId="10179"/>
    <cellStyle name="Normal 5 4 5 2 2" xfId="10180"/>
    <cellStyle name="Normal 5 4 5 2 2 2" xfId="10181"/>
    <cellStyle name="Normal 5 4 5 2 2 2 2" xfId="10182"/>
    <cellStyle name="Normal 5 4 5 2 2 3" xfId="10183"/>
    <cellStyle name="Normal 5 4 5 2 3" xfId="10184"/>
    <cellStyle name="Normal 5 4 5 2 3 2" xfId="10185"/>
    <cellStyle name="Normal 5 4 5 2 4" xfId="10186"/>
    <cellStyle name="Normal 5 4 5 3" xfId="10187"/>
    <cellStyle name="Normal 5 4 5 3 2" xfId="10188"/>
    <cellStyle name="Normal 5 4 5 3 2 2" xfId="10189"/>
    <cellStyle name="Normal 5 4 5 3 3" xfId="10190"/>
    <cellStyle name="Normal 5 4 5 4" xfId="10191"/>
    <cellStyle name="Normal 5 4 5 4 2" xfId="10192"/>
    <cellStyle name="Normal 5 4 5 5" xfId="10193"/>
    <cellStyle name="Normal 5 4 6" xfId="10194"/>
    <cellStyle name="Normal 5 4 6 2" xfId="10195"/>
    <cellStyle name="Normal 5 4 6 2 2" xfId="10196"/>
    <cellStyle name="Normal 5 4 6 2 2 2" xfId="10197"/>
    <cellStyle name="Normal 5 4 6 2 3" xfId="10198"/>
    <cellStyle name="Normal 5 4 6 3" xfId="10199"/>
    <cellStyle name="Normal 5 4 6 3 2" xfId="10200"/>
    <cellStyle name="Normal 5 4 6 4" xfId="10201"/>
    <cellStyle name="Normal 5 4 7" xfId="10202"/>
    <cellStyle name="Normal 5 4 7 2" xfId="10203"/>
    <cellStyle name="Normal 5 4 7 2 2" xfId="10204"/>
    <cellStyle name="Normal 5 4 7 3" xfId="10205"/>
    <cellStyle name="Normal 5 4 8" xfId="10206"/>
    <cellStyle name="Normal 5 4 8 2" xfId="10207"/>
    <cellStyle name="Normal 5 4 9" xfId="10208"/>
    <cellStyle name="Normal 5 5" xfId="10209"/>
    <cellStyle name="Normal 5 5 2" xfId="10210"/>
    <cellStyle name="Normal 5 5 2 2" xfId="10211"/>
    <cellStyle name="Normal 5 5 2 2 2" xfId="10212"/>
    <cellStyle name="Normal 5 5 2 2 2 2" xfId="10213"/>
    <cellStyle name="Normal 5 5 2 2 2 2 2" xfId="10214"/>
    <cellStyle name="Normal 5 5 2 2 2 3" xfId="10215"/>
    <cellStyle name="Normal 5 5 2 2 3" xfId="10216"/>
    <cellStyle name="Normal 5 5 2 2 3 2" xfId="10217"/>
    <cellStyle name="Normal 5 5 2 2 4" xfId="10218"/>
    <cellStyle name="Normal 5 5 2 3" xfId="10219"/>
    <cellStyle name="Normal 5 5 2 3 2" xfId="10220"/>
    <cellStyle name="Normal 5 5 2 3 2 2" xfId="10221"/>
    <cellStyle name="Normal 5 5 2 3 3" xfId="10222"/>
    <cellStyle name="Normal 5 5 2 4" xfId="10223"/>
    <cellStyle name="Normal 5 5 2 4 2" xfId="10224"/>
    <cellStyle name="Normal 5 5 2 5" xfId="10225"/>
    <cellStyle name="Normal 5 5 3" xfId="10226"/>
    <cellStyle name="Normal 5 5 3 2" xfId="10227"/>
    <cellStyle name="Normal 5 5 3 2 2" xfId="10228"/>
    <cellStyle name="Normal 5 5 3 2 2 2" xfId="10229"/>
    <cellStyle name="Normal 5 5 3 2 2 2 2" xfId="10230"/>
    <cellStyle name="Normal 5 5 3 2 2 3" xfId="10231"/>
    <cellStyle name="Normal 5 5 3 2 3" xfId="10232"/>
    <cellStyle name="Normal 5 5 3 2 3 2" xfId="10233"/>
    <cellStyle name="Normal 5 5 3 2 4" xfId="10234"/>
    <cellStyle name="Normal 5 5 3 3" xfId="10235"/>
    <cellStyle name="Normal 5 5 3 3 2" xfId="10236"/>
    <cellStyle name="Normal 5 5 3 3 2 2" xfId="10237"/>
    <cellStyle name="Normal 5 5 3 3 3" xfId="10238"/>
    <cellStyle name="Normal 5 5 3 4" xfId="10239"/>
    <cellStyle name="Normal 5 5 3 4 2" xfId="10240"/>
    <cellStyle name="Normal 5 5 3 5" xfId="10241"/>
    <cellStyle name="Normal 5 5 4" xfId="10242"/>
    <cellStyle name="Normal 5 5 4 2" xfId="10243"/>
    <cellStyle name="Normal 5 5 4 2 2" xfId="10244"/>
    <cellStyle name="Normal 5 5 4 2 2 2" xfId="10245"/>
    <cellStyle name="Normal 5 5 4 2 3" xfId="10246"/>
    <cellStyle name="Normal 5 5 4 3" xfId="10247"/>
    <cellStyle name="Normal 5 5 4 3 2" xfId="10248"/>
    <cellStyle name="Normal 5 5 4 4" xfId="10249"/>
    <cellStyle name="Normal 5 5 5" xfId="10250"/>
    <cellStyle name="Normal 5 5 5 2" xfId="10251"/>
    <cellStyle name="Normal 5 5 5 2 2" xfId="10252"/>
    <cellStyle name="Normal 5 5 5 3" xfId="10253"/>
    <cellStyle name="Normal 5 5 6" xfId="10254"/>
    <cellStyle name="Normal 5 5 6 2" xfId="10255"/>
    <cellStyle name="Normal 5 5 7" xfId="10256"/>
    <cellStyle name="Normal 5 6" xfId="10257"/>
    <cellStyle name="Normal 5 6 2" xfId="10258"/>
    <cellStyle name="Normal 5 6 2 2" xfId="10259"/>
    <cellStyle name="Normal 5 6 2 2 2" xfId="10260"/>
    <cellStyle name="Normal 5 6 2 2 2 2" xfId="10261"/>
    <cellStyle name="Normal 5 6 2 2 2 2 2" xfId="10262"/>
    <cellStyle name="Normal 5 6 2 2 2 3" xfId="10263"/>
    <cellStyle name="Normal 5 6 2 2 3" xfId="10264"/>
    <cellStyle name="Normal 5 6 2 2 3 2" xfId="10265"/>
    <cellStyle name="Normal 5 6 2 2 4" xfId="10266"/>
    <cellStyle name="Normal 5 6 2 3" xfId="10267"/>
    <cellStyle name="Normal 5 6 2 3 2" xfId="10268"/>
    <cellStyle name="Normal 5 6 2 3 2 2" xfId="10269"/>
    <cellStyle name="Normal 5 6 2 3 3" xfId="10270"/>
    <cellStyle name="Normal 5 6 2 4" xfId="10271"/>
    <cellStyle name="Normal 5 6 2 4 2" xfId="10272"/>
    <cellStyle name="Normal 5 6 2 5" xfId="10273"/>
    <cellStyle name="Normal 5 6 3" xfId="10274"/>
    <cellStyle name="Normal 5 6 3 2" xfId="10275"/>
    <cellStyle name="Normal 5 6 3 2 2" xfId="10276"/>
    <cellStyle name="Normal 5 6 3 2 2 2" xfId="10277"/>
    <cellStyle name="Normal 5 6 3 2 3" xfId="10278"/>
    <cellStyle name="Normal 5 6 3 3" xfId="10279"/>
    <cellStyle name="Normal 5 6 3 3 2" xfId="10280"/>
    <cellStyle name="Normal 5 6 3 4" xfId="10281"/>
    <cellStyle name="Normal 5 6 4" xfId="10282"/>
    <cellStyle name="Normal 5 6 4 2" xfId="10283"/>
    <cellStyle name="Normal 5 6 4 2 2" xfId="10284"/>
    <cellStyle name="Normal 5 6 4 3" xfId="10285"/>
    <cellStyle name="Normal 5 6 5" xfId="10286"/>
    <cellStyle name="Normal 5 6 5 2" xfId="10287"/>
    <cellStyle name="Normal 5 6 6" xfId="10288"/>
    <cellStyle name="Normal 5 7" xfId="10289"/>
    <cellStyle name="Normal 5 7 2" xfId="10290"/>
    <cellStyle name="Normal 5 7 2 2" xfId="10291"/>
    <cellStyle name="Normal 5 7 2 2 2" xfId="10292"/>
    <cellStyle name="Normal 5 7 2 2 2 2" xfId="10293"/>
    <cellStyle name="Normal 5 7 2 2 3" xfId="10294"/>
    <cellStyle name="Normal 5 7 2 3" xfId="10295"/>
    <cellStyle name="Normal 5 7 2 3 2" xfId="10296"/>
    <cellStyle name="Normal 5 7 2 4" xfId="10297"/>
    <cellStyle name="Normal 5 7 3" xfId="10298"/>
    <cellStyle name="Normal 5 7 3 2" xfId="10299"/>
    <cellStyle name="Normal 5 7 3 2 2" xfId="10300"/>
    <cellStyle name="Normal 5 7 3 3" xfId="10301"/>
    <cellStyle name="Normal 5 7 4" xfId="10302"/>
    <cellStyle name="Normal 5 7 4 2" xfId="10303"/>
    <cellStyle name="Normal 5 7 5" xfId="10304"/>
    <cellStyle name="Normal 5 8" xfId="10305"/>
    <cellStyle name="Normal 5 8 2" xfId="10306"/>
    <cellStyle name="Normal 5 8 2 2" xfId="10307"/>
    <cellStyle name="Normal 5 8 2 2 2" xfId="10308"/>
    <cellStyle name="Normal 5 8 2 2 2 2" xfId="10309"/>
    <cellStyle name="Normal 5 8 2 2 3" xfId="10310"/>
    <cellStyle name="Normal 5 8 2 3" xfId="10311"/>
    <cellStyle name="Normal 5 8 2 3 2" xfId="10312"/>
    <cellStyle name="Normal 5 8 2 4" xfId="10313"/>
    <cellStyle name="Normal 5 8 3" xfId="10314"/>
    <cellStyle name="Normal 5 8 3 2" xfId="10315"/>
    <cellStyle name="Normal 5 8 3 2 2" xfId="10316"/>
    <cellStyle name="Normal 5 8 3 3" xfId="10317"/>
    <cellStyle name="Normal 5 8 4" xfId="10318"/>
    <cellStyle name="Normal 5 8 4 2" xfId="10319"/>
    <cellStyle name="Normal 5 8 5" xfId="10320"/>
    <cellStyle name="Normal 5 9" xfId="10321"/>
    <cellStyle name="Normal 5 9 2" xfId="10322"/>
    <cellStyle name="Normal 5 9 2 2" xfId="10323"/>
    <cellStyle name="Normal 5 9 2 2 2" xfId="10324"/>
    <cellStyle name="Normal 5 9 2 3" xfId="10325"/>
    <cellStyle name="Normal 5 9 3" xfId="10326"/>
    <cellStyle name="Normal 5 9 3 2" xfId="10327"/>
    <cellStyle name="Normal 5 9 4" xfId="10328"/>
    <cellStyle name="Normal 50" xfId="1903"/>
    <cellStyle name="Normal 50 2" xfId="10329"/>
    <cellStyle name="Normal 50 3" xfId="10330"/>
    <cellStyle name="Normal 51" xfId="1904"/>
    <cellStyle name="Normal 51 2" xfId="10331"/>
    <cellStyle name="Normal 51 3" xfId="10332"/>
    <cellStyle name="Normal 52" xfId="1905"/>
    <cellStyle name="Normal 52 2" xfId="10333"/>
    <cellStyle name="Normal 52 3" xfId="10334"/>
    <cellStyle name="Normal 53" xfId="10335"/>
    <cellStyle name="Normal 53 2" xfId="10336"/>
    <cellStyle name="Normal 53 3" xfId="10337"/>
    <cellStyle name="Normal 54" xfId="10338"/>
    <cellStyle name="Normal 54 2" xfId="10339"/>
    <cellStyle name="Normal 54 3" xfId="10340"/>
    <cellStyle name="Normal 55" xfId="10341"/>
    <cellStyle name="Normal 55 2" xfId="10342"/>
    <cellStyle name="Normal 55 3" xfId="10343"/>
    <cellStyle name="Normal 56" xfId="10344"/>
    <cellStyle name="Normal 56 2" xfId="10345"/>
    <cellStyle name="Normal 57" xfId="10346"/>
    <cellStyle name="Normal 57 2" xfId="10347"/>
    <cellStyle name="Normal 58" xfId="10348"/>
    <cellStyle name="Normal 58 2" xfId="10349"/>
    <cellStyle name="Normal 59" xfId="10350"/>
    <cellStyle name="Normal 6" xfId="1906"/>
    <cellStyle name="Normal 6 10" xfId="10351"/>
    <cellStyle name="Normal 6 11" xfId="10352"/>
    <cellStyle name="Normal 6 2" xfId="10353"/>
    <cellStyle name="Normal 6 2 2" xfId="10354"/>
    <cellStyle name="Normal 6 2 2 2" xfId="10355"/>
    <cellStyle name="Normal 6 2 2 2 2" xfId="10356"/>
    <cellStyle name="Normal 6 2 2 2 2 2" xfId="10357"/>
    <cellStyle name="Normal 6 2 2 2 2 2 2" xfId="10358"/>
    <cellStyle name="Normal 6 2 2 2 2 3" xfId="10359"/>
    <cellStyle name="Normal 6 2 2 2 3" xfId="10360"/>
    <cellStyle name="Normal 6 2 2 2 3 2" xfId="10361"/>
    <cellStyle name="Normal 6 2 2 2 4" xfId="10362"/>
    <cellStyle name="Normal 6 2 2 2 5" xfId="10363"/>
    <cellStyle name="Normal 6 2 2 3" xfId="10364"/>
    <cellStyle name="Normal 6 2 2 3 2" xfId="10365"/>
    <cellStyle name="Normal 6 2 2 3 2 2" xfId="10366"/>
    <cellStyle name="Normal 6 2 2 3 3" xfId="10367"/>
    <cellStyle name="Normal 6 2 2 4" xfId="10368"/>
    <cellStyle name="Normal 6 2 2 4 2" xfId="10369"/>
    <cellStyle name="Normal 6 2 2 5" xfId="10370"/>
    <cellStyle name="Normal 6 2 2 6" xfId="10371"/>
    <cellStyle name="Normal 6 2 3" xfId="10372"/>
    <cellStyle name="Normal 6 2 3 2" xfId="10373"/>
    <cellStyle name="Normal 6 2 3 2 2" xfId="10374"/>
    <cellStyle name="Normal 6 2 3 2 2 2" xfId="10375"/>
    <cellStyle name="Normal 6 2 3 2 3" xfId="10376"/>
    <cellStyle name="Normal 6 2 3 3" xfId="10377"/>
    <cellStyle name="Normal 6 2 3 3 2" xfId="10378"/>
    <cellStyle name="Normal 6 2 3 4" xfId="10379"/>
    <cellStyle name="Normal 6 2 3 5" xfId="10380"/>
    <cellStyle name="Normal 6 2 4" xfId="10381"/>
    <cellStyle name="Normal 6 2 4 2" xfId="10382"/>
    <cellStyle name="Normal 6 2 4 2 2" xfId="10383"/>
    <cellStyle name="Normal 6 2 4 3" xfId="10384"/>
    <cellStyle name="Normal 6 2 5" xfId="10385"/>
    <cellStyle name="Normal 6 2 5 2" xfId="10386"/>
    <cellStyle name="Normal 6 2 6" xfId="10387"/>
    <cellStyle name="Normal 6 2 7" xfId="10388"/>
    <cellStyle name="Normal 6 2 8" xfId="10389"/>
    <cellStyle name="Normal 6 3" xfId="10390"/>
    <cellStyle name="Normal 6 3 2" xfId="10391"/>
    <cellStyle name="Normal 6 3 2 2" xfId="10392"/>
    <cellStyle name="Normal 6 3 2 2 2" xfId="10393"/>
    <cellStyle name="Normal 6 3 2 2 2 2" xfId="10394"/>
    <cellStyle name="Normal 6 3 2 2 3" xfId="10395"/>
    <cellStyle name="Normal 6 3 2 3" xfId="10396"/>
    <cellStyle name="Normal 6 3 2 3 2" xfId="10397"/>
    <cellStyle name="Normal 6 3 2 4" xfId="10398"/>
    <cellStyle name="Normal 6 3 2 5" xfId="10399"/>
    <cellStyle name="Normal 6 3 3" xfId="10400"/>
    <cellStyle name="Normal 6 3 3 2" xfId="10401"/>
    <cellStyle name="Normal 6 3 3 2 2" xfId="10402"/>
    <cellStyle name="Normal 6 3 3 3" xfId="10403"/>
    <cellStyle name="Normal 6 3 4" xfId="10404"/>
    <cellStyle name="Normal 6 3 4 2" xfId="10405"/>
    <cellStyle name="Normal 6 3 5" xfId="10406"/>
    <cellStyle name="Normal 6 3 6" xfId="10407"/>
    <cellStyle name="Normal 6 3 7" xfId="10408"/>
    <cellStyle name="Normal 6 4" xfId="10409"/>
    <cellStyle name="Normal 6 4 2" xfId="10410"/>
    <cellStyle name="Normal 6 4 2 2" xfId="10411"/>
    <cellStyle name="Normal 6 4 2 2 2" xfId="10412"/>
    <cellStyle name="Normal 6 4 2 2 3" xfId="10413"/>
    <cellStyle name="Normal 6 4 2 3" xfId="10414"/>
    <cellStyle name="Normal 6 4 2 3 2" xfId="10415"/>
    <cellStyle name="Normal 6 4 2 4" xfId="10416"/>
    <cellStyle name="Normal 6 4 2 5" xfId="10417"/>
    <cellStyle name="Normal 6 4 2 6" xfId="10418"/>
    <cellStyle name="Normal 6 4 3" xfId="10419"/>
    <cellStyle name="Normal 6 4 3 2" xfId="10420"/>
    <cellStyle name="Normal 6 4 3 3" xfId="10421"/>
    <cellStyle name="Normal 6 4 4" xfId="10422"/>
    <cellStyle name="Normal 6 4 4 2" xfId="10423"/>
    <cellStyle name="Normal 6 4 4 3" xfId="10424"/>
    <cellStyle name="Normal 6 4 5" xfId="10425"/>
    <cellStyle name="Normal 6 4 5 2" xfId="10426"/>
    <cellStyle name="Normal 6 4 6" xfId="10427"/>
    <cellStyle name="Normal 6 4 7" xfId="10428"/>
    <cellStyle name="Normal 6 4 8" xfId="10429"/>
    <cellStyle name="Normal 6 5" xfId="10430"/>
    <cellStyle name="Normal 6 5 2" xfId="10431"/>
    <cellStyle name="Normal 6 5 2 2" xfId="10432"/>
    <cellStyle name="Normal 6 5 2 2 2" xfId="10433"/>
    <cellStyle name="Normal 6 5 2 3" xfId="10434"/>
    <cellStyle name="Normal 6 5 3" xfId="10435"/>
    <cellStyle name="Normal 6 5 3 2" xfId="10436"/>
    <cellStyle name="Normal 6 5 4" xfId="10437"/>
    <cellStyle name="Normal 6 5 5" xfId="10438"/>
    <cellStyle name="Normal 6 5 6" xfId="10439"/>
    <cellStyle name="Normal 6 6" xfId="10440"/>
    <cellStyle name="Normal 6 6 2" xfId="10441"/>
    <cellStyle name="Normal 6 6 2 2" xfId="10442"/>
    <cellStyle name="Normal 6 6 3" xfId="10443"/>
    <cellStyle name="Normal 6 6 4" xfId="10444"/>
    <cellStyle name="Normal 6 6 5" xfId="10445"/>
    <cellStyle name="Normal 6 7" xfId="10446"/>
    <cellStyle name="Normal 6 7 2" xfId="10447"/>
    <cellStyle name="Normal 6 7 3" xfId="10448"/>
    <cellStyle name="Normal 6 8" xfId="10449"/>
    <cellStyle name="Normal 6 8 2" xfId="10450"/>
    <cellStyle name="Normal 6 8 3" xfId="10451"/>
    <cellStyle name="Normal 6 9" xfId="10452"/>
    <cellStyle name="Normal 60" xfId="10453"/>
    <cellStyle name="Normal 61" xfId="10454"/>
    <cellStyle name="Normal 62" xfId="10455"/>
    <cellStyle name="Normal 63" xfId="10456"/>
    <cellStyle name="Normal 64" xfId="10457"/>
    <cellStyle name="Normal 65" xfId="10458"/>
    <cellStyle name="Normal 66" xfId="10459"/>
    <cellStyle name="Normal 67" xfId="10460"/>
    <cellStyle name="Normal 68" xfId="10461"/>
    <cellStyle name="Normal 69" xfId="10462"/>
    <cellStyle name="Normal 7" xfId="1907"/>
    <cellStyle name="Normal 7 10" xfId="10463"/>
    <cellStyle name="Normal 7 11" xfId="10464"/>
    <cellStyle name="Normal 7 2" xfId="10465"/>
    <cellStyle name="Normal 7 2 2" xfId="10466"/>
    <cellStyle name="Normal 7 2 2 2" xfId="10467"/>
    <cellStyle name="Normal 7 2 2 2 2" xfId="10468"/>
    <cellStyle name="Normal 7 2 2 2 2 2" xfId="10469"/>
    <cellStyle name="Normal 7 2 2 2 2 2 2" xfId="10470"/>
    <cellStyle name="Normal 7 2 2 2 2 2 2 2" xfId="10471"/>
    <cellStyle name="Normal 7 2 2 2 2 2 3" xfId="10472"/>
    <cellStyle name="Normal 7 2 2 2 2 3" xfId="10473"/>
    <cellStyle name="Normal 7 2 2 2 2 3 2" xfId="10474"/>
    <cellStyle name="Normal 7 2 2 2 2 4" xfId="10475"/>
    <cellStyle name="Normal 7 2 2 2 3" xfId="10476"/>
    <cellStyle name="Normal 7 2 2 2 3 2" xfId="10477"/>
    <cellStyle name="Normal 7 2 2 2 3 2 2" xfId="10478"/>
    <cellStyle name="Normal 7 2 2 2 3 3" xfId="10479"/>
    <cellStyle name="Normal 7 2 2 2 4" xfId="10480"/>
    <cellStyle name="Normal 7 2 2 2 4 2" xfId="10481"/>
    <cellStyle name="Normal 7 2 2 2 5" xfId="10482"/>
    <cellStyle name="Normal 7 2 2 2 6" xfId="10483"/>
    <cellStyle name="Normal 7 2 2 3" xfId="10484"/>
    <cellStyle name="Normal 7 2 2 3 2" xfId="10485"/>
    <cellStyle name="Normal 7 2 2 3 2 2" xfId="10486"/>
    <cellStyle name="Normal 7 2 2 3 2 2 2" xfId="10487"/>
    <cellStyle name="Normal 7 2 2 3 2 3" xfId="10488"/>
    <cellStyle name="Normal 7 2 2 3 3" xfId="10489"/>
    <cellStyle name="Normal 7 2 2 3 3 2" xfId="10490"/>
    <cellStyle name="Normal 7 2 2 3 4" xfId="10491"/>
    <cellStyle name="Normal 7 2 2 4" xfId="10492"/>
    <cellStyle name="Normal 7 2 2 4 2" xfId="10493"/>
    <cellStyle name="Normal 7 2 2 4 2 2" xfId="10494"/>
    <cellStyle name="Normal 7 2 2 4 3" xfId="10495"/>
    <cellStyle name="Normal 7 2 2 5" xfId="10496"/>
    <cellStyle name="Normal 7 2 2 5 2" xfId="10497"/>
    <cellStyle name="Normal 7 2 2 6" xfId="10498"/>
    <cellStyle name="Normal 7 2 2 7" xfId="10499"/>
    <cellStyle name="Normal 7 2 3" xfId="10500"/>
    <cellStyle name="Normal 7 2 3 2" xfId="10501"/>
    <cellStyle name="Normal 7 2 3 2 2" xfId="10502"/>
    <cellStyle name="Normal 7 2 3 2 2 2" xfId="10503"/>
    <cellStyle name="Normal 7 2 3 2 2 2 2" xfId="10504"/>
    <cellStyle name="Normal 7 2 3 2 2 3" xfId="10505"/>
    <cellStyle name="Normal 7 2 3 2 3" xfId="10506"/>
    <cellStyle name="Normal 7 2 3 2 3 2" xfId="10507"/>
    <cellStyle name="Normal 7 2 3 2 4" xfId="10508"/>
    <cellStyle name="Normal 7 2 3 3" xfId="10509"/>
    <cellStyle name="Normal 7 2 3 3 2" xfId="10510"/>
    <cellStyle name="Normal 7 2 3 3 2 2" xfId="10511"/>
    <cellStyle name="Normal 7 2 3 3 3" xfId="10512"/>
    <cellStyle name="Normal 7 2 3 4" xfId="10513"/>
    <cellStyle name="Normal 7 2 3 4 2" xfId="10514"/>
    <cellStyle name="Normal 7 2 3 5" xfId="10515"/>
    <cellStyle name="Normal 7 2 3 6" xfId="10516"/>
    <cellStyle name="Normal 7 2 4" xfId="10517"/>
    <cellStyle name="Normal 7 2 4 2" xfId="10518"/>
    <cellStyle name="Normal 7 2 4 2 2" xfId="10519"/>
    <cellStyle name="Normal 7 2 4 2 2 2" xfId="10520"/>
    <cellStyle name="Normal 7 2 4 2 2 2 2" xfId="10521"/>
    <cellStyle name="Normal 7 2 4 2 2 3" xfId="10522"/>
    <cellStyle name="Normal 7 2 4 2 3" xfId="10523"/>
    <cellStyle name="Normal 7 2 4 2 3 2" xfId="10524"/>
    <cellStyle name="Normal 7 2 4 2 4" xfId="10525"/>
    <cellStyle name="Normal 7 2 4 3" xfId="10526"/>
    <cellStyle name="Normal 7 2 4 3 2" xfId="10527"/>
    <cellStyle name="Normal 7 2 4 3 2 2" xfId="10528"/>
    <cellStyle name="Normal 7 2 4 3 3" xfId="10529"/>
    <cellStyle name="Normal 7 2 4 4" xfId="10530"/>
    <cellStyle name="Normal 7 2 4 4 2" xfId="10531"/>
    <cellStyle name="Normal 7 2 4 5" xfId="10532"/>
    <cellStyle name="Normal 7 2 5" xfId="10533"/>
    <cellStyle name="Normal 7 2 5 2" xfId="10534"/>
    <cellStyle name="Normal 7 2 5 2 2" xfId="10535"/>
    <cellStyle name="Normal 7 2 5 2 2 2" xfId="10536"/>
    <cellStyle name="Normal 7 2 5 2 3" xfId="10537"/>
    <cellStyle name="Normal 7 2 5 3" xfId="10538"/>
    <cellStyle name="Normal 7 2 5 3 2" xfId="10539"/>
    <cellStyle name="Normal 7 2 5 4" xfId="10540"/>
    <cellStyle name="Normal 7 2 6" xfId="10541"/>
    <cellStyle name="Normal 7 2 6 2" xfId="10542"/>
    <cellStyle name="Normal 7 2 6 2 2" xfId="10543"/>
    <cellStyle name="Normal 7 2 6 3" xfId="10544"/>
    <cellStyle name="Normal 7 2 7" xfId="10545"/>
    <cellStyle name="Normal 7 2 7 2" xfId="10546"/>
    <cellStyle name="Normal 7 2 8" xfId="10547"/>
    <cellStyle name="Normal 7 2 9" xfId="10548"/>
    <cellStyle name="Normal 7 3" xfId="10549"/>
    <cellStyle name="Normal 7 3 2" xfId="10550"/>
    <cellStyle name="Normal 7 3 2 2" xfId="10551"/>
    <cellStyle name="Normal 7 3 2 2 2" xfId="10552"/>
    <cellStyle name="Normal 7 3 2 2 2 2" xfId="10553"/>
    <cellStyle name="Normal 7 3 2 2 2 2 2" xfId="10554"/>
    <cellStyle name="Normal 7 3 2 2 2 3" xfId="10555"/>
    <cellStyle name="Normal 7 3 2 2 3" xfId="10556"/>
    <cellStyle name="Normal 7 3 2 2 3 2" xfId="10557"/>
    <cellStyle name="Normal 7 3 2 2 4" xfId="10558"/>
    <cellStyle name="Normal 7 3 2 3" xfId="10559"/>
    <cellStyle name="Normal 7 3 2 3 2" xfId="10560"/>
    <cellStyle name="Normal 7 3 2 3 2 2" xfId="10561"/>
    <cellStyle name="Normal 7 3 2 3 3" xfId="10562"/>
    <cellStyle name="Normal 7 3 2 4" xfId="10563"/>
    <cellStyle name="Normal 7 3 2 4 2" xfId="10564"/>
    <cellStyle name="Normal 7 3 2 5" xfId="10565"/>
    <cellStyle name="Normal 7 3 2 6" xfId="10566"/>
    <cellStyle name="Normal 7 3 3" xfId="10567"/>
    <cellStyle name="Normal 7 3 3 2" xfId="10568"/>
    <cellStyle name="Normal 7 3 3 2 2" xfId="10569"/>
    <cellStyle name="Normal 7 3 3 2 2 2" xfId="10570"/>
    <cellStyle name="Normal 7 3 3 2 3" xfId="10571"/>
    <cellStyle name="Normal 7 3 3 3" xfId="10572"/>
    <cellStyle name="Normal 7 3 3 3 2" xfId="10573"/>
    <cellStyle name="Normal 7 3 3 4" xfId="10574"/>
    <cellStyle name="Normal 7 3 4" xfId="10575"/>
    <cellStyle name="Normal 7 3 4 2" xfId="10576"/>
    <cellStyle name="Normal 7 3 4 2 2" xfId="10577"/>
    <cellStyle name="Normal 7 3 4 3" xfId="10578"/>
    <cellStyle name="Normal 7 3 5" xfId="10579"/>
    <cellStyle name="Normal 7 3 5 2" xfId="10580"/>
    <cellStyle name="Normal 7 3 6" xfId="10581"/>
    <cellStyle name="Normal 7 3 7" xfId="10582"/>
    <cellStyle name="Normal 7 4" xfId="10583"/>
    <cellStyle name="Normal 7 4 2" xfId="10584"/>
    <cellStyle name="Normal 7 4 2 2" xfId="10585"/>
    <cellStyle name="Normal 7 4 2 2 2" xfId="10586"/>
    <cellStyle name="Normal 7 4 2 2 2 2" xfId="10587"/>
    <cellStyle name="Normal 7 4 2 2 3" xfId="10588"/>
    <cellStyle name="Normal 7 4 2 3" xfId="10589"/>
    <cellStyle name="Normal 7 4 2 3 2" xfId="10590"/>
    <cellStyle name="Normal 7 4 2 4" xfId="10591"/>
    <cellStyle name="Normal 7 4 2 5" xfId="10592"/>
    <cellStyle name="Normal 7 4 3" xfId="10593"/>
    <cellStyle name="Normal 7 4 3 2" xfId="10594"/>
    <cellStyle name="Normal 7 4 3 2 2" xfId="10595"/>
    <cellStyle name="Normal 7 4 3 3" xfId="10596"/>
    <cellStyle name="Normal 7 4 4" xfId="10597"/>
    <cellStyle name="Normal 7 4 4 2" xfId="10598"/>
    <cellStyle name="Normal 7 4 5" xfId="10599"/>
    <cellStyle name="Normal 7 4 6" xfId="10600"/>
    <cellStyle name="Normal 7 4 7" xfId="10601"/>
    <cellStyle name="Normal 7 5" xfId="10602"/>
    <cellStyle name="Normal 7 5 2" xfId="10603"/>
    <cellStyle name="Normal 7 5 2 2" xfId="10604"/>
    <cellStyle name="Normal 7 5 2 2 2" xfId="10605"/>
    <cellStyle name="Normal 7 5 2 2 2 2" xfId="10606"/>
    <cellStyle name="Normal 7 5 2 2 3" xfId="10607"/>
    <cellStyle name="Normal 7 5 2 3" xfId="10608"/>
    <cellStyle name="Normal 7 5 2 3 2" xfId="10609"/>
    <cellStyle name="Normal 7 5 2 4" xfId="10610"/>
    <cellStyle name="Normal 7 5 3" xfId="10611"/>
    <cellStyle name="Normal 7 5 3 2" xfId="10612"/>
    <cellStyle name="Normal 7 5 3 2 2" xfId="10613"/>
    <cellStyle name="Normal 7 5 3 3" xfId="10614"/>
    <cellStyle name="Normal 7 5 4" xfId="10615"/>
    <cellStyle name="Normal 7 5 4 2" xfId="10616"/>
    <cellStyle name="Normal 7 5 5" xfId="10617"/>
    <cellStyle name="Normal 7 5 6" xfId="10618"/>
    <cellStyle name="Normal 7 6" xfId="10619"/>
    <cellStyle name="Normal 7 6 2" xfId="10620"/>
    <cellStyle name="Normal 7 6 2 2" xfId="10621"/>
    <cellStyle name="Normal 7 6 2 2 2" xfId="10622"/>
    <cellStyle name="Normal 7 6 2 3" xfId="10623"/>
    <cellStyle name="Normal 7 6 3" xfId="10624"/>
    <cellStyle name="Normal 7 6 3 2" xfId="10625"/>
    <cellStyle name="Normal 7 6 4" xfId="10626"/>
    <cellStyle name="Normal 7 7" xfId="10627"/>
    <cellStyle name="Normal 7 7 2" xfId="10628"/>
    <cellStyle name="Normal 7 7 2 2" xfId="10629"/>
    <cellStyle name="Normal 7 7 3" xfId="10630"/>
    <cellStyle name="Normal 7 8" xfId="10631"/>
    <cellStyle name="Normal 7 8 2" xfId="10632"/>
    <cellStyle name="Normal 7 8 2 2" xfId="10633"/>
    <cellStyle name="Normal 7 8 3" xfId="10634"/>
    <cellStyle name="Normal 7 9" xfId="10635"/>
    <cellStyle name="Normal 7 9 2" xfId="10636"/>
    <cellStyle name="Normal 70" xfId="10637"/>
    <cellStyle name="Normal 71" xfId="10638"/>
    <cellStyle name="Normal 72" xfId="53"/>
    <cellStyle name="Normal 8" xfId="1908"/>
    <cellStyle name="Normal 8 2" xfId="10639"/>
    <cellStyle name="Normal 8 2 2" xfId="2155"/>
    <cellStyle name="Normal 8 2 2 2" xfId="10640"/>
    <cellStyle name="Normal 8 2 2 2 2" xfId="10641"/>
    <cellStyle name="Normal 8 2 2 2 2 2" xfId="10642"/>
    <cellStyle name="Normal 8 2 2 2 2 2 2" xfId="10643"/>
    <cellStyle name="Normal 8 2 2 2 2 3" xfId="10644"/>
    <cellStyle name="Normal 8 2 2 2 3" xfId="10645"/>
    <cellStyle name="Normal 8 2 2 2 3 2" xfId="10646"/>
    <cellStyle name="Normal 8 2 2 2 4" xfId="10647"/>
    <cellStyle name="Normal 8 2 2 2 5" xfId="10648"/>
    <cellStyle name="Normal 8 2 2 3" xfId="10649"/>
    <cellStyle name="Normal 8 2 2 3 2" xfId="10650"/>
    <cellStyle name="Normal 8 2 2 3 2 2" xfId="10651"/>
    <cellStyle name="Normal 8 2 2 3 3" xfId="10652"/>
    <cellStyle name="Normal 8 2 2 4" xfId="10653"/>
    <cellStyle name="Normal 8 2 2 4 2" xfId="10654"/>
    <cellStyle name="Normal 8 2 2 5" xfId="10655"/>
    <cellStyle name="Normal 8 2 2 6" xfId="10656"/>
    <cellStyle name="Normal 8 2 3" xfId="10657"/>
    <cellStyle name="Normal 8 2 3 2" xfId="10658"/>
    <cellStyle name="Normal 8 2 3 2 2" xfId="10659"/>
    <cellStyle name="Normal 8 2 3 2 2 2" xfId="10660"/>
    <cellStyle name="Normal 8 2 3 2 3" xfId="10661"/>
    <cellStyle name="Normal 8 2 3 3" xfId="10662"/>
    <cellStyle name="Normal 8 2 3 3 2" xfId="10663"/>
    <cellStyle name="Normal 8 2 3 4" xfId="10664"/>
    <cellStyle name="Normal 8 2 3 5" xfId="10665"/>
    <cellStyle name="Normal 8 2 4" xfId="10666"/>
    <cellStyle name="Normal 8 2 4 2" xfId="10667"/>
    <cellStyle name="Normal 8 2 4 2 2" xfId="10668"/>
    <cellStyle name="Normal 8 2 4 3" xfId="10669"/>
    <cellStyle name="Normal 8 2 5" xfId="10670"/>
    <cellStyle name="Normal 8 2 5 2" xfId="10671"/>
    <cellStyle name="Normal 8 2 6" xfId="10672"/>
    <cellStyle name="Normal 8 2 7" xfId="10673"/>
    <cellStyle name="Normal 8 2 8" xfId="10674"/>
    <cellStyle name="Normal 8 3" xfId="2156"/>
    <cellStyle name="Normal 8 3 2" xfId="10675"/>
    <cellStyle name="Normal 8 3 2 2" xfId="10676"/>
    <cellStyle name="Normal 8 3 2 2 2" xfId="10677"/>
    <cellStyle name="Normal 8 3 2 2 2 2" xfId="10678"/>
    <cellStyle name="Normal 8 3 2 2 3" xfId="10679"/>
    <cellStyle name="Normal 8 3 2 3" xfId="10680"/>
    <cellStyle name="Normal 8 3 2 3 2" xfId="10681"/>
    <cellStyle name="Normal 8 3 2 4" xfId="10682"/>
    <cellStyle name="Normal 8 3 2 5" xfId="10683"/>
    <cellStyle name="Normal 8 3 3" xfId="10684"/>
    <cellStyle name="Normal 8 3 3 2" xfId="10685"/>
    <cellStyle name="Normal 8 3 3 2 2" xfId="10686"/>
    <cellStyle name="Normal 8 3 3 3" xfId="10687"/>
    <cellStyle name="Normal 8 3 4" xfId="10688"/>
    <cellStyle name="Normal 8 3 4 2" xfId="10689"/>
    <cellStyle name="Normal 8 3 5" xfId="10690"/>
    <cellStyle name="Normal 8 3 6" xfId="10691"/>
    <cellStyle name="Normal 8 4" xfId="10692"/>
    <cellStyle name="Normal 8 4 2" xfId="10693"/>
    <cellStyle name="Normal 8 4 2 2" xfId="10694"/>
    <cellStyle name="Normal 8 4 2 2 2" xfId="10695"/>
    <cellStyle name="Normal 8 4 2 3" xfId="10696"/>
    <cellStyle name="Normal 8 4 3" xfId="10697"/>
    <cellStyle name="Normal 8 4 3 2" xfId="10698"/>
    <cellStyle name="Normal 8 4 4" xfId="10699"/>
    <cellStyle name="Normal 8 4 5" xfId="10700"/>
    <cellStyle name="Normal 8 5" xfId="10701"/>
    <cellStyle name="Normal 8 5 2" xfId="10702"/>
    <cellStyle name="Normal 8 5 2 2" xfId="10703"/>
    <cellStyle name="Normal 8 5 3" xfId="10704"/>
    <cellStyle name="Normal 8 6" xfId="10705"/>
    <cellStyle name="Normal 8 6 2" xfId="10706"/>
    <cellStyle name="Normal 8 7" xfId="10707"/>
    <cellStyle name="Normal 8 8" xfId="10708"/>
    <cellStyle name="Normal 9" xfId="1909"/>
    <cellStyle name="Normal 9 2" xfId="10709"/>
    <cellStyle name="Normal 9 2 2" xfId="10710"/>
    <cellStyle name="Normal 9 2 2 2" xfId="10711"/>
    <cellStyle name="Normal 9 2 2 2 2" xfId="10712"/>
    <cellStyle name="Normal 9 2 2 2 2 2" xfId="10713"/>
    <cellStyle name="Normal 9 2 2 2 2 2 2" xfId="10714"/>
    <cellStyle name="Normal 9 2 2 2 2 3" xfId="10715"/>
    <cellStyle name="Normal 9 2 2 2 3" xfId="10716"/>
    <cellStyle name="Normal 9 2 2 2 3 2" xfId="10717"/>
    <cellStyle name="Normal 9 2 2 2 4" xfId="10718"/>
    <cellStyle name="Normal 9 2 2 2 5" xfId="10719"/>
    <cellStyle name="Normal 9 2 2 2 6" xfId="10720"/>
    <cellStyle name="Normal 9 2 2 3" xfId="10721"/>
    <cellStyle name="Normal 9 2 2 3 2" xfId="10722"/>
    <cellStyle name="Normal 9 2 2 3 2 2" xfId="10723"/>
    <cellStyle name="Normal 9 2 2 3 3" xfId="10724"/>
    <cellStyle name="Normal 9 2 2 4" xfId="10725"/>
    <cellStyle name="Normal 9 2 2 4 2" xfId="10726"/>
    <cellStyle name="Normal 9 2 2 5" xfId="10727"/>
    <cellStyle name="Normal 9 2 2 6" xfId="10728"/>
    <cellStyle name="Normal 9 2 2 7" xfId="10729"/>
    <cellStyle name="Normal 9 2 3" xfId="10730"/>
    <cellStyle name="Normal 9 2 3 2" xfId="10731"/>
    <cellStyle name="Normal 9 2 3 2 2" xfId="10732"/>
    <cellStyle name="Normal 9 2 3 2 2 2" xfId="10733"/>
    <cellStyle name="Normal 9 2 3 2 3" xfId="10734"/>
    <cellStyle name="Normal 9 2 3 3" xfId="10735"/>
    <cellStyle name="Normal 9 2 3 3 2" xfId="10736"/>
    <cellStyle name="Normal 9 2 3 4" xfId="10737"/>
    <cellStyle name="Normal 9 2 3 5" xfId="10738"/>
    <cellStyle name="Normal 9 2 3 6" xfId="10739"/>
    <cellStyle name="Normal 9 2 4" xfId="10740"/>
    <cellStyle name="Normal 9 2 4 2" xfId="10741"/>
    <cellStyle name="Normal 9 2 4 2 2" xfId="10742"/>
    <cellStyle name="Normal 9 2 4 3" xfId="10743"/>
    <cellStyle name="Normal 9 2 4 4" xfId="10744"/>
    <cellStyle name="Normal 9 2 5" xfId="10745"/>
    <cellStyle name="Normal 9 2 5 2" xfId="10746"/>
    <cellStyle name="Normal 9 2 6" xfId="10747"/>
    <cellStyle name="Normal 9 2 7" xfId="10748"/>
    <cellStyle name="Normal 9 2 8" xfId="10749"/>
    <cellStyle name="Normal 9 3" xfId="10750"/>
    <cellStyle name="Normal 9 3 2" xfId="10751"/>
    <cellStyle name="Normal 9 3 2 2" xfId="10752"/>
    <cellStyle name="Normal 9 3 2 2 2" xfId="10753"/>
    <cellStyle name="Normal 9 3 2 2 2 2" xfId="10754"/>
    <cellStyle name="Normal 9 3 2 2 3" xfId="10755"/>
    <cellStyle name="Normal 9 3 2 3" xfId="10756"/>
    <cellStyle name="Normal 9 3 2 3 2" xfId="10757"/>
    <cellStyle name="Normal 9 3 2 4" xfId="10758"/>
    <cellStyle name="Normal 9 3 2 5" xfId="10759"/>
    <cellStyle name="Normal 9 3 2 6" xfId="10760"/>
    <cellStyle name="Normal 9 3 3" xfId="10761"/>
    <cellStyle name="Normal 9 3 3 2" xfId="10762"/>
    <cellStyle name="Normal 9 3 3 2 2" xfId="10763"/>
    <cellStyle name="Normal 9 3 3 3" xfId="10764"/>
    <cellStyle name="Normal 9 3 3 4" xfId="10765"/>
    <cellStyle name="Normal 9 3 4" xfId="10766"/>
    <cellStyle name="Normal 9 3 4 2" xfId="10767"/>
    <cellStyle name="Normal 9 3 5" xfId="10768"/>
    <cellStyle name="Normal 9 3 6" xfId="10769"/>
    <cellStyle name="Normal 9 3 7" xfId="10770"/>
    <cellStyle name="Normal 9 4" xfId="10771"/>
    <cellStyle name="Normal 9 4 2" xfId="10772"/>
    <cellStyle name="Normal 9 4 2 2" xfId="10773"/>
    <cellStyle name="Normal 9 4 2 2 2" xfId="10774"/>
    <cellStyle name="Normal 9 4 2 3" xfId="10775"/>
    <cellStyle name="Normal 9 4 3" xfId="10776"/>
    <cellStyle name="Normal 9 4 3 2" xfId="10777"/>
    <cellStyle name="Normal 9 4 4" xfId="10778"/>
    <cellStyle name="Normal 9 4 5" xfId="10779"/>
    <cellStyle name="Normal 9 4 6" xfId="10780"/>
    <cellStyle name="Normal 9 5" xfId="10781"/>
    <cellStyle name="Normal 9 5 2" xfId="10782"/>
    <cellStyle name="Normal 9 5 2 2" xfId="10783"/>
    <cellStyle name="Normal 9 5 3" xfId="10784"/>
    <cellStyle name="Normal 9 5 4" xfId="10785"/>
    <cellStyle name="Normal 9 6" xfId="10786"/>
    <cellStyle name="Normal 9 6 2" xfId="10787"/>
    <cellStyle name="Normal 9 7" xfId="10788"/>
    <cellStyle name="Normal 9 8" xfId="10789"/>
    <cellStyle name="Normal 9 9" xfId="10790"/>
    <cellStyle name="Note 10" xfId="1910"/>
    <cellStyle name="Note 10 10" xfId="10791"/>
    <cellStyle name="Note 10 10 2" xfId="10792"/>
    <cellStyle name="Note 10 11" xfId="10793"/>
    <cellStyle name="Note 10 12" xfId="10794"/>
    <cellStyle name="Note 10 13" xfId="10795"/>
    <cellStyle name="Note 10 2" xfId="1911"/>
    <cellStyle name="Note 10 2 10" xfId="10796"/>
    <cellStyle name="Note 10 2 2" xfId="10797"/>
    <cellStyle name="Note 10 2 2 2" xfId="10798"/>
    <cellStyle name="Note 10 2 3" xfId="10799"/>
    <cellStyle name="Note 10 2 3 2" xfId="10800"/>
    <cellStyle name="Note 10 2 4" xfId="10801"/>
    <cellStyle name="Note 10 2 4 2" xfId="10802"/>
    <cellStyle name="Note 10 2 5" xfId="10803"/>
    <cellStyle name="Note 10 2 5 2" xfId="10804"/>
    <cellStyle name="Note 10 2 6" xfId="10805"/>
    <cellStyle name="Note 10 2 6 2" xfId="10806"/>
    <cellStyle name="Note 10 2 7" xfId="10807"/>
    <cellStyle name="Note 10 2 7 2" xfId="10808"/>
    <cellStyle name="Note 10 2 8" xfId="10809"/>
    <cellStyle name="Note 10 2 8 2" xfId="10810"/>
    <cellStyle name="Note 10 2 9" xfId="10811"/>
    <cellStyle name="Note 10 2 9 2" xfId="10812"/>
    <cellStyle name="Note 10 3" xfId="1912"/>
    <cellStyle name="Note 10 3 2" xfId="10813"/>
    <cellStyle name="Note 10 4" xfId="1913"/>
    <cellStyle name="Note 10 4 2" xfId="10814"/>
    <cellStyle name="Note 10 5" xfId="1914"/>
    <cellStyle name="Note 10 5 2" xfId="10815"/>
    <cellStyle name="Note 10 6" xfId="10816"/>
    <cellStyle name="Note 10 6 2" xfId="10817"/>
    <cellStyle name="Note 10 7" xfId="10818"/>
    <cellStyle name="Note 10 7 2" xfId="10819"/>
    <cellStyle name="Note 10 8" xfId="10820"/>
    <cellStyle name="Note 10 8 2" xfId="10821"/>
    <cellStyle name="Note 10 9" xfId="10822"/>
    <cellStyle name="Note 10 9 2" xfId="10823"/>
    <cellStyle name="Note 11" xfId="1915"/>
    <cellStyle name="Note 11 10" xfId="10824"/>
    <cellStyle name="Note 11 10 2" xfId="10825"/>
    <cellStyle name="Note 11 11" xfId="10826"/>
    <cellStyle name="Note 11 12" xfId="10827"/>
    <cellStyle name="Note 11 13" xfId="10828"/>
    <cellStyle name="Note 11 2" xfId="1916"/>
    <cellStyle name="Note 11 2 10" xfId="10829"/>
    <cellStyle name="Note 11 2 2" xfId="10830"/>
    <cellStyle name="Note 11 2 2 2" xfId="10831"/>
    <cellStyle name="Note 11 2 3" xfId="10832"/>
    <cellStyle name="Note 11 2 3 2" xfId="10833"/>
    <cellStyle name="Note 11 2 4" xfId="10834"/>
    <cellStyle name="Note 11 2 4 2" xfId="10835"/>
    <cellStyle name="Note 11 2 5" xfId="10836"/>
    <cellStyle name="Note 11 2 5 2" xfId="10837"/>
    <cellStyle name="Note 11 2 6" xfId="10838"/>
    <cellStyle name="Note 11 2 6 2" xfId="10839"/>
    <cellStyle name="Note 11 2 7" xfId="10840"/>
    <cellStyle name="Note 11 2 7 2" xfId="10841"/>
    <cellStyle name="Note 11 2 8" xfId="10842"/>
    <cellStyle name="Note 11 2 8 2" xfId="10843"/>
    <cellStyle name="Note 11 2 9" xfId="10844"/>
    <cellStyle name="Note 11 2 9 2" xfId="10845"/>
    <cellStyle name="Note 11 3" xfId="1917"/>
    <cellStyle name="Note 11 3 2" xfId="10846"/>
    <cellStyle name="Note 11 4" xfId="1918"/>
    <cellStyle name="Note 11 4 2" xfId="10847"/>
    <cellStyle name="Note 11 5" xfId="1919"/>
    <cellStyle name="Note 11 5 2" xfId="10848"/>
    <cellStyle name="Note 11 6" xfId="10849"/>
    <cellStyle name="Note 11 6 2" xfId="10850"/>
    <cellStyle name="Note 11 7" xfId="10851"/>
    <cellStyle name="Note 11 7 2" xfId="10852"/>
    <cellStyle name="Note 11 8" xfId="10853"/>
    <cellStyle name="Note 11 8 2" xfId="10854"/>
    <cellStyle name="Note 11 9" xfId="10855"/>
    <cellStyle name="Note 11 9 2" xfId="10856"/>
    <cellStyle name="Note 12" xfId="1920"/>
    <cellStyle name="Note 12 10" xfId="10857"/>
    <cellStyle name="Note 12 10 2" xfId="10858"/>
    <cellStyle name="Note 12 11" xfId="10859"/>
    <cellStyle name="Note 12 12" xfId="10860"/>
    <cellStyle name="Note 12 13" xfId="10861"/>
    <cellStyle name="Note 12 2" xfId="10862"/>
    <cellStyle name="Note 12 2 10" xfId="10863"/>
    <cellStyle name="Note 12 2 2" xfId="10864"/>
    <cellStyle name="Note 12 2 2 2" xfId="10865"/>
    <cellStyle name="Note 12 2 3" xfId="10866"/>
    <cellStyle name="Note 12 2 3 2" xfId="10867"/>
    <cellStyle name="Note 12 2 4" xfId="10868"/>
    <cellStyle name="Note 12 2 4 2" xfId="10869"/>
    <cellStyle name="Note 12 2 5" xfId="10870"/>
    <cellStyle name="Note 12 2 5 2" xfId="10871"/>
    <cellStyle name="Note 12 2 6" xfId="10872"/>
    <cellStyle name="Note 12 2 6 2" xfId="10873"/>
    <cellStyle name="Note 12 2 7" xfId="10874"/>
    <cellStyle name="Note 12 2 7 2" xfId="10875"/>
    <cellStyle name="Note 12 2 8" xfId="10876"/>
    <cellStyle name="Note 12 2 8 2" xfId="10877"/>
    <cellStyle name="Note 12 2 9" xfId="10878"/>
    <cellStyle name="Note 12 2 9 2" xfId="10879"/>
    <cellStyle name="Note 12 3" xfId="10880"/>
    <cellStyle name="Note 12 3 2" xfId="10881"/>
    <cellStyle name="Note 12 4" xfId="10882"/>
    <cellStyle name="Note 12 4 2" xfId="10883"/>
    <cellStyle name="Note 12 5" xfId="10884"/>
    <cellStyle name="Note 12 5 2" xfId="10885"/>
    <cellStyle name="Note 12 6" xfId="10886"/>
    <cellStyle name="Note 12 6 2" xfId="10887"/>
    <cellStyle name="Note 12 7" xfId="10888"/>
    <cellStyle name="Note 12 7 2" xfId="10889"/>
    <cellStyle name="Note 12 8" xfId="10890"/>
    <cellStyle name="Note 12 8 2" xfId="10891"/>
    <cellStyle name="Note 12 9" xfId="10892"/>
    <cellStyle name="Note 12 9 2" xfId="10893"/>
    <cellStyle name="Note 13" xfId="1921"/>
    <cellStyle name="Note 13 10" xfId="10894"/>
    <cellStyle name="Note 13 10 2" xfId="10895"/>
    <cellStyle name="Note 13 11" xfId="10896"/>
    <cellStyle name="Note 13 12" xfId="10897"/>
    <cellStyle name="Note 13 13" xfId="10898"/>
    <cellStyle name="Note 13 2" xfId="10899"/>
    <cellStyle name="Note 13 2 10" xfId="10900"/>
    <cellStyle name="Note 13 2 2" xfId="10901"/>
    <cellStyle name="Note 13 2 2 2" xfId="10902"/>
    <cellStyle name="Note 13 2 3" xfId="10903"/>
    <cellStyle name="Note 13 2 3 2" xfId="10904"/>
    <cellStyle name="Note 13 2 4" xfId="10905"/>
    <cellStyle name="Note 13 2 4 2" xfId="10906"/>
    <cellStyle name="Note 13 2 5" xfId="10907"/>
    <cellStyle name="Note 13 2 5 2" xfId="10908"/>
    <cellStyle name="Note 13 2 6" xfId="10909"/>
    <cellStyle name="Note 13 2 6 2" xfId="10910"/>
    <cellStyle name="Note 13 2 7" xfId="10911"/>
    <cellStyle name="Note 13 2 7 2" xfId="10912"/>
    <cellStyle name="Note 13 2 8" xfId="10913"/>
    <cellStyle name="Note 13 2 8 2" xfId="10914"/>
    <cellStyle name="Note 13 2 9" xfId="10915"/>
    <cellStyle name="Note 13 2 9 2" xfId="10916"/>
    <cellStyle name="Note 13 3" xfId="10917"/>
    <cellStyle name="Note 13 3 2" xfId="10918"/>
    <cellStyle name="Note 13 4" xfId="10919"/>
    <cellStyle name="Note 13 4 2" xfId="10920"/>
    <cellStyle name="Note 13 5" xfId="10921"/>
    <cellStyle name="Note 13 5 2" xfId="10922"/>
    <cellStyle name="Note 13 6" xfId="10923"/>
    <cellStyle name="Note 13 6 2" xfId="10924"/>
    <cellStyle name="Note 13 7" xfId="10925"/>
    <cellStyle name="Note 13 7 2" xfId="10926"/>
    <cellStyle name="Note 13 8" xfId="10927"/>
    <cellStyle name="Note 13 8 2" xfId="10928"/>
    <cellStyle name="Note 13 9" xfId="10929"/>
    <cellStyle name="Note 13 9 2" xfId="10930"/>
    <cellStyle name="Note 14" xfId="1922"/>
    <cellStyle name="Note 14 10" xfId="10931"/>
    <cellStyle name="Note 14 10 2" xfId="10932"/>
    <cellStyle name="Note 14 11" xfId="10933"/>
    <cellStyle name="Note 14 12" xfId="10934"/>
    <cellStyle name="Note 14 13" xfId="10935"/>
    <cellStyle name="Note 14 2" xfId="10936"/>
    <cellStyle name="Note 14 2 10" xfId="10937"/>
    <cellStyle name="Note 14 2 2" xfId="10938"/>
    <cellStyle name="Note 14 2 2 2" xfId="10939"/>
    <cellStyle name="Note 14 2 3" xfId="10940"/>
    <cellStyle name="Note 14 2 3 2" xfId="10941"/>
    <cellStyle name="Note 14 2 4" xfId="10942"/>
    <cellStyle name="Note 14 2 4 2" xfId="10943"/>
    <cellStyle name="Note 14 2 5" xfId="10944"/>
    <cellStyle name="Note 14 2 5 2" xfId="10945"/>
    <cellStyle name="Note 14 2 6" xfId="10946"/>
    <cellStyle name="Note 14 2 6 2" xfId="10947"/>
    <cellStyle name="Note 14 2 7" xfId="10948"/>
    <cellStyle name="Note 14 2 7 2" xfId="10949"/>
    <cellStyle name="Note 14 2 8" xfId="10950"/>
    <cellStyle name="Note 14 2 8 2" xfId="10951"/>
    <cellStyle name="Note 14 2 9" xfId="10952"/>
    <cellStyle name="Note 14 2 9 2" xfId="10953"/>
    <cellStyle name="Note 14 3" xfId="10954"/>
    <cellStyle name="Note 14 3 2" xfId="10955"/>
    <cellStyle name="Note 14 4" xfId="10956"/>
    <cellStyle name="Note 14 4 2" xfId="10957"/>
    <cellStyle name="Note 14 5" xfId="10958"/>
    <cellStyle name="Note 14 5 2" xfId="10959"/>
    <cellStyle name="Note 14 6" xfId="10960"/>
    <cellStyle name="Note 14 6 2" xfId="10961"/>
    <cellStyle name="Note 14 7" xfId="10962"/>
    <cellStyle name="Note 14 7 2" xfId="10963"/>
    <cellStyle name="Note 14 8" xfId="10964"/>
    <cellStyle name="Note 14 8 2" xfId="10965"/>
    <cellStyle name="Note 14 9" xfId="10966"/>
    <cellStyle name="Note 14 9 2" xfId="10967"/>
    <cellStyle name="Note 15" xfId="1923"/>
    <cellStyle name="Note 15 10" xfId="10968"/>
    <cellStyle name="Note 15 10 2" xfId="10969"/>
    <cellStyle name="Note 15 11" xfId="10970"/>
    <cellStyle name="Note 15 12" xfId="10971"/>
    <cellStyle name="Note 15 2" xfId="1924"/>
    <cellStyle name="Note 15 2 10" xfId="10972"/>
    <cellStyle name="Note 15 2 2" xfId="10973"/>
    <cellStyle name="Note 15 2 2 2" xfId="10974"/>
    <cellStyle name="Note 15 2 3" xfId="10975"/>
    <cellStyle name="Note 15 2 3 2" xfId="10976"/>
    <cellStyle name="Note 15 2 4" xfId="10977"/>
    <cellStyle name="Note 15 2 4 2" xfId="10978"/>
    <cellStyle name="Note 15 2 5" xfId="10979"/>
    <cellStyle name="Note 15 2 5 2" xfId="10980"/>
    <cellStyle name="Note 15 2 6" xfId="10981"/>
    <cellStyle name="Note 15 2 6 2" xfId="10982"/>
    <cellStyle name="Note 15 2 7" xfId="10983"/>
    <cellStyle name="Note 15 2 7 2" xfId="10984"/>
    <cellStyle name="Note 15 2 8" xfId="10985"/>
    <cellStyle name="Note 15 2 8 2" xfId="10986"/>
    <cellStyle name="Note 15 2 9" xfId="10987"/>
    <cellStyle name="Note 15 2 9 2" xfId="10988"/>
    <cellStyle name="Note 15 3" xfId="1925"/>
    <cellStyle name="Note 15 3 2" xfId="10989"/>
    <cellStyle name="Note 15 4" xfId="1926"/>
    <cellStyle name="Note 15 4 2" xfId="10990"/>
    <cellStyle name="Note 15 5" xfId="1927"/>
    <cellStyle name="Note 15 5 2" xfId="10991"/>
    <cellStyle name="Note 15 6" xfId="10992"/>
    <cellStyle name="Note 15 6 2" xfId="10993"/>
    <cellStyle name="Note 15 7" xfId="10994"/>
    <cellStyle name="Note 15 7 2" xfId="10995"/>
    <cellStyle name="Note 15 8" xfId="10996"/>
    <cellStyle name="Note 15 8 2" xfId="10997"/>
    <cellStyle name="Note 15 9" xfId="10998"/>
    <cellStyle name="Note 15 9 2" xfId="10999"/>
    <cellStyle name="Note 16" xfId="1928"/>
    <cellStyle name="Note 16 10" xfId="11000"/>
    <cellStyle name="Note 16 10 2" xfId="11001"/>
    <cellStyle name="Note 16 11" xfId="11002"/>
    <cellStyle name="Note 16 2" xfId="1929"/>
    <cellStyle name="Note 16 2 10" xfId="11003"/>
    <cellStyle name="Note 16 2 2" xfId="11004"/>
    <cellStyle name="Note 16 2 2 2" xfId="11005"/>
    <cellStyle name="Note 16 2 3" xfId="11006"/>
    <cellStyle name="Note 16 2 3 2" xfId="11007"/>
    <cellStyle name="Note 16 2 4" xfId="11008"/>
    <cellStyle name="Note 16 2 4 2" xfId="11009"/>
    <cellStyle name="Note 16 2 5" xfId="11010"/>
    <cellStyle name="Note 16 2 5 2" xfId="11011"/>
    <cellStyle name="Note 16 2 6" xfId="11012"/>
    <cellStyle name="Note 16 2 6 2" xfId="11013"/>
    <cellStyle name="Note 16 2 7" xfId="11014"/>
    <cellStyle name="Note 16 2 7 2" xfId="11015"/>
    <cellStyle name="Note 16 2 8" xfId="11016"/>
    <cellStyle name="Note 16 2 8 2" xfId="11017"/>
    <cellStyle name="Note 16 2 9" xfId="11018"/>
    <cellStyle name="Note 16 2 9 2" xfId="11019"/>
    <cellStyle name="Note 16 3" xfId="1930"/>
    <cellStyle name="Note 16 3 2" xfId="11020"/>
    <cellStyle name="Note 16 4" xfId="1931"/>
    <cellStyle name="Note 16 4 2" xfId="11021"/>
    <cellStyle name="Note 16 5" xfId="1932"/>
    <cellStyle name="Note 16 5 2" xfId="11022"/>
    <cellStyle name="Note 16 6" xfId="11023"/>
    <cellStyle name="Note 16 6 2" xfId="11024"/>
    <cellStyle name="Note 16 7" xfId="11025"/>
    <cellStyle name="Note 16 7 2" xfId="11026"/>
    <cellStyle name="Note 16 8" xfId="11027"/>
    <cellStyle name="Note 16 8 2" xfId="11028"/>
    <cellStyle name="Note 16 9" xfId="11029"/>
    <cellStyle name="Note 16 9 2" xfId="11030"/>
    <cellStyle name="Note 17" xfId="1933"/>
    <cellStyle name="Note 17 10" xfId="11031"/>
    <cellStyle name="Note 17 10 2" xfId="11032"/>
    <cellStyle name="Note 17 11" xfId="11033"/>
    <cellStyle name="Note 17 2" xfId="11034"/>
    <cellStyle name="Note 17 2 10" xfId="11035"/>
    <cellStyle name="Note 17 2 2" xfId="11036"/>
    <cellStyle name="Note 17 2 2 2" xfId="11037"/>
    <cellStyle name="Note 17 2 3" xfId="11038"/>
    <cellStyle name="Note 17 2 3 2" xfId="11039"/>
    <cellStyle name="Note 17 2 4" xfId="11040"/>
    <cellStyle name="Note 17 2 4 2" xfId="11041"/>
    <cellStyle name="Note 17 2 5" xfId="11042"/>
    <cellStyle name="Note 17 2 5 2" xfId="11043"/>
    <cellStyle name="Note 17 2 6" xfId="11044"/>
    <cellStyle name="Note 17 2 6 2" xfId="11045"/>
    <cellStyle name="Note 17 2 7" xfId="11046"/>
    <cellStyle name="Note 17 2 7 2" xfId="11047"/>
    <cellStyle name="Note 17 2 8" xfId="11048"/>
    <cellStyle name="Note 17 2 8 2" xfId="11049"/>
    <cellStyle name="Note 17 2 9" xfId="11050"/>
    <cellStyle name="Note 17 2 9 2" xfId="11051"/>
    <cellStyle name="Note 17 3" xfId="11052"/>
    <cellStyle name="Note 17 3 2" xfId="11053"/>
    <cellStyle name="Note 17 4" xfId="11054"/>
    <cellStyle name="Note 17 4 2" xfId="11055"/>
    <cellStyle name="Note 17 5" xfId="11056"/>
    <cellStyle name="Note 17 5 2" xfId="11057"/>
    <cellStyle name="Note 17 6" xfId="11058"/>
    <cellStyle name="Note 17 6 2" xfId="11059"/>
    <cellStyle name="Note 17 7" xfId="11060"/>
    <cellStyle name="Note 17 7 2" xfId="11061"/>
    <cellStyle name="Note 17 8" xfId="11062"/>
    <cellStyle name="Note 17 8 2" xfId="11063"/>
    <cellStyle name="Note 17 9" xfId="11064"/>
    <cellStyle name="Note 17 9 2" xfId="11065"/>
    <cellStyle name="Note 18" xfId="1934"/>
    <cellStyle name="Note 18 10" xfId="11066"/>
    <cellStyle name="Note 18 10 2" xfId="11067"/>
    <cellStyle name="Note 18 11" xfId="11068"/>
    <cellStyle name="Note 18 2" xfId="1935"/>
    <cellStyle name="Note 18 2 10" xfId="11069"/>
    <cellStyle name="Note 18 2 2" xfId="11070"/>
    <cellStyle name="Note 18 2 2 2" xfId="11071"/>
    <cellStyle name="Note 18 2 3" xfId="11072"/>
    <cellStyle name="Note 18 2 3 2" xfId="11073"/>
    <cellStyle name="Note 18 2 4" xfId="11074"/>
    <cellStyle name="Note 18 2 4 2" xfId="11075"/>
    <cellStyle name="Note 18 2 5" xfId="11076"/>
    <cellStyle name="Note 18 2 5 2" xfId="11077"/>
    <cellStyle name="Note 18 2 6" xfId="11078"/>
    <cellStyle name="Note 18 2 6 2" xfId="11079"/>
    <cellStyle name="Note 18 2 7" xfId="11080"/>
    <cellStyle name="Note 18 2 7 2" xfId="11081"/>
    <cellStyle name="Note 18 2 8" xfId="11082"/>
    <cellStyle name="Note 18 2 8 2" xfId="11083"/>
    <cellStyle name="Note 18 2 9" xfId="11084"/>
    <cellStyle name="Note 18 2 9 2" xfId="11085"/>
    <cellStyle name="Note 18 3" xfId="1936"/>
    <cellStyle name="Note 18 3 2" xfId="11086"/>
    <cellStyle name="Note 18 4" xfId="1937"/>
    <cellStyle name="Note 18 4 2" xfId="11087"/>
    <cellStyle name="Note 18 5" xfId="1938"/>
    <cellStyle name="Note 18 5 2" xfId="11088"/>
    <cellStyle name="Note 18 6" xfId="11089"/>
    <cellStyle name="Note 18 6 2" xfId="11090"/>
    <cellStyle name="Note 18 7" xfId="11091"/>
    <cellStyle name="Note 18 7 2" xfId="11092"/>
    <cellStyle name="Note 18 8" xfId="11093"/>
    <cellStyle name="Note 18 8 2" xfId="11094"/>
    <cellStyle name="Note 18 9" xfId="11095"/>
    <cellStyle name="Note 18 9 2" xfId="11096"/>
    <cellStyle name="Note 19" xfId="1939"/>
    <cellStyle name="Note 19 10" xfId="11097"/>
    <cellStyle name="Note 19 10 2" xfId="11098"/>
    <cellStyle name="Note 19 11" xfId="11099"/>
    <cellStyle name="Note 19 2" xfId="11100"/>
    <cellStyle name="Note 19 2 10" xfId="11101"/>
    <cellStyle name="Note 19 2 2" xfId="11102"/>
    <cellStyle name="Note 19 2 2 2" xfId="11103"/>
    <cellStyle name="Note 19 2 3" xfId="11104"/>
    <cellStyle name="Note 19 2 3 2" xfId="11105"/>
    <cellStyle name="Note 19 2 4" xfId="11106"/>
    <cellStyle name="Note 19 2 4 2" xfId="11107"/>
    <cellStyle name="Note 19 2 5" xfId="11108"/>
    <cellStyle name="Note 19 2 5 2" xfId="11109"/>
    <cellStyle name="Note 19 2 6" xfId="11110"/>
    <cellStyle name="Note 19 2 6 2" xfId="11111"/>
    <cellStyle name="Note 19 2 7" xfId="11112"/>
    <cellStyle name="Note 19 2 7 2" xfId="11113"/>
    <cellStyle name="Note 19 2 8" xfId="11114"/>
    <cellStyle name="Note 19 2 8 2" xfId="11115"/>
    <cellStyle name="Note 19 2 9" xfId="11116"/>
    <cellStyle name="Note 19 2 9 2" xfId="11117"/>
    <cellStyle name="Note 19 3" xfId="11118"/>
    <cellStyle name="Note 19 3 2" xfId="11119"/>
    <cellStyle name="Note 19 4" xfId="11120"/>
    <cellStyle name="Note 19 4 2" xfId="11121"/>
    <cellStyle name="Note 19 5" xfId="11122"/>
    <cellStyle name="Note 19 5 2" xfId="11123"/>
    <cellStyle name="Note 19 6" xfId="11124"/>
    <cellStyle name="Note 19 6 2" xfId="11125"/>
    <cellStyle name="Note 19 7" xfId="11126"/>
    <cellStyle name="Note 19 7 2" xfId="11127"/>
    <cellStyle name="Note 19 8" xfId="11128"/>
    <cellStyle name="Note 19 8 2" xfId="11129"/>
    <cellStyle name="Note 19 9" xfId="11130"/>
    <cellStyle name="Note 19 9 2" xfId="11131"/>
    <cellStyle name="Note 2" xfId="1940"/>
    <cellStyle name="Note 2 10" xfId="11132"/>
    <cellStyle name="Note 2 10 2" xfId="11133"/>
    <cellStyle name="Note 2 11" xfId="11134"/>
    <cellStyle name="Note 2 12" xfId="11135"/>
    <cellStyle name="Note 2 12 2" xfId="11136"/>
    <cellStyle name="Note 2 12 3" xfId="11137"/>
    <cellStyle name="Note 2 12 4" xfId="11138"/>
    <cellStyle name="Note 2 13" xfId="11139"/>
    <cellStyle name="Note 2 14" xfId="11140"/>
    <cellStyle name="Note 2 15" xfId="11141"/>
    <cellStyle name="Note 2 16" xfId="11142"/>
    <cellStyle name="Note 2 2" xfId="1941"/>
    <cellStyle name="Note 2 2 10" xfId="11143"/>
    <cellStyle name="Note 2 2 11" xfId="11144"/>
    <cellStyle name="Note 2 2 12" xfId="11145"/>
    <cellStyle name="Note 2 2 2" xfId="11146"/>
    <cellStyle name="Note 2 2 2 2" xfId="11147"/>
    <cellStyle name="Note 2 2 2 2 2" xfId="11148"/>
    <cellStyle name="Note 2 2 2 2 2 2" xfId="11149"/>
    <cellStyle name="Note 2 2 2 2 2 2 2" xfId="11150"/>
    <cellStyle name="Note 2 2 2 2 2 3" xfId="11151"/>
    <cellStyle name="Note 2 2 2 2 3" xfId="11152"/>
    <cellStyle name="Note 2 2 2 2 3 2" xfId="11153"/>
    <cellStyle name="Note 2 2 2 2 4" xfId="11154"/>
    <cellStyle name="Note 2 2 2 2 5" xfId="11155"/>
    <cellStyle name="Note 2 2 2 3" xfId="11156"/>
    <cellStyle name="Note 2 2 2 3 2" xfId="11157"/>
    <cellStyle name="Note 2 2 2 3 2 2" xfId="11158"/>
    <cellStyle name="Note 2 2 2 3 3" xfId="11159"/>
    <cellStyle name="Note 2 2 2 3 4" xfId="11160"/>
    <cellStyle name="Note 2 2 2 4" xfId="11161"/>
    <cellStyle name="Note 2 2 2 4 2" xfId="11162"/>
    <cellStyle name="Note 2 2 2 5" xfId="11163"/>
    <cellStyle name="Note 2 2 2 6" xfId="11164"/>
    <cellStyle name="Note 2 2 2 7" xfId="11165"/>
    <cellStyle name="Note 2 2 3" xfId="11166"/>
    <cellStyle name="Note 2 2 3 2" xfId="11167"/>
    <cellStyle name="Note 2 2 3 2 2" xfId="11168"/>
    <cellStyle name="Note 2 2 3 2 2 2" xfId="11169"/>
    <cellStyle name="Note 2 2 3 2 3" xfId="11170"/>
    <cellStyle name="Note 2 2 3 2 4" xfId="11171"/>
    <cellStyle name="Note 2 2 3 2 5" xfId="11172"/>
    <cellStyle name="Note 2 2 3 3" xfId="11173"/>
    <cellStyle name="Note 2 2 3 3 2" xfId="11174"/>
    <cellStyle name="Note 2 2 3 4" xfId="11175"/>
    <cellStyle name="Note 2 2 3 5" xfId="11176"/>
    <cellStyle name="Note 2 2 3 6" xfId="11177"/>
    <cellStyle name="Note 2 2 4" xfId="11178"/>
    <cellStyle name="Note 2 2 4 2" xfId="11179"/>
    <cellStyle name="Note 2 2 4 2 2" xfId="11180"/>
    <cellStyle name="Note 2 2 4 2 3" xfId="11181"/>
    <cellStyle name="Note 2 2 4 2 4" xfId="11182"/>
    <cellStyle name="Note 2 2 4 3" xfId="11183"/>
    <cellStyle name="Note 2 2 4 4" xfId="11184"/>
    <cellStyle name="Note 2 2 4 5" xfId="11185"/>
    <cellStyle name="Note 2 2 5" xfId="11186"/>
    <cellStyle name="Note 2 2 5 2" xfId="11187"/>
    <cellStyle name="Note 2 2 5 3" xfId="11188"/>
    <cellStyle name="Note 2 2 6" xfId="11189"/>
    <cellStyle name="Note 2 2 6 2" xfId="11190"/>
    <cellStyle name="Note 2 2 7" xfId="11191"/>
    <cellStyle name="Note 2 2 7 2" xfId="11192"/>
    <cellStyle name="Note 2 2 8" xfId="11193"/>
    <cellStyle name="Note 2 2 8 2" xfId="11194"/>
    <cellStyle name="Note 2 2 9" xfId="11195"/>
    <cellStyle name="Note 2 2 9 2" xfId="11196"/>
    <cellStyle name="Note 2 3" xfId="11197"/>
    <cellStyle name="Note 2 3 2" xfId="11198"/>
    <cellStyle name="Note 2 3 2 2" xfId="11199"/>
    <cellStyle name="Note 2 3 2 2 2" xfId="11200"/>
    <cellStyle name="Note 2 3 2 2 2 2" xfId="11201"/>
    <cellStyle name="Note 2 3 2 2 3" xfId="11202"/>
    <cellStyle name="Note 2 3 2 2 4" xfId="11203"/>
    <cellStyle name="Note 2 3 2 3" xfId="11204"/>
    <cellStyle name="Note 2 3 2 3 2" xfId="11205"/>
    <cellStyle name="Note 2 3 2 4" xfId="11206"/>
    <cellStyle name="Note 2 3 2 5" xfId="11207"/>
    <cellStyle name="Note 2 3 3" xfId="11208"/>
    <cellStyle name="Note 2 3 3 2" xfId="11209"/>
    <cellStyle name="Note 2 3 3 2 2" xfId="11210"/>
    <cellStyle name="Note 2 3 3 3" xfId="11211"/>
    <cellStyle name="Note 2 3 3 4" xfId="11212"/>
    <cellStyle name="Note 2 3 3 5" xfId="11213"/>
    <cellStyle name="Note 2 3 4" xfId="11214"/>
    <cellStyle name="Note 2 3 4 2" xfId="11215"/>
    <cellStyle name="Note 2 3 5" xfId="11216"/>
    <cellStyle name="Note 2 3 6" xfId="11217"/>
    <cellStyle name="Note 2 3 7" xfId="11218"/>
    <cellStyle name="Note 2 4" xfId="11219"/>
    <cellStyle name="Note 2 4 2" xfId="11220"/>
    <cellStyle name="Note 2 4 2 2" xfId="11221"/>
    <cellStyle name="Note 2 4 2 2 2" xfId="11222"/>
    <cellStyle name="Note 2 4 2 2 3" xfId="11223"/>
    <cellStyle name="Note 2 4 2 3" xfId="11224"/>
    <cellStyle name="Note 2 4 2 4" xfId="11225"/>
    <cellStyle name="Note 2 4 2 5" xfId="11226"/>
    <cellStyle name="Note 2 4 3" xfId="11227"/>
    <cellStyle name="Note 2 4 3 2" xfId="11228"/>
    <cellStyle name="Note 2 4 3 3" xfId="11229"/>
    <cellStyle name="Note 2 4 4" xfId="11230"/>
    <cellStyle name="Note 2 4 4 2" xfId="11231"/>
    <cellStyle name="Note 2 4 5" xfId="11232"/>
    <cellStyle name="Note 2 4 6" xfId="11233"/>
    <cellStyle name="Note 2 4 7" xfId="11234"/>
    <cellStyle name="Note 2 5" xfId="11235"/>
    <cellStyle name="Note 2 5 2" xfId="11236"/>
    <cellStyle name="Note 2 5 2 2" xfId="11237"/>
    <cellStyle name="Note 2 5 2 3" xfId="11238"/>
    <cellStyle name="Note 2 5 2 4" xfId="11239"/>
    <cellStyle name="Note 2 5 2 5" xfId="11240"/>
    <cellStyle name="Note 2 5 3" xfId="11241"/>
    <cellStyle name="Note 2 5 4" xfId="11242"/>
    <cellStyle name="Note 2 5 5" xfId="11243"/>
    <cellStyle name="Note 2 6" xfId="11244"/>
    <cellStyle name="Note 2 6 2" xfId="11245"/>
    <cellStyle name="Note 2 6 2 2" xfId="11246"/>
    <cellStyle name="Note 2 6 2 3" xfId="11247"/>
    <cellStyle name="Note 2 6 2 4" xfId="11248"/>
    <cellStyle name="Note 2 6 3" xfId="11249"/>
    <cellStyle name="Note 2 6 4" xfId="11250"/>
    <cellStyle name="Note 2 6 5" xfId="11251"/>
    <cellStyle name="Note 2 7" xfId="11252"/>
    <cellStyle name="Note 2 7 2" xfId="11253"/>
    <cellStyle name="Note 2 7 2 2" xfId="11254"/>
    <cellStyle name="Note 2 7 2 3" xfId="11255"/>
    <cellStyle name="Note 2 7 2 4" xfId="11256"/>
    <cellStyle name="Note 2 7 3" xfId="11257"/>
    <cellStyle name="Note 2 7 4" xfId="11258"/>
    <cellStyle name="Note 2 7 5" xfId="11259"/>
    <cellStyle name="Note 2 8" xfId="11260"/>
    <cellStyle name="Note 2 8 2" xfId="11261"/>
    <cellStyle name="Note 2 9" xfId="11262"/>
    <cellStyle name="Note 2 9 2" xfId="11263"/>
    <cellStyle name="Note 20" xfId="1942"/>
    <cellStyle name="Note 20 10" xfId="11264"/>
    <cellStyle name="Note 20 10 2" xfId="11265"/>
    <cellStyle name="Note 20 11" xfId="11266"/>
    <cellStyle name="Note 20 2" xfId="11267"/>
    <cellStyle name="Note 20 2 10" xfId="11268"/>
    <cellStyle name="Note 20 2 2" xfId="11269"/>
    <cellStyle name="Note 20 2 2 2" xfId="11270"/>
    <cellStyle name="Note 20 2 3" xfId="11271"/>
    <cellStyle name="Note 20 2 3 2" xfId="11272"/>
    <cellStyle name="Note 20 2 4" xfId="11273"/>
    <cellStyle name="Note 20 2 4 2" xfId="11274"/>
    <cellStyle name="Note 20 2 5" xfId="11275"/>
    <cellStyle name="Note 20 2 5 2" xfId="11276"/>
    <cellStyle name="Note 20 2 6" xfId="11277"/>
    <cellStyle name="Note 20 2 6 2" xfId="11278"/>
    <cellStyle name="Note 20 2 7" xfId="11279"/>
    <cellStyle name="Note 20 2 7 2" xfId="11280"/>
    <cellStyle name="Note 20 2 8" xfId="11281"/>
    <cellStyle name="Note 20 2 8 2" xfId="11282"/>
    <cellStyle name="Note 20 2 9" xfId="11283"/>
    <cellStyle name="Note 20 2 9 2" xfId="11284"/>
    <cellStyle name="Note 20 3" xfId="11285"/>
    <cellStyle name="Note 20 3 2" xfId="11286"/>
    <cellStyle name="Note 20 4" xfId="11287"/>
    <cellStyle name="Note 20 4 2" xfId="11288"/>
    <cellStyle name="Note 20 5" xfId="11289"/>
    <cellStyle name="Note 20 5 2" xfId="11290"/>
    <cellStyle name="Note 20 6" xfId="11291"/>
    <cellStyle name="Note 20 6 2" xfId="11292"/>
    <cellStyle name="Note 20 7" xfId="11293"/>
    <cellStyle name="Note 20 7 2" xfId="11294"/>
    <cellStyle name="Note 20 8" xfId="11295"/>
    <cellStyle name="Note 20 8 2" xfId="11296"/>
    <cellStyle name="Note 20 9" xfId="11297"/>
    <cellStyle name="Note 20 9 2" xfId="11298"/>
    <cellStyle name="Note 21" xfId="1943"/>
    <cellStyle name="Note 21 10" xfId="11299"/>
    <cellStyle name="Note 21 10 2" xfId="11300"/>
    <cellStyle name="Note 21 11" xfId="11301"/>
    <cellStyle name="Note 21 2" xfId="11302"/>
    <cellStyle name="Note 21 2 10" xfId="11303"/>
    <cellStyle name="Note 21 2 2" xfId="11304"/>
    <cellStyle name="Note 21 2 2 2" xfId="11305"/>
    <cellStyle name="Note 21 2 3" xfId="11306"/>
    <cellStyle name="Note 21 2 3 2" xfId="11307"/>
    <cellStyle name="Note 21 2 4" xfId="11308"/>
    <cellStyle name="Note 21 2 4 2" xfId="11309"/>
    <cellStyle name="Note 21 2 5" xfId="11310"/>
    <cellStyle name="Note 21 2 5 2" xfId="11311"/>
    <cellStyle name="Note 21 2 6" xfId="11312"/>
    <cellStyle name="Note 21 2 6 2" xfId="11313"/>
    <cellStyle name="Note 21 2 7" xfId="11314"/>
    <cellStyle name="Note 21 2 7 2" xfId="11315"/>
    <cellStyle name="Note 21 2 8" xfId="11316"/>
    <cellStyle name="Note 21 2 8 2" xfId="11317"/>
    <cellStyle name="Note 21 2 9" xfId="11318"/>
    <cellStyle name="Note 21 2 9 2" xfId="11319"/>
    <cellStyle name="Note 21 3" xfId="11320"/>
    <cellStyle name="Note 21 3 2" xfId="11321"/>
    <cellStyle name="Note 21 4" xfId="11322"/>
    <cellStyle name="Note 21 4 2" xfId="11323"/>
    <cellStyle name="Note 21 5" xfId="11324"/>
    <cellStyle name="Note 21 5 2" xfId="11325"/>
    <cellStyle name="Note 21 6" xfId="11326"/>
    <cellStyle name="Note 21 6 2" xfId="11327"/>
    <cellStyle name="Note 21 7" xfId="11328"/>
    <cellStyle name="Note 21 7 2" xfId="11329"/>
    <cellStyle name="Note 21 8" xfId="11330"/>
    <cellStyle name="Note 21 8 2" xfId="11331"/>
    <cellStyle name="Note 21 9" xfId="11332"/>
    <cellStyle name="Note 21 9 2" xfId="11333"/>
    <cellStyle name="Note 22" xfId="1944"/>
    <cellStyle name="Note 22 10" xfId="11334"/>
    <cellStyle name="Note 22 2" xfId="11335"/>
    <cellStyle name="Note 22 2 2" xfId="11336"/>
    <cellStyle name="Note 22 3" xfId="11337"/>
    <cellStyle name="Note 22 3 2" xfId="11338"/>
    <cellStyle name="Note 22 4" xfId="11339"/>
    <cellStyle name="Note 22 4 2" xfId="11340"/>
    <cellStyle name="Note 22 5" xfId="11341"/>
    <cellStyle name="Note 22 5 2" xfId="11342"/>
    <cellStyle name="Note 22 6" xfId="11343"/>
    <cellStyle name="Note 22 6 2" xfId="11344"/>
    <cellStyle name="Note 22 7" xfId="11345"/>
    <cellStyle name="Note 22 7 2" xfId="11346"/>
    <cellStyle name="Note 22 8" xfId="11347"/>
    <cellStyle name="Note 22 8 2" xfId="11348"/>
    <cellStyle name="Note 22 9" xfId="11349"/>
    <cellStyle name="Note 22 9 2" xfId="11350"/>
    <cellStyle name="Note 23" xfId="1945"/>
    <cellStyle name="Note 23 2" xfId="11351"/>
    <cellStyle name="Note 23 2 2" xfId="11352"/>
    <cellStyle name="Note 23 3" xfId="11353"/>
    <cellStyle name="Note 23 4" xfId="11354"/>
    <cellStyle name="Note 24" xfId="1946"/>
    <cellStyle name="Note 25" xfId="1947"/>
    <cellStyle name="Note 26" xfId="1948"/>
    <cellStyle name="Note 27" xfId="1949"/>
    <cellStyle name="Note 28" xfId="1950"/>
    <cellStyle name="Note 29" xfId="1951"/>
    <cellStyle name="Note 3" xfId="1952"/>
    <cellStyle name="Note 3 10" xfId="11355"/>
    <cellStyle name="Note 3 10 2" xfId="11356"/>
    <cellStyle name="Note 3 11" xfId="11357"/>
    <cellStyle name="Note 3 12" xfId="11358"/>
    <cellStyle name="Note 3 2" xfId="11359"/>
    <cellStyle name="Note 3 2 10" xfId="11360"/>
    <cellStyle name="Note 3 2 11" xfId="11361"/>
    <cellStyle name="Note 3 2 12" xfId="11362"/>
    <cellStyle name="Note 3 2 2" xfId="11363"/>
    <cellStyle name="Note 3 2 2 2" xfId="11364"/>
    <cellStyle name="Note 3 2 2 2 2" xfId="11365"/>
    <cellStyle name="Note 3 2 2 2 2 2" xfId="11366"/>
    <cellStyle name="Note 3 2 2 2 2 2 2" xfId="11367"/>
    <cellStyle name="Note 3 2 2 2 2 3" xfId="11368"/>
    <cellStyle name="Note 3 2 2 2 3" xfId="11369"/>
    <cellStyle name="Note 3 2 2 2 3 2" xfId="11370"/>
    <cellStyle name="Note 3 2 2 2 4" xfId="11371"/>
    <cellStyle name="Note 3 2 2 3" xfId="11372"/>
    <cellStyle name="Note 3 2 2 3 2" xfId="11373"/>
    <cellStyle name="Note 3 2 2 3 2 2" xfId="11374"/>
    <cellStyle name="Note 3 2 2 3 3" xfId="11375"/>
    <cellStyle name="Note 3 2 2 4" xfId="11376"/>
    <cellStyle name="Note 3 2 2 4 2" xfId="11377"/>
    <cellStyle name="Note 3 2 2 5" xfId="11378"/>
    <cellStyle name="Note 3 2 2 6" xfId="11379"/>
    <cellStyle name="Note 3 2 3" xfId="11380"/>
    <cellStyle name="Note 3 2 3 2" xfId="11381"/>
    <cellStyle name="Note 3 2 3 2 2" xfId="11382"/>
    <cellStyle name="Note 3 2 3 2 2 2" xfId="11383"/>
    <cellStyle name="Note 3 2 3 2 3" xfId="11384"/>
    <cellStyle name="Note 3 2 3 3" xfId="11385"/>
    <cellStyle name="Note 3 2 3 3 2" xfId="11386"/>
    <cellStyle name="Note 3 2 3 4" xfId="11387"/>
    <cellStyle name="Note 3 2 3 5" xfId="11388"/>
    <cellStyle name="Note 3 2 4" xfId="11389"/>
    <cellStyle name="Note 3 2 4 2" xfId="11390"/>
    <cellStyle name="Note 3 2 4 2 2" xfId="11391"/>
    <cellStyle name="Note 3 2 4 3" xfId="11392"/>
    <cellStyle name="Note 3 2 4 4" xfId="11393"/>
    <cellStyle name="Note 3 2 5" xfId="11394"/>
    <cellStyle name="Note 3 2 5 2" xfId="11395"/>
    <cellStyle name="Note 3 2 5 3" xfId="11396"/>
    <cellStyle name="Note 3 2 6" xfId="11397"/>
    <cellStyle name="Note 3 2 6 2" xfId="11398"/>
    <cellStyle name="Note 3 2 7" xfId="11399"/>
    <cellStyle name="Note 3 2 7 2" xfId="11400"/>
    <cellStyle name="Note 3 2 8" xfId="11401"/>
    <cellStyle name="Note 3 2 8 2" xfId="11402"/>
    <cellStyle name="Note 3 2 9" xfId="11403"/>
    <cellStyle name="Note 3 2 9 2" xfId="11404"/>
    <cellStyle name="Note 3 3" xfId="11405"/>
    <cellStyle name="Note 3 3 2" xfId="11406"/>
    <cellStyle name="Note 3 3 2 2" xfId="11407"/>
    <cellStyle name="Note 3 3 2 2 2" xfId="11408"/>
    <cellStyle name="Note 3 3 2 2 2 2" xfId="11409"/>
    <cellStyle name="Note 3 3 2 2 3" xfId="11410"/>
    <cellStyle name="Note 3 3 2 3" xfId="11411"/>
    <cellStyle name="Note 3 3 2 3 2" xfId="11412"/>
    <cellStyle name="Note 3 3 2 4" xfId="11413"/>
    <cellStyle name="Note 3 3 3" xfId="11414"/>
    <cellStyle name="Note 3 3 3 2" xfId="11415"/>
    <cellStyle name="Note 3 3 3 2 2" xfId="11416"/>
    <cellStyle name="Note 3 3 3 3" xfId="11417"/>
    <cellStyle name="Note 3 3 4" xfId="11418"/>
    <cellStyle name="Note 3 3 4 2" xfId="11419"/>
    <cellStyle name="Note 3 3 5" xfId="11420"/>
    <cellStyle name="Note 3 3 6" xfId="11421"/>
    <cellStyle name="Note 3 3 7" xfId="11422"/>
    <cellStyle name="Note 3 4" xfId="11423"/>
    <cellStyle name="Note 3 4 2" xfId="11424"/>
    <cellStyle name="Note 3 4 2 2" xfId="11425"/>
    <cellStyle name="Note 3 4 2 2 2" xfId="11426"/>
    <cellStyle name="Note 3 4 2 3" xfId="11427"/>
    <cellStyle name="Note 3 4 2 4" xfId="11428"/>
    <cellStyle name="Note 3 4 3" xfId="11429"/>
    <cellStyle name="Note 3 4 3 2" xfId="11430"/>
    <cellStyle name="Note 3 4 4" xfId="11431"/>
    <cellStyle name="Note 3 4 5" xfId="11432"/>
    <cellStyle name="Note 3 5" xfId="11433"/>
    <cellStyle name="Note 3 5 2" xfId="11434"/>
    <cellStyle name="Note 3 5 2 2" xfId="11435"/>
    <cellStyle name="Note 3 5 3" xfId="11436"/>
    <cellStyle name="Note 3 5 4" xfId="11437"/>
    <cellStyle name="Note 3 6" xfId="11438"/>
    <cellStyle name="Note 3 6 2" xfId="11439"/>
    <cellStyle name="Note 3 6 3" xfId="11440"/>
    <cellStyle name="Note 3 7" xfId="11441"/>
    <cellStyle name="Note 3 7 2" xfId="11442"/>
    <cellStyle name="Note 3 8" xfId="11443"/>
    <cellStyle name="Note 3 8 2" xfId="11444"/>
    <cellStyle name="Note 3 9" xfId="11445"/>
    <cellStyle name="Note 3 9 2" xfId="11446"/>
    <cellStyle name="Note 30" xfId="1953"/>
    <cellStyle name="Note 31" xfId="1954"/>
    <cellStyle name="Note 32" xfId="1955"/>
    <cellStyle name="Note 33" xfId="1956"/>
    <cellStyle name="Note 34" xfId="1957"/>
    <cellStyle name="Note 4" xfId="1958"/>
    <cellStyle name="Note 4 10" xfId="11447"/>
    <cellStyle name="Note 4 10 2" xfId="11448"/>
    <cellStyle name="Note 4 11" xfId="11449"/>
    <cellStyle name="Note 4 12" xfId="11450"/>
    <cellStyle name="Note 4 13" xfId="11451"/>
    <cellStyle name="Note 4 2" xfId="11452"/>
    <cellStyle name="Note 4 2 10" xfId="11453"/>
    <cellStyle name="Note 4 2 11" xfId="11454"/>
    <cellStyle name="Note 4 2 12" xfId="11455"/>
    <cellStyle name="Note 4 2 2" xfId="11456"/>
    <cellStyle name="Note 4 2 2 2" xfId="11457"/>
    <cellStyle name="Note 4 2 2 2 2" xfId="11458"/>
    <cellStyle name="Note 4 2 2 2 2 2" xfId="11459"/>
    <cellStyle name="Note 4 2 2 2 2 2 2" xfId="11460"/>
    <cellStyle name="Note 4 2 2 2 2 3" xfId="11461"/>
    <cellStyle name="Note 4 2 2 2 3" xfId="11462"/>
    <cellStyle name="Note 4 2 2 2 3 2" xfId="11463"/>
    <cellStyle name="Note 4 2 2 2 4" xfId="11464"/>
    <cellStyle name="Note 4 2 2 3" xfId="11465"/>
    <cellStyle name="Note 4 2 2 3 2" xfId="11466"/>
    <cellStyle name="Note 4 2 2 3 2 2" xfId="11467"/>
    <cellStyle name="Note 4 2 2 3 3" xfId="11468"/>
    <cellStyle name="Note 4 2 2 4" xfId="11469"/>
    <cellStyle name="Note 4 2 2 4 2" xfId="11470"/>
    <cellStyle name="Note 4 2 2 5" xfId="11471"/>
    <cellStyle name="Note 4 2 2 6" xfId="11472"/>
    <cellStyle name="Note 4 2 3" xfId="11473"/>
    <cellStyle name="Note 4 2 3 2" xfId="11474"/>
    <cellStyle name="Note 4 2 3 2 2" xfId="11475"/>
    <cellStyle name="Note 4 2 3 2 2 2" xfId="11476"/>
    <cellStyle name="Note 4 2 3 2 3" xfId="11477"/>
    <cellStyle name="Note 4 2 3 3" xfId="11478"/>
    <cellStyle name="Note 4 2 3 3 2" xfId="11479"/>
    <cellStyle name="Note 4 2 3 4" xfId="11480"/>
    <cellStyle name="Note 4 2 3 5" xfId="11481"/>
    <cellStyle name="Note 4 2 4" xfId="11482"/>
    <cellStyle name="Note 4 2 4 2" xfId="11483"/>
    <cellStyle name="Note 4 2 4 2 2" xfId="11484"/>
    <cellStyle name="Note 4 2 4 3" xfId="11485"/>
    <cellStyle name="Note 4 2 4 4" xfId="11486"/>
    <cellStyle name="Note 4 2 5" xfId="11487"/>
    <cellStyle name="Note 4 2 5 2" xfId="11488"/>
    <cellStyle name="Note 4 2 5 3" xfId="11489"/>
    <cellStyle name="Note 4 2 6" xfId="11490"/>
    <cellStyle name="Note 4 2 6 2" xfId="11491"/>
    <cellStyle name="Note 4 2 7" xfId="11492"/>
    <cellStyle name="Note 4 2 7 2" xfId="11493"/>
    <cellStyle name="Note 4 2 8" xfId="11494"/>
    <cellStyle name="Note 4 2 8 2" xfId="11495"/>
    <cellStyle name="Note 4 2 9" xfId="11496"/>
    <cellStyle name="Note 4 2 9 2" xfId="11497"/>
    <cellStyle name="Note 4 3" xfId="11498"/>
    <cellStyle name="Note 4 3 2" xfId="11499"/>
    <cellStyle name="Note 4 3 2 2" xfId="11500"/>
    <cellStyle name="Note 4 3 2 2 2" xfId="11501"/>
    <cellStyle name="Note 4 3 2 2 2 2" xfId="11502"/>
    <cellStyle name="Note 4 3 2 2 3" xfId="11503"/>
    <cellStyle name="Note 4 3 2 3" xfId="11504"/>
    <cellStyle name="Note 4 3 2 3 2" xfId="11505"/>
    <cellStyle name="Note 4 3 2 4" xfId="11506"/>
    <cellStyle name="Note 4 3 3" xfId="11507"/>
    <cellStyle name="Note 4 3 3 2" xfId="11508"/>
    <cellStyle name="Note 4 3 3 2 2" xfId="11509"/>
    <cellStyle name="Note 4 3 3 3" xfId="11510"/>
    <cellStyle name="Note 4 3 4" xfId="11511"/>
    <cellStyle name="Note 4 3 4 2" xfId="11512"/>
    <cellStyle name="Note 4 3 5" xfId="11513"/>
    <cellStyle name="Note 4 3 6" xfId="11514"/>
    <cellStyle name="Note 4 3 7" xfId="11515"/>
    <cellStyle name="Note 4 4" xfId="11516"/>
    <cellStyle name="Note 4 4 2" xfId="11517"/>
    <cellStyle name="Note 4 4 2 2" xfId="11518"/>
    <cellStyle name="Note 4 4 2 2 2" xfId="11519"/>
    <cellStyle name="Note 4 4 2 3" xfId="11520"/>
    <cellStyle name="Note 4 4 3" xfId="11521"/>
    <cellStyle name="Note 4 4 3 2" xfId="11522"/>
    <cellStyle name="Note 4 4 4" xfId="11523"/>
    <cellStyle name="Note 4 4 5" xfId="11524"/>
    <cellStyle name="Note 4 5" xfId="11525"/>
    <cellStyle name="Note 4 5 2" xfId="11526"/>
    <cellStyle name="Note 4 5 2 2" xfId="11527"/>
    <cellStyle name="Note 4 5 3" xfId="11528"/>
    <cellStyle name="Note 4 5 4" xfId="11529"/>
    <cellStyle name="Note 4 6" xfId="11530"/>
    <cellStyle name="Note 4 6 2" xfId="11531"/>
    <cellStyle name="Note 4 6 3" xfId="11532"/>
    <cellStyle name="Note 4 7" xfId="11533"/>
    <cellStyle name="Note 4 7 2" xfId="11534"/>
    <cellStyle name="Note 4 8" xfId="11535"/>
    <cellStyle name="Note 4 8 2" xfId="11536"/>
    <cellStyle name="Note 4 9" xfId="11537"/>
    <cellStyle name="Note 4 9 2" xfId="11538"/>
    <cellStyle name="Note 5" xfId="1959"/>
    <cellStyle name="Note 5 10" xfId="11539"/>
    <cellStyle name="Note 5 10 2" xfId="11540"/>
    <cellStyle name="Note 5 11" xfId="11541"/>
    <cellStyle name="Note 5 12" xfId="11542"/>
    <cellStyle name="Note 5 13" xfId="11543"/>
    <cellStyle name="Note 5 2" xfId="11544"/>
    <cellStyle name="Note 5 2 10" xfId="11545"/>
    <cellStyle name="Note 5 2 11" xfId="11546"/>
    <cellStyle name="Note 5 2 12" xfId="11547"/>
    <cellStyle name="Note 5 2 2" xfId="11548"/>
    <cellStyle name="Note 5 2 2 2" xfId="11549"/>
    <cellStyle name="Note 5 2 2 3" xfId="11550"/>
    <cellStyle name="Note 5 2 3" xfId="11551"/>
    <cellStyle name="Note 5 2 3 2" xfId="11552"/>
    <cellStyle name="Note 5 2 4" xfId="11553"/>
    <cellStyle name="Note 5 2 4 2" xfId="11554"/>
    <cellStyle name="Note 5 2 5" xfId="11555"/>
    <cellStyle name="Note 5 2 5 2" xfId="11556"/>
    <cellStyle name="Note 5 2 6" xfId="11557"/>
    <cellStyle name="Note 5 2 6 2" xfId="11558"/>
    <cellStyle name="Note 5 2 7" xfId="11559"/>
    <cellStyle name="Note 5 2 7 2" xfId="11560"/>
    <cellStyle name="Note 5 2 8" xfId="11561"/>
    <cellStyle name="Note 5 2 8 2" xfId="11562"/>
    <cellStyle name="Note 5 2 9" xfId="11563"/>
    <cellStyle name="Note 5 2 9 2" xfId="11564"/>
    <cellStyle name="Note 5 3" xfId="11565"/>
    <cellStyle name="Note 5 3 2" xfId="11566"/>
    <cellStyle name="Note 5 3 3" xfId="11567"/>
    <cellStyle name="Note 5 3 4" xfId="11568"/>
    <cellStyle name="Note 5 4" xfId="11569"/>
    <cellStyle name="Note 5 4 2" xfId="11570"/>
    <cellStyle name="Note 5 5" xfId="11571"/>
    <cellStyle name="Note 5 5 2" xfId="11572"/>
    <cellStyle name="Note 5 6" xfId="11573"/>
    <cellStyle name="Note 5 6 2" xfId="11574"/>
    <cellStyle name="Note 5 7" xfId="11575"/>
    <cellStyle name="Note 5 7 2" xfId="11576"/>
    <cellStyle name="Note 5 8" xfId="11577"/>
    <cellStyle name="Note 5 8 2" xfId="11578"/>
    <cellStyle name="Note 5 9" xfId="11579"/>
    <cellStyle name="Note 5 9 2" xfId="11580"/>
    <cellStyle name="Note 6" xfId="1960"/>
    <cellStyle name="Note 6 10" xfId="11581"/>
    <cellStyle name="Note 6 10 2" xfId="11582"/>
    <cellStyle name="Note 6 11" xfId="11583"/>
    <cellStyle name="Note 6 12" xfId="11584"/>
    <cellStyle name="Note 6 13" xfId="11585"/>
    <cellStyle name="Note 6 2" xfId="11586"/>
    <cellStyle name="Note 6 2 10" xfId="11587"/>
    <cellStyle name="Note 6 2 11" xfId="11588"/>
    <cellStyle name="Note 6 2 12" xfId="11589"/>
    <cellStyle name="Note 6 2 2" xfId="11590"/>
    <cellStyle name="Note 6 2 2 2" xfId="11591"/>
    <cellStyle name="Note 6 2 2 3" xfId="11592"/>
    <cellStyle name="Note 6 2 3" xfId="11593"/>
    <cellStyle name="Note 6 2 3 2" xfId="11594"/>
    <cellStyle name="Note 6 2 4" xfId="11595"/>
    <cellStyle name="Note 6 2 4 2" xfId="11596"/>
    <cellStyle name="Note 6 2 5" xfId="11597"/>
    <cellStyle name="Note 6 2 5 2" xfId="11598"/>
    <cellStyle name="Note 6 2 6" xfId="11599"/>
    <cellStyle name="Note 6 2 6 2" xfId="11600"/>
    <cellStyle name="Note 6 2 7" xfId="11601"/>
    <cellStyle name="Note 6 2 7 2" xfId="11602"/>
    <cellStyle name="Note 6 2 8" xfId="11603"/>
    <cellStyle name="Note 6 2 8 2" xfId="11604"/>
    <cellStyle name="Note 6 2 9" xfId="11605"/>
    <cellStyle name="Note 6 2 9 2" xfId="11606"/>
    <cellStyle name="Note 6 3" xfId="11607"/>
    <cellStyle name="Note 6 3 2" xfId="11608"/>
    <cellStyle name="Note 6 3 3" xfId="11609"/>
    <cellStyle name="Note 6 3 4" xfId="11610"/>
    <cellStyle name="Note 6 4" xfId="11611"/>
    <cellStyle name="Note 6 4 2" xfId="11612"/>
    <cellStyle name="Note 6 5" xfId="11613"/>
    <cellStyle name="Note 6 5 2" xfId="11614"/>
    <cellStyle name="Note 6 6" xfId="11615"/>
    <cellStyle name="Note 6 6 2" xfId="11616"/>
    <cellStyle name="Note 6 7" xfId="11617"/>
    <cellStyle name="Note 6 7 2" xfId="11618"/>
    <cellStyle name="Note 6 8" xfId="11619"/>
    <cellStyle name="Note 6 8 2" xfId="11620"/>
    <cellStyle name="Note 6 9" xfId="11621"/>
    <cellStyle name="Note 6 9 2" xfId="11622"/>
    <cellStyle name="Note 7" xfId="1961"/>
    <cellStyle name="Note 7 10" xfId="11623"/>
    <cellStyle name="Note 7 10 2" xfId="11624"/>
    <cellStyle name="Note 7 11" xfId="11625"/>
    <cellStyle name="Note 7 12" xfId="11626"/>
    <cellStyle name="Note 7 13" xfId="11627"/>
    <cellStyle name="Note 7 2" xfId="11628"/>
    <cellStyle name="Note 7 2 10" xfId="11629"/>
    <cellStyle name="Note 7 2 11" xfId="11630"/>
    <cellStyle name="Note 7 2 12" xfId="11631"/>
    <cellStyle name="Note 7 2 2" xfId="11632"/>
    <cellStyle name="Note 7 2 2 2" xfId="11633"/>
    <cellStyle name="Note 7 2 3" xfId="11634"/>
    <cellStyle name="Note 7 2 3 2" xfId="11635"/>
    <cellStyle name="Note 7 2 4" xfId="11636"/>
    <cellStyle name="Note 7 2 4 2" xfId="11637"/>
    <cellStyle name="Note 7 2 5" xfId="11638"/>
    <cellStyle name="Note 7 2 5 2" xfId="11639"/>
    <cellStyle name="Note 7 2 6" xfId="11640"/>
    <cellStyle name="Note 7 2 6 2" xfId="11641"/>
    <cellStyle name="Note 7 2 7" xfId="11642"/>
    <cellStyle name="Note 7 2 7 2" xfId="11643"/>
    <cellStyle name="Note 7 2 8" xfId="11644"/>
    <cellStyle name="Note 7 2 8 2" xfId="11645"/>
    <cellStyle name="Note 7 2 9" xfId="11646"/>
    <cellStyle name="Note 7 2 9 2" xfId="11647"/>
    <cellStyle name="Note 7 3" xfId="11648"/>
    <cellStyle name="Note 7 3 2" xfId="11649"/>
    <cellStyle name="Note 7 3 3" xfId="11650"/>
    <cellStyle name="Note 7 4" xfId="11651"/>
    <cellStyle name="Note 7 4 2" xfId="11652"/>
    <cellStyle name="Note 7 5" xfId="11653"/>
    <cellStyle name="Note 7 5 2" xfId="11654"/>
    <cellStyle name="Note 7 6" xfId="11655"/>
    <cellStyle name="Note 7 6 2" xfId="11656"/>
    <cellStyle name="Note 7 7" xfId="11657"/>
    <cellStyle name="Note 7 7 2" xfId="11658"/>
    <cellStyle name="Note 7 8" xfId="11659"/>
    <cellStyle name="Note 7 8 2" xfId="11660"/>
    <cellStyle name="Note 7 9" xfId="11661"/>
    <cellStyle name="Note 7 9 2" xfId="11662"/>
    <cellStyle name="Note 8" xfId="1962"/>
    <cellStyle name="Note 8 10" xfId="11663"/>
    <cellStyle name="Note 8 10 2" xfId="11664"/>
    <cellStyle name="Note 8 11" xfId="11665"/>
    <cellStyle name="Note 8 12" xfId="11666"/>
    <cellStyle name="Note 8 13" xfId="11667"/>
    <cellStyle name="Note 8 2" xfId="11668"/>
    <cellStyle name="Note 8 2 10" xfId="11669"/>
    <cellStyle name="Note 8 2 11" xfId="11670"/>
    <cellStyle name="Note 8 2 12" xfId="11671"/>
    <cellStyle name="Note 8 2 2" xfId="11672"/>
    <cellStyle name="Note 8 2 2 2" xfId="11673"/>
    <cellStyle name="Note 8 2 3" xfId="11674"/>
    <cellStyle name="Note 8 2 3 2" xfId="11675"/>
    <cellStyle name="Note 8 2 4" xfId="11676"/>
    <cellStyle name="Note 8 2 4 2" xfId="11677"/>
    <cellStyle name="Note 8 2 5" xfId="11678"/>
    <cellStyle name="Note 8 2 5 2" xfId="11679"/>
    <cellStyle name="Note 8 2 6" xfId="11680"/>
    <cellStyle name="Note 8 2 6 2" xfId="11681"/>
    <cellStyle name="Note 8 2 7" xfId="11682"/>
    <cellStyle name="Note 8 2 7 2" xfId="11683"/>
    <cellStyle name="Note 8 2 8" xfId="11684"/>
    <cellStyle name="Note 8 2 8 2" xfId="11685"/>
    <cellStyle name="Note 8 2 9" xfId="11686"/>
    <cellStyle name="Note 8 2 9 2" xfId="11687"/>
    <cellStyle name="Note 8 3" xfId="11688"/>
    <cellStyle name="Note 8 3 2" xfId="11689"/>
    <cellStyle name="Note 8 3 3" xfId="11690"/>
    <cellStyle name="Note 8 4" xfId="11691"/>
    <cellStyle name="Note 8 4 2" xfId="11692"/>
    <cellStyle name="Note 8 5" xfId="11693"/>
    <cellStyle name="Note 8 5 2" xfId="11694"/>
    <cellStyle name="Note 8 6" xfId="11695"/>
    <cellStyle name="Note 8 6 2" xfId="11696"/>
    <cellStyle name="Note 8 7" xfId="11697"/>
    <cellStyle name="Note 8 7 2" xfId="11698"/>
    <cellStyle name="Note 8 8" xfId="11699"/>
    <cellStyle name="Note 8 8 2" xfId="11700"/>
    <cellStyle name="Note 8 9" xfId="11701"/>
    <cellStyle name="Note 8 9 2" xfId="11702"/>
    <cellStyle name="Note 9" xfId="1963"/>
    <cellStyle name="Note 9 10" xfId="11703"/>
    <cellStyle name="Note 9 10 2" xfId="11704"/>
    <cellStyle name="Note 9 11" xfId="11705"/>
    <cellStyle name="Note 9 12" xfId="11706"/>
    <cellStyle name="Note 9 13" xfId="11707"/>
    <cellStyle name="Note 9 2" xfId="1964"/>
    <cellStyle name="Note 9 2 10" xfId="11708"/>
    <cellStyle name="Note 9 2 11" xfId="11709"/>
    <cellStyle name="Note 9 2 2" xfId="11710"/>
    <cellStyle name="Note 9 2 2 2" xfId="11711"/>
    <cellStyle name="Note 9 2 3" xfId="11712"/>
    <cellStyle name="Note 9 2 3 2" xfId="11713"/>
    <cellStyle name="Note 9 2 4" xfId="11714"/>
    <cellStyle name="Note 9 2 4 2" xfId="11715"/>
    <cellStyle name="Note 9 2 5" xfId="11716"/>
    <cellStyle name="Note 9 2 5 2" xfId="11717"/>
    <cellStyle name="Note 9 2 6" xfId="11718"/>
    <cellStyle name="Note 9 2 6 2" xfId="11719"/>
    <cellStyle name="Note 9 2 7" xfId="11720"/>
    <cellStyle name="Note 9 2 7 2" xfId="11721"/>
    <cellStyle name="Note 9 2 8" xfId="11722"/>
    <cellStyle name="Note 9 2 8 2" xfId="11723"/>
    <cellStyle name="Note 9 2 9" xfId="11724"/>
    <cellStyle name="Note 9 2 9 2" xfId="11725"/>
    <cellStyle name="Note 9 3" xfId="1965"/>
    <cellStyle name="Note 9 3 2" xfId="11726"/>
    <cellStyle name="Note 9 4" xfId="1966"/>
    <cellStyle name="Note 9 4 2" xfId="11727"/>
    <cellStyle name="Note 9 5" xfId="1967"/>
    <cellStyle name="Note 9 5 2" xfId="11728"/>
    <cellStyle name="Note 9 6" xfId="11729"/>
    <cellStyle name="Note 9 6 2" xfId="11730"/>
    <cellStyle name="Note 9 7" xfId="11731"/>
    <cellStyle name="Note 9 7 2" xfId="11732"/>
    <cellStyle name="Note 9 8" xfId="11733"/>
    <cellStyle name="Note 9 8 2" xfId="11734"/>
    <cellStyle name="Note 9 9" xfId="11735"/>
    <cellStyle name="Note 9 9 2" xfId="11736"/>
    <cellStyle name="Output 10" xfId="1968"/>
    <cellStyle name="Output 11" xfId="1969"/>
    <cellStyle name="Output 12" xfId="1970"/>
    <cellStyle name="Output 13" xfId="1971"/>
    <cellStyle name="Output 14" xfId="1972"/>
    <cellStyle name="Output 15" xfId="1973"/>
    <cellStyle name="Output 16" xfId="1974"/>
    <cellStyle name="Output 17" xfId="1975"/>
    <cellStyle name="Output 17 2" xfId="11737"/>
    <cellStyle name="Output 18" xfId="1976"/>
    <cellStyle name="Output 19" xfId="1977"/>
    <cellStyle name="Output 2" xfId="1978"/>
    <cellStyle name="Output 2 2" xfId="1979"/>
    <cellStyle name="Output 2 2 2" xfId="1980"/>
    <cellStyle name="Output 2 2 2 2" xfId="1981"/>
    <cellStyle name="Output 2 2 2 3" xfId="1982"/>
    <cellStyle name="Output 2 2 2 4" xfId="1983"/>
    <cellStyle name="Output 2 2 2 5" xfId="1984"/>
    <cellStyle name="Output 2 2 3" xfId="1985"/>
    <cellStyle name="Output 2 2 4" xfId="1986"/>
    <cellStyle name="Output 2 2 5" xfId="1987"/>
    <cellStyle name="Output 2 3" xfId="1988"/>
    <cellStyle name="Output 2 3 2" xfId="11738"/>
    <cellStyle name="Output 2 4" xfId="1989"/>
    <cellStyle name="Output 2 4 2" xfId="11739"/>
    <cellStyle name="Output 2 5" xfId="1990"/>
    <cellStyle name="Output 2 5 2" xfId="11740"/>
    <cellStyle name="Output 2 6" xfId="1991"/>
    <cellStyle name="Output 2 6 2" xfId="11741"/>
    <cellStyle name="Output 2 7" xfId="1992"/>
    <cellStyle name="Output 2 8" xfId="1993"/>
    <cellStyle name="Output 2 9" xfId="1994"/>
    <cellStyle name="Output 20" xfId="1995"/>
    <cellStyle name="Output 21" xfId="1996"/>
    <cellStyle name="Output 22" xfId="1997"/>
    <cellStyle name="Output 3" xfId="1998"/>
    <cellStyle name="Output 3 2" xfId="11742"/>
    <cellStyle name="Output 3 3" xfId="11743"/>
    <cellStyle name="Output 4" xfId="1999"/>
    <cellStyle name="Output 5" xfId="2000"/>
    <cellStyle name="Output 6" xfId="2001"/>
    <cellStyle name="Output 7" xfId="2002"/>
    <cellStyle name="Output 8" xfId="2003"/>
    <cellStyle name="Output 9" xfId="2004"/>
    <cellStyle name="Output Amounts" xfId="25"/>
    <cellStyle name="OUTPUT AMOUNTS 10" xfId="11744"/>
    <cellStyle name="Output Amounts 11" xfId="11745"/>
    <cellStyle name="Output Amounts 2" xfId="11746"/>
    <cellStyle name="Output Amounts 2 10" xfId="11747"/>
    <cellStyle name="OUTPUT AMOUNTS 2 11" xfId="11748"/>
    <cellStyle name="OUTPUT AMOUNTS 2 2" xfId="11749"/>
    <cellStyle name="OUTPUT AMOUNTS 2 3" xfId="11750"/>
    <cellStyle name="Output Amounts 2 3 2" xfId="11751"/>
    <cellStyle name="Output Amounts 2 4" xfId="11752"/>
    <cellStyle name="Output Amounts 2 5" xfId="11753"/>
    <cellStyle name="Output Amounts 2 6" xfId="11754"/>
    <cellStyle name="Output Amounts 2 7" xfId="11755"/>
    <cellStyle name="Output Amounts 2 8" xfId="11756"/>
    <cellStyle name="Output Amounts 2 9" xfId="11757"/>
    <cellStyle name="Output Amounts 3" xfId="11758"/>
    <cellStyle name="OUTPUT AMOUNTS 3 2" xfId="11759"/>
    <cellStyle name="Output Amounts 3 3" xfId="11760"/>
    <cellStyle name="Output Amounts 3 4" xfId="11761"/>
    <cellStyle name="Output Amounts 3 5" xfId="11762"/>
    <cellStyle name="Output Amounts 3 6" xfId="11763"/>
    <cellStyle name="Output Amounts 3 7" xfId="11764"/>
    <cellStyle name="Output Amounts 3 8" xfId="11765"/>
    <cellStyle name="Output Amounts 3 9" xfId="11766"/>
    <cellStyle name="Output Amounts 4" xfId="11767"/>
    <cellStyle name="OUTPUT AMOUNTS 5" xfId="11768"/>
    <cellStyle name="OUTPUT AMOUNTS 6" xfId="11769"/>
    <cellStyle name="OUTPUT AMOUNTS 7" xfId="11770"/>
    <cellStyle name="OUTPUT AMOUNTS 8" xfId="11771"/>
    <cellStyle name="OUTPUT AMOUNTS 9" xfId="11772"/>
    <cellStyle name="Output Amounts_d1" xfId="11773"/>
    <cellStyle name="Output Column Headings" xfId="26"/>
    <cellStyle name="OUTPUT COLUMN HEADINGS 10" xfId="11774"/>
    <cellStyle name="OUTPUT COLUMN HEADINGS 10 2" xfId="11775"/>
    <cellStyle name="OUTPUT COLUMN HEADINGS 10 3" xfId="11776"/>
    <cellStyle name="Output Column Headings 11" xfId="11777"/>
    <cellStyle name="Output Column Headings 12" xfId="2005"/>
    <cellStyle name="Output Column Headings 2" xfId="2006"/>
    <cellStyle name="Output Column Headings 2 2" xfId="11778"/>
    <cellStyle name="OUTPUT COLUMN HEADINGS 2 2 2" xfId="11779"/>
    <cellStyle name="Output Column Headings 2 2 3" xfId="11780"/>
    <cellStyle name="Output Column Headings 2 2 4" xfId="11781"/>
    <cellStyle name="Output Column Headings 2 2 5" xfId="11782"/>
    <cellStyle name="Output Column Headings 2 2 6" xfId="11783"/>
    <cellStyle name="Output Column Headings 2 2 7" xfId="11784"/>
    <cellStyle name="OUTPUT COLUMN HEADINGS 2 3" xfId="11785"/>
    <cellStyle name="OUTPUT COLUMN HEADINGS 2 3 2" xfId="11786"/>
    <cellStyle name="Output Column Headings 2 4" xfId="11787"/>
    <cellStyle name="Output Column Headings 2 5" xfId="11788"/>
    <cellStyle name="Output Column Headings 2 6" xfId="11789"/>
    <cellStyle name="Output Column Headings 3" xfId="2007"/>
    <cellStyle name="Output Column Headings 4" xfId="2008"/>
    <cellStyle name="Output Column Headings 4 2" xfId="11790"/>
    <cellStyle name="Output Column Headings 5" xfId="2009"/>
    <cellStyle name="Output Column Headings 6" xfId="2010"/>
    <cellStyle name="Output Column Headings 7" xfId="2011"/>
    <cellStyle name="Output Column Headings 8" xfId="11791"/>
    <cellStyle name="Output Column Headings 9" xfId="11792"/>
    <cellStyle name="Output Column Headings_d1" xfId="11793"/>
    <cellStyle name="Output Line Items" xfId="27"/>
    <cellStyle name="OUTPUT LINE ITEMS 10" xfId="11794"/>
    <cellStyle name="OUTPUT LINE ITEMS 10 2" xfId="11795"/>
    <cellStyle name="OUTPUT LINE ITEMS 10 3" xfId="11796"/>
    <cellStyle name="Output Line Items 11" xfId="11797"/>
    <cellStyle name="Output Line Items 12" xfId="2012"/>
    <cellStyle name="Output Line Items 2" xfId="2013"/>
    <cellStyle name="Output Line Items 2 2" xfId="11798"/>
    <cellStyle name="Output Line Items 2 2 2" xfId="11799"/>
    <cellStyle name="Output Line Items 2 2 3" xfId="11800"/>
    <cellStyle name="Output Line Items 2 3" xfId="11801"/>
    <cellStyle name="OUTPUT LINE ITEMS 2 3 2" xfId="11802"/>
    <cellStyle name="Output Line Items 2 3 3" xfId="11803"/>
    <cellStyle name="Output Line Items 2 3 4" xfId="11804"/>
    <cellStyle name="Output Line Items 2 3 5" xfId="11805"/>
    <cellStyle name="Output Line Items 2 3 6" xfId="11806"/>
    <cellStyle name="Output Line Items 2 3 7" xfId="11807"/>
    <cellStyle name="OUTPUT LINE ITEMS 2 4" xfId="11808"/>
    <cellStyle name="Output Line Items 2 5" xfId="11809"/>
    <cellStyle name="Output Line Items 2 6" xfId="11810"/>
    <cellStyle name="Output Line Items 2 7" xfId="11811"/>
    <cellStyle name="Output Line Items 3" xfId="2014"/>
    <cellStyle name="Output Line Items 4" xfId="2015"/>
    <cellStyle name="Output Line Items 4 2" xfId="11812"/>
    <cellStyle name="Output Line Items 5" xfId="2016"/>
    <cellStyle name="Output Line Items 6" xfId="2017"/>
    <cellStyle name="Output Line Items 7" xfId="2018"/>
    <cellStyle name="Output Line Items 8" xfId="11813"/>
    <cellStyle name="Output Line Items 9" xfId="11814"/>
    <cellStyle name="Output Line Items_d1" xfId="11815"/>
    <cellStyle name="Output Report Heading" xfId="28"/>
    <cellStyle name="OUTPUT REPORT HEADING 10" xfId="11816"/>
    <cellStyle name="OUTPUT REPORT HEADING 10 2" xfId="11817"/>
    <cellStyle name="OUTPUT REPORT HEADING 10 3" xfId="11818"/>
    <cellStyle name="Output Report Heading 11" xfId="11819"/>
    <cellStyle name="Output Report Heading 12" xfId="2019"/>
    <cellStyle name="Output Report Heading 2" xfId="2020"/>
    <cellStyle name="Output Report Heading 2 2" xfId="11820"/>
    <cellStyle name="OUTPUT REPORT HEADING 2 2 2" xfId="11821"/>
    <cellStyle name="Output Report Heading 2 2 3" xfId="11822"/>
    <cellStyle name="Output Report Heading 2 2 4" xfId="11823"/>
    <cellStyle name="Output Report Heading 2 2 5" xfId="11824"/>
    <cellStyle name="Output Report Heading 2 2 6" xfId="11825"/>
    <cellStyle name="Output Report Heading 2 2 7" xfId="11826"/>
    <cellStyle name="OUTPUT REPORT HEADING 2 3" xfId="11827"/>
    <cellStyle name="OUTPUT REPORT HEADING 2 3 2" xfId="11828"/>
    <cellStyle name="Output Report Heading 2 4" xfId="11829"/>
    <cellStyle name="Output Report Heading 2 5" xfId="11830"/>
    <cellStyle name="Output Report Heading 2 6" xfId="11831"/>
    <cellStyle name="Output Report Heading 3" xfId="2021"/>
    <cellStyle name="Output Report Heading 4" xfId="2022"/>
    <cellStyle name="Output Report Heading 4 2" xfId="11832"/>
    <cellStyle name="Output Report Heading 5" xfId="2023"/>
    <cellStyle name="Output Report Heading 6" xfId="2024"/>
    <cellStyle name="Output Report Heading 7" xfId="2025"/>
    <cellStyle name="Output Report Heading 8" xfId="11833"/>
    <cellStyle name="Output Report Heading 9" xfId="11834"/>
    <cellStyle name="Output Report Heading_d1" xfId="11835"/>
    <cellStyle name="Output Report Title" xfId="29"/>
    <cellStyle name="OUTPUT REPORT TITLE 10" xfId="11836"/>
    <cellStyle name="OUTPUT REPORT TITLE 10 2" xfId="11837"/>
    <cellStyle name="OUTPUT REPORT TITLE 10 3" xfId="11838"/>
    <cellStyle name="OUTPUT REPORT TITLE 11" xfId="11839"/>
    <cellStyle name="Output Report Title 12" xfId="11840"/>
    <cellStyle name="Output Report Title 13" xfId="2026"/>
    <cellStyle name="Output Report Title 2" xfId="2027"/>
    <cellStyle name="Output Report Title 2 2" xfId="11841"/>
    <cellStyle name="OUTPUT REPORT TITLE 2 2 2" xfId="11842"/>
    <cellStyle name="Output Report Title 2 2 3" xfId="11843"/>
    <cellStyle name="Output Report Title 2 2 4" xfId="11844"/>
    <cellStyle name="Output Report Title 2 2 5" xfId="11845"/>
    <cellStyle name="Output Report Title 2 2 6" xfId="11846"/>
    <cellStyle name="Output Report Title 2 2 7" xfId="11847"/>
    <cellStyle name="OUTPUT REPORT TITLE 2 3" xfId="11848"/>
    <cellStyle name="OUTPUT REPORT TITLE 2 3 2" xfId="11849"/>
    <cellStyle name="Output Report Title 2 4" xfId="11850"/>
    <cellStyle name="Output Report Title 2 5" xfId="11851"/>
    <cellStyle name="Output Report Title 2 6" xfId="11852"/>
    <cellStyle name="Output Report Title 3" xfId="2028"/>
    <cellStyle name="Output Report Title 4" xfId="2029"/>
    <cellStyle name="Output Report Title 4 2" xfId="11853"/>
    <cellStyle name="Output Report Title 5" xfId="2030"/>
    <cellStyle name="Output Report Title 6" xfId="2031"/>
    <cellStyle name="Output Report Title 7" xfId="2032"/>
    <cellStyle name="Output Report Title 8" xfId="11854"/>
    <cellStyle name="Output Report Title 9" xfId="11855"/>
    <cellStyle name="Output Report Title_d1" xfId="11856"/>
    <cellStyle name="Percent" xfId="30" builtinId="5"/>
    <cellStyle name="Percent 10" xfId="11857"/>
    <cellStyle name="Percent 10 2" xfId="11858"/>
    <cellStyle name="Percent 10 2 2" xfId="11859"/>
    <cellStyle name="Percent 10 2 3" xfId="11860"/>
    <cellStyle name="Percent 10 3" xfId="11861"/>
    <cellStyle name="Percent 10 3 2" xfId="11862"/>
    <cellStyle name="Percent 10 4" xfId="11863"/>
    <cellStyle name="Percent 10 5" xfId="11864"/>
    <cellStyle name="Percent 10 6" xfId="11865"/>
    <cellStyle name="Percent 11" xfId="11866"/>
    <cellStyle name="Percent 11 2" xfId="11867"/>
    <cellStyle name="Percent 11 3" xfId="11868"/>
    <cellStyle name="Percent 12" xfId="11869"/>
    <cellStyle name="Percent 13" xfId="11870"/>
    <cellStyle name="Percent 13 2" xfId="11871"/>
    <cellStyle name="Percent 14" xfId="11872"/>
    <cellStyle name="Percent 15" xfId="11873"/>
    <cellStyle name="Percent 16" xfId="56"/>
    <cellStyle name="Percent 2" xfId="2033"/>
    <cellStyle name="Percent 2 2" xfId="2034"/>
    <cellStyle name="Percent 2 2 2" xfId="11874"/>
    <cellStyle name="Percent 2 2 2 2" xfId="11875"/>
    <cellStyle name="Percent 2 2 2 2 2" xfId="11876"/>
    <cellStyle name="Percent 2 2 2 2 2 2" xfId="11877"/>
    <cellStyle name="Percent 2 2 2 2 2 2 2" xfId="11878"/>
    <cellStyle name="Percent 2 2 2 2 2 3" xfId="11879"/>
    <cellStyle name="Percent 2 2 2 2 3" xfId="11880"/>
    <cellStyle name="Percent 2 2 2 2 3 2" xfId="11881"/>
    <cellStyle name="Percent 2 2 2 2 4" xfId="11882"/>
    <cellStyle name="Percent 2 2 2 3" xfId="11883"/>
    <cellStyle name="Percent 2 2 2 3 2" xfId="11884"/>
    <cellStyle name="Percent 2 2 2 3 2 2" xfId="11885"/>
    <cellStyle name="Percent 2 2 2 3 3" xfId="11886"/>
    <cellStyle name="Percent 2 2 2 4" xfId="11887"/>
    <cellStyle name="Percent 2 2 2 4 2" xfId="11888"/>
    <cellStyle name="Percent 2 2 2 5" xfId="11889"/>
    <cellStyle name="Percent 2 2 3" xfId="11890"/>
    <cellStyle name="Percent 2 2 3 2" xfId="11891"/>
    <cellStyle name="Percent 2 2 3 2 2" xfId="11892"/>
    <cellStyle name="Percent 2 2 3 2 2 2" xfId="11893"/>
    <cellStyle name="Percent 2 2 3 2 3" xfId="11894"/>
    <cellStyle name="Percent 2 2 3 3" xfId="11895"/>
    <cellStyle name="Percent 2 2 3 3 2" xfId="11896"/>
    <cellStyle name="Percent 2 2 3 4" xfId="11897"/>
    <cellStyle name="Percent 2 2 4" xfId="11898"/>
    <cellStyle name="Percent 2 2 4 2" xfId="11899"/>
    <cellStyle name="Percent 2 2 4 2 2" xfId="11900"/>
    <cellStyle name="Percent 2 2 4 3" xfId="11901"/>
    <cellStyle name="Percent 2 2 5" xfId="11902"/>
    <cellStyle name="Percent 2 2 5 2" xfId="11903"/>
    <cellStyle name="Percent 2 2 6" xfId="11904"/>
    <cellStyle name="Percent 2 2 7" xfId="11905"/>
    <cellStyle name="Percent 2 3" xfId="2035"/>
    <cellStyle name="Percent 2 3 2" xfId="11906"/>
    <cellStyle name="Percent 2 3 2 2" xfId="11907"/>
    <cellStyle name="Percent 2 3 2 2 2" xfId="11908"/>
    <cellStyle name="Percent 2 3 2 3" xfId="11909"/>
    <cellStyle name="Percent 2 3 2 4" xfId="11910"/>
    <cellStyle name="Percent 2 3 3" xfId="11911"/>
    <cellStyle name="Percent 2 3 3 2" xfId="11912"/>
    <cellStyle name="Percent 2 3 4" xfId="11913"/>
    <cellStyle name="Percent 2 3 5" xfId="11914"/>
    <cellStyle name="Percent 2 4" xfId="2036"/>
    <cellStyle name="Percent 2 4 2" xfId="11915"/>
    <cellStyle name="Percent 2 5" xfId="2037"/>
    <cellStyle name="Percent 3" xfId="2151"/>
    <cellStyle name="Percent 3 10" xfId="11916"/>
    <cellStyle name="Percent 3 2" xfId="11917"/>
    <cellStyle name="Percent 3 2 2" xfId="11918"/>
    <cellStyle name="Percent 3 2 2 2" xfId="11919"/>
    <cellStyle name="Percent 3 2 2 2 2" xfId="11920"/>
    <cellStyle name="Percent 3 2 2 2 2 2" xfId="11921"/>
    <cellStyle name="Percent 3 2 2 2 2 2 2" xfId="11922"/>
    <cellStyle name="Percent 3 2 2 2 2 2 2 2" xfId="11923"/>
    <cellStyle name="Percent 3 2 2 2 2 2 3" xfId="11924"/>
    <cellStyle name="Percent 3 2 2 2 2 3" xfId="11925"/>
    <cellStyle name="Percent 3 2 2 2 2 3 2" xfId="11926"/>
    <cellStyle name="Percent 3 2 2 2 2 4" xfId="11927"/>
    <cellStyle name="Percent 3 2 2 2 3" xfId="11928"/>
    <cellStyle name="Percent 3 2 2 2 3 2" xfId="11929"/>
    <cellStyle name="Percent 3 2 2 2 3 2 2" xfId="11930"/>
    <cellStyle name="Percent 3 2 2 2 3 3" xfId="11931"/>
    <cellStyle name="Percent 3 2 2 2 4" xfId="11932"/>
    <cellStyle name="Percent 3 2 2 2 4 2" xfId="11933"/>
    <cellStyle name="Percent 3 2 2 2 5" xfId="11934"/>
    <cellStyle name="Percent 3 2 2 2 6" xfId="11935"/>
    <cellStyle name="Percent 3 2 2 3" xfId="11936"/>
    <cellStyle name="Percent 3 2 2 3 2" xfId="11937"/>
    <cellStyle name="Percent 3 2 2 3 2 2" xfId="11938"/>
    <cellStyle name="Percent 3 2 2 3 2 2 2" xfId="11939"/>
    <cellStyle name="Percent 3 2 2 3 2 3" xfId="11940"/>
    <cellStyle name="Percent 3 2 2 3 3" xfId="11941"/>
    <cellStyle name="Percent 3 2 2 3 3 2" xfId="11942"/>
    <cellStyle name="Percent 3 2 2 3 4" xfId="11943"/>
    <cellStyle name="Percent 3 2 2 4" xfId="11944"/>
    <cellStyle name="Percent 3 2 2 4 2" xfId="11945"/>
    <cellStyle name="Percent 3 2 2 4 2 2" xfId="11946"/>
    <cellStyle name="Percent 3 2 2 4 3" xfId="11947"/>
    <cellStyle name="Percent 3 2 2 5" xfId="11948"/>
    <cellStyle name="Percent 3 2 2 5 2" xfId="11949"/>
    <cellStyle name="Percent 3 2 2 6" xfId="11950"/>
    <cellStyle name="Percent 3 2 2 7" xfId="11951"/>
    <cellStyle name="Percent 3 2 3" xfId="11952"/>
    <cellStyle name="Percent 3 2 3 2" xfId="11953"/>
    <cellStyle name="Percent 3 2 3 2 2" xfId="11954"/>
    <cellStyle name="Percent 3 2 3 2 2 2" xfId="11955"/>
    <cellStyle name="Percent 3 2 3 2 2 2 2" xfId="11956"/>
    <cellStyle name="Percent 3 2 3 2 2 3" xfId="11957"/>
    <cellStyle name="Percent 3 2 3 2 3" xfId="11958"/>
    <cellStyle name="Percent 3 2 3 2 3 2" xfId="11959"/>
    <cellStyle name="Percent 3 2 3 2 4" xfId="11960"/>
    <cellStyle name="Percent 3 2 3 3" xfId="11961"/>
    <cellStyle name="Percent 3 2 3 3 2" xfId="11962"/>
    <cellStyle name="Percent 3 2 3 3 2 2" xfId="11963"/>
    <cellStyle name="Percent 3 2 3 3 3" xfId="11964"/>
    <cellStyle name="Percent 3 2 3 4" xfId="11965"/>
    <cellStyle name="Percent 3 2 3 4 2" xfId="11966"/>
    <cellStyle name="Percent 3 2 3 5" xfId="11967"/>
    <cellStyle name="Percent 3 2 3 6" xfId="11968"/>
    <cellStyle name="Percent 3 2 4" xfId="11969"/>
    <cellStyle name="Percent 3 2 4 2" xfId="11970"/>
    <cellStyle name="Percent 3 2 4 2 2" xfId="11971"/>
    <cellStyle name="Percent 3 2 4 2 2 2" xfId="11972"/>
    <cellStyle name="Percent 3 2 4 2 2 2 2" xfId="11973"/>
    <cellStyle name="Percent 3 2 4 2 2 3" xfId="11974"/>
    <cellStyle name="Percent 3 2 4 2 3" xfId="11975"/>
    <cellStyle name="Percent 3 2 4 2 3 2" xfId="11976"/>
    <cellStyle name="Percent 3 2 4 2 4" xfId="11977"/>
    <cellStyle name="Percent 3 2 4 3" xfId="11978"/>
    <cellStyle name="Percent 3 2 4 3 2" xfId="11979"/>
    <cellStyle name="Percent 3 2 4 3 2 2" xfId="11980"/>
    <cellStyle name="Percent 3 2 4 3 3" xfId="11981"/>
    <cellStyle name="Percent 3 2 4 4" xfId="11982"/>
    <cellStyle name="Percent 3 2 4 4 2" xfId="11983"/>
    <cellStyle name="Percent 3 2 4 5" xfId="11984"/>
    <cellStyle name="Percent 3 2 5" xfId="11985"/>
    <cellStyle name="Percent 3 2 5 2" xfId="11986"/>
    <cellStyle name="Percent 3 2 5 2 2" xfId="11987"/>
    <cellStyle name="Percent 3 2 5 2 2 2" xfId="11988"/>
    <cellStyle name="Percent 3 2 5 2 3" xfId="11989"/>
    <cellStyle name="Percent 3 2 5 3" xfId="11990"/>
    <cellStyle name="Percent 3 2 5 3 2" xfId="11991"/>
    <cellStyle name="Percent 3 2 5 4" xfId="11992"/>
    <cellStyle name="Percent 3 2 6" xfId="11993"/>
    <cellStyle name="Percent 3 2 6 2" xfId="11994"/>
    <cellStyle name="Percent 3 2 6 2 2" xfId="11995"/>
    <cellStyle name="Percent 3 2 6 3" xfId="11996"/>
    <cellStyle name="Percent 3 2 7" xfId="11997"/>
    <cellStyle name="Percent 3 2 7 2" xfId="11998"/>
    <cellStyle name="Percent 3 2 8" xfId="11999"/>
    <cellStyle name="Percent 3 2 9" xfId="12000"/>
    <cellStyle name="Percent 3 3" xfId="12001"/>
    <cellStyle name="Percent 3 3 2" xfId="12002"/>
    <cellStyle name="Percent 3 3 2 2" xfId="12003"/>
    <cellStyle name="Percent 3 3 2 2 2" xfId="12004"/>
    <cellStyle name="Percent 3 3 2 2 2 2" xfId="12005"/>
    <cellStyle name="Percent 3 3 2 2 2 2 2" xfId="12006"/>
    <cellStyle name="Percent 3 3 2 2 2 3" xfId="12007"/>
    <cellStyle name="Percent 3 3 2 2 3" xfId="12008"/>
    <cellStyle name="Percent 3 3 2 2 3 2" xfId="12009"/>
    <cellStyle name="Percent 3 3 2 2 4" xfId="12010"/>
    <cellStyle name="Percent 3 3 2 3" xfId="12011"/>
    <cellStyle name="Percent 3 3 2 3 2" xfId="12012"/>
    <cellStyle name="Percent 3 3 2 3 2 2" xfId="12013"/>
    <cellStyle name="Percent 3 3 2 3 3" xfId="12014"/>
    <cellStyle name="Percent 3 3 2 4" xfId="12015"/>
    <cellStyle name="Percent 3 3 2 4 2" xfId="12016"/>
    <cellStyle name="Percent 3 3 2 5" xfId="12017"/>
    <cellStyle name="Percent 3 3 3" xfId="12018"/>
    <cellStyle name="Percent 3 3 3 2" xfId="12019"/>
    <cellStyle name="Percent 3 3 3 2 2" xfId="12020"/>
    <cellStyle name="Percent 3 3 3 2 2 2" xfId="12021"/>
    <cellStyle name="Percent 3 3 3 2 3" xfId="12022"/>
    <cellStyle name="Percent 3 3 3 3" xfId="12023"/>
    <cellStyle name="Percent 3 3 3 3 2" xfId="12024"/>
    <cellStyle name="Percent 3 3 3 4" xfId="12025"/>
    <cellStyle name="Percent 3 3 4" xfId="12026"/>
    <cellStyle name="Percent 3 3 4 2" xfId="12027"/>
    <cellStyle name="Percent 3 3 4 2 2" xfId="12028"/>
    <cellStyle name="Percent 3 3 4 3" xfId="12029"/>
    <cellStyle name="Percent 3 3 5" xfId="12030"/>
    <cellStyle name="Percent 3 3 5 2" xfId="12031"/>
    <cellStyle name="Percent 3 3 6" xfId="12032"/>
    <cellStyle name="Percent 3 3 7" xfId="12033"/>
    <cellStyle name="Percent 3 4" xfId="12034"/>
    <cellStyle name="Percent 3 4 2" xfId="12035"/>
    <cellStyle name="Percent 3 4 2 2" xfId="12036"/>
    <cellStyle name="Percent 3 4 2 2 2" xfId="12037"/>
    <cellStyle name="Percent 3 4 2 2 2 2" xfId="12038"/>
    <cellStyle name="Percent 3 4 2 2 3" xfId="12039"/>
    <cellStyle name="Percent 3 4 2 3" xfId="12040"/>
    <cellStyle name="Percent 3 4 2 3 2" xfId="12041"/>
    <cellStyle name="Percent 3 4 2 4" xfId="12042"/>
    <cellStyle name="Percent 3 4 2 5" xfId="12043"/>
    <cellStyle name="Percent 3 4 3" xfId="12044"/>
    <cellStyle name="Percent 3 4 3 2" xfId="12045"/>
    <cellStyle name="Percent 3 4 3 2 2" xfId="12046"/>
    <cellStyle name="Percent 3 4 3 3" xfId="12047"/>
    <cellStyle name="Percent 3 4 4" xfId="12048"/>
    <cellStyle name="Percent 3 4 4 2" xfId="12049"/>
    <cellStyle name="Percent 3 4 5" xfId="12050"/>
    <cellStyle name="Percent 3 4 6" xfId="12051"/>
    <cellStyle name="Percent 3 5" xfId="12052"/>
    <cellStyle name="Percent 3 5 2" xfId="12053"/>
    <cellStyle name="Percent 3 5 2 2" xfId="12054"/>
    <cellStyle name="Percent 3 5 2 2 2" xfId="12055"/>
    <cellStyle name="Percent 3 5 2 2 2 2" xfId="12056"/>
    <cellStyle name="Percent 3 5 2 2 3" xfId="12057"/>
    <cellStyle name="Percent 3 5 2 3" xfId="12058"/>
    <cellStyle name="Percent 3 5 2 3 2" xfId="12059"/>
    <cellStyle name="Percent 3 5 2 4" xfId="12060"/>
    <cellStyle name="Percent 3 5 3" xfId="12061"/>
    <cellStyle name="Percent 3 5 3 2" xfId="12062"/>
    <cellStyle name="Percent 3 5 3 2 2" xfId="12063"/>
    <cellStyle name="Percent 3 5 3 3" xfId="12064"/>
    <cellStyle name="Percent 3 5 4" xfId="12065"/>
    <cellStyle name="Percent 3 5 4 2" xfId="12066"/>
    <cellStyle name="Percent 3 5 5" xfId="12067"/>
    <cellStyle name="Percent 3 5 6" xfId="12068"/>
    <cellStyle name="Percent 3 6" xfId="12069"/>
    <cellStyle name="Percent 3 6 2" xfId="12070"/>
    <cellStyle name="Percent 3 6 2 2" xfId="12071"/>
    <cellStyle name="Percent 3 6 2 2 2" xfId="12072"/>
    <cellStyle name="Percent 3 6 2 3" xfId="12073"/>
    <cellStyle name="Percent 3 6 3" xfId="12074"/>
    <cellStyle name="Percent 3 6 3 2" xfId="12075"/>
    <cellStyle name="Percent 3 6 4" xfId="12076"/>
    <cellStyle name="Percent 3 7" xfId="12077"/>
    <cellStyle name="Percent 3 7 2" xfId="12078"/>
    <cellStyle name="Percent 3 7 2 2" xfId="12079"/>
    <cellStyle name="Percent 3 7 3" xfId="12080"/>
    <cellStyle name="Percent 3 8" xfId="12081"/>
    <cellStyle name="Percent 3 8 2" xfId="12082"/>
    <cellStyle name="Percent 3 9" xfId="12083"/>
    <cellStyle name="Percent 4" xfId="12084"/>
    <cellStyle name="Percent 4 2" xfId="12085"/>
    <cellStyle name="Percent 4 2 2" xfId="12086"/>
    <cellStyle name="Percent 4 2 2 2" xfId="12087"/>
    <cellStyle name="Percent 4 2 2 2 2" xfId="12088"/>
    <cellStyle name="Percent 4 2 2 2 2 2" xfId="12089"/>
    <cellStyle name="Percent 4 2 2 2 3" xfId="12090"/>
    <cellStyle name="Percent 4 2 2 2 4" xfId="12091"/>
    <cellStyle name="Percent 4 2 2 3" xfId="12092"/>
    <cellStyle name="Percent 4 2 2 3 2" xfId="12093"/>
    <cellStyle name="Percent 4 2 2 4" xfId="12094"/>
    <cellStyle name="Percent 4 2 2 5" xfId="12095"/>
    <cellStyle name="Percent 4 2 3" xfId="12096"/>
    <cellStyle name="Percent 4 2 3 2" xfId="12097"/>
    <cellStyle name="Percent 4 2 3 2 2" xfId="12098"/>
    <cellStyle name="Percent 4 2 3 3" xfId="12099"/>
    <cellStyle name="Percent 4 2 3 4" xfId="12100"/>
    <cellStyle name="Percent 4 2 4" xfId="12101"/>
    <cellStyle name="Percent 4 2 4 2" xfId="12102"/>
    <cellStyle name="Percent 4 2 5" xfId="12103"/>
    <cellStyle name="Percent 4 2 6" xfId="12104"/>
    <cellStyle name="Percent 4 3" xfId="12105"/>
    <cellStyle name="Percent 4 3 2" xfId="12106"/>
    <cellStyle name="Percent 4 3 2 2" xfId="12107"/>
    <cellStyle name="Percent 4 3 2 2 2" xfId="12108"/>
    <cellStyle name="Percent 4 3 2 3" xfId="12109"/>
    <cellStyle name="Percent 4 3 3" xfId="12110"/>
    <cellStyle name="Percent 4 3 3 2" xfId="12111"/>
    <cellStyle name="Percent 4 3 4" xfId="12112"/>
    <cellStyle name="Percent 4 3 5" xfId="12113"/>
    <cellStyle name="Percent 4 4" xfId="12114"/>
    <cellStyle name="Percent 4 4 2" xfId="12115"/>
    <cellStyle name="Percent 4 4 2 2" xfId="12116"/>
    <cellStyle name="Percent 4 4 3" xfId="12117"/>
    <cellStyle name="Percent 4 5" xfId="12118"/>
    <cellStyle name="Percent 4 5 2" xfId="12119"/>
    <cellStyle name="Percent 4 6" xfId="12120"/>
    <cellStyle name="Percent 4 7" xfId="12121"/>
    <cellStyle name="Percent 4 8" xfId="12122"/>
    <cellStyle name="Percent 5" xfId="12123"/>
    <cellStyle name="Percent 5 2" xfId="12124"/>
    <cellStyle name="Percent 5 2 2" xfId="12125"/>
    <cellStyle name="Percent 5 3" xfId="12126"/>
    <cellStyle name="Percent 6" xfId="12127"/>
    <cellStyle name="Percent 6 2" xfId="12128"/>
    <cellStyle name="Percent 6 3" xfId="12129"/>
    <cellStyle name="Percent 7" xfId="12130"/>
    <cellStyle name="Percent 7 2" xfId="12131"/>
    <cellStyle name="Percent 7 2 2" xfId="12132"/>
    <cellStyle name="Percent 7 2 2 2" xfId="12133"/>
    <cellStyle name="Percent 7 2 2 3" xfId="12134"/>
    <cellStyle name="Percent 7 2 3" xfId="12135"/>
    <cellStyle name="Percent 7 2 4" xfId="12136"/>
    <cellStyle name="Percent 7 3" xfId="12137"/>
    <cellStyle name="Percent 7 3 2" xfId="12138"/>
    <cellStyle name="Percent 7 3 3" xfId="12139"/>
    <cellStyle name="Percent 7 4" xfId="12140"/>
    <cellStyle name="Percent 7 5" xfId="12141"/>
    <cellStyle name="Percent 7 6" xfId="12142"/>
    <cellStyle name="Percent 8" xfId="12143"/>
    <cellStyle name="Percent 8 2" xfId="12144"/>
    <cellStyle name="Percent 8 2 2" xfId="12145"/>
    <cellStyle name="Percent 8 2 2 2" xfId="12146"/>
    <cellStyle name="Percent 8 2 3" xfId="12147"/>
    <cellStyle name="Percent 8 3" xfId="12148"/>
    <cellStyle name="Percent 8 3 2" xfId="12149"/>
    <cellStyle name="Percent 8 4" xfId="12150"/>
    <cellStyle name="Percent 8 5" xfId="12151"/>
    <cellStyle name="Percent 8 6" xfId="12152"/>
    <cellStyle name="Percent 9" xfId="12153"/>
    <cellStyle name="Percent 9 2" xfId="12154"/>
    <cellStyle name="Percent 9 2 2" xfId="12155"/>
    <cellStyle name="Percent 9 2 3" xfId="12156"/>
    <cellStyle name="Percent 9 3" xfId="12157"/>
    <cellStyle name="Percent 9 3 2" xfId="12158"/>
    <cellStyle name="Percent 9 4" xfId="12159"/>
    <cellStyle name="Percent 9 5" xfId="12160"/>
    <cellStyle name="Percent 9 6" xfId="12161"/>
    <cellStyle name="Project Overview Data Entry" xfId="12162"/>
    <cellStyle name="Project Overview Data Entry 2" xfId="12163"/>
    <cellStyle name="PSChar" xfId="12164"/>
    <cellStyle name="PSDate" xfId="12165"/>
    <cellStyle name="PSDec" xfId="12166"/>
    <cellStyle name="PSHeading" xfId="12167"/>
    <cellStyle name="PSInt" xfId="12168"/>
    <cellStyle name="PSSpacer" xfId="12169"/>
    <cellStyle name="ReportTitlePrompt" xfId="31"/>
    <cellStyle name="ReportTitlePrompt 2" xfId="12171"/>
    <cellStyle name="ReportTitlePrompt 2 2" xfId="12172"/>
    <cellStyle name="ReportTitlePrompt 2 3" xfId="12173"/>
    <cellStyle name="ReportTitlePrompt 3" xfId="12174"/>
    <cellStyle name="ReportTitlePrompt 4" xfId="12175"/>
    <cellStyle name="ReportTitlePrompt 5" xfId="12170"/>
    <cellStyle name="ReportTitleValue" xfId="32"/>
    <cellStyle name="ReportTitleValue 2" xfId="12176"/>
    <cellStyle name="ReportTitleValue 2 2" xfId="12177"/>
    <cellStyle name="Reset  - Style4" xfId="12178"/>
    <cellStyle name="RowAcctAbovePrompt" xfId="33"/>
    <cellStyle name="RowAcctAbovePrompt 2" xfId="12180"/>
    <cellStyle name="RowAcctAbovePrompt 2 2" xfId="12181"/>
    <cellStyle name="RowAcctAbovePrompt 2 3" xfId="12182"/>
    <cellStyle name="RowAcctAbovePrompt 3" xfId="12183"/>
    <cellStyle name="RowAcctAbovePrompt 4" xfId="12179"/>
    <cellStyle name="RowAcctSOBAbovePrompt" xfId="34"/>
    <cellStyle name="RowAcctSOBAbovePrompt 2" xfId="12185"/>
    <cellStyle name="RowAcctSOBAbovePrompt 2 2" xfId="12186"/>
    <cellStyle name="RowAcctSOBAbovePrompt 2 3" xfId="12187"/>
    <cellStyle name="RowAcctSOBAbovePrompt 3" xfId="12188"/>
    <cellStyle name="RowAcctSOBAbovePrompt 4" xfId="12184"/>
    <cellStyle name="RowAcctSOBValue" xfId="35"/>
    <cellStyle name="RowAcctSOBValue 2" xfId="12190"/>
    <cellStyle name="RowAcctSOBValue 2 2" xfId="12191"/>
    <cellStyle name="RowAcctSOBValue 2 3" xfId="12192"/>
    <cellStyle name="RowAcctSOBValue 3" xfId="12193"/>
    <cellStyle name="RowAcctSOBValue 4" xfId="12189"/>
    <cellStyle name="RowAcctValue" xfId="36"/>
    <cellStyle name="RowAcctValue 2" xfId="12194"/>
    <cellStyle name="RowAcctValue 2 2" xfId="12195"/>
    <cellStyle name="RowAttrAbovePrompt" xfId="37"/>
    <cellStyle name="RowAttrAbovePrompt 2" xfId="12197"/>
    <cellStyle name="RowAttrAbovePrompt 2 2" xfId="12198"/>
    <cellStyle name="RowAttrAbovePrompt 2 3" xfId="12199"/>
    <cellStyle name="RowAttrAbovePrompt 3" xfId="12200"/>
    <cellStyle name="RowAttrAbovePrompt 4" xfId="12196"/>
    <cellStyle name="RowAttrValue" xfId="38"/>
    <cellStyle name="RowAttrValue 2" xfId="12201"/>
    <cellStyle name="RowAttrValue 2 2" xfId="12202"/>
    <cellStyle name="RowColSetAbovePrompt" xfId="39"/>
    <cellStyle name="RowColSetAbovePrompt 2" xfId="12204"/>
    <cellStyle name="RowColSetAbovePrompt 2 2" xfId="12205"/>
    <cellStyle name="RowColSetAbovePrompt 2 3" xfId="12206"/>
    <cellStyle name="RowColSetAbovePrompt 3" xfId="12207"/>
    <cellStyle name="RowColSetAbovePrompt 4" xfId="12203"/>
    <cellStyle name="RowColSetLeftPrompt" xfId="40"/>
    <cellStyle name="RowColSetLeftPrompt 2" xfId="12209"/>
    <cellStyle name="RowColSetLeftPrompt 2 2" xfId="12210"/>
    <cellStyle name="RowColSetLeftPrompt 2 3" xfId="12211"/>
    <cellStyle name="RowColSetLeftPrompt 3" xfId="12212"/>
    <cellStyle name="RowColSetLeftPrompt 4" xfId="12208"/>
    <cellStyle name="RowColSetValue" xfId="41"/>
    <cellStyle name="RowColSetValue 2" xfId="12213"/>
    <cellStyle name="RowColSetValue 2 2" xfId="12214"/>
    <cellStyle name="RowColSetValue 3" xfId="12215"/>
    <cellStyle name="RowLeftPrompt" xfId="42"/>
    <cellStyle name="RowLeftPrompt 2" xfId="12217"/>
    <cellStyle name="RowLeftPrompt 2 2" xfId="12218"/>
    <cellStyle name="RowLeftPrompt 2 3" xfId="12219"/>
    <cellStyle name="RowLeftPrompt 3" xfId="12220"/>
    <cellStyle name="RowLeftPrompt 4" xfId="12216"/>
    <cellStyle name="SampleUsingFormatMask" xfId="43"/>
    <cellStyle name="SampleUsingFormatMask 2" xfId="12222"/>
    <cellStyle name="SampleUsingFormatMask 2 2" xfId="12223"/>
    <cellStyle name="SampleUsingFormatMask 2 3" xfId="12224"/>
    <cellStyle name="SampleUsingFormatMask 3" xfId="12225"/>
    <cellStyle name="SampleUsingFormatMask 4" xfId="12221"/>
    <cellStyle name="SampleWithNoFormatMask" xfId="44"/>
    <cellStyle name="SampleWithNoFormatMask 2" xfId="12227"/>
    <cellStyle name="SampleWithNoFormatMask 2 2" xfId="12228"/>
    <cellStyle name="SampleWithNoFormatMask 2 3" xfId="12229"/>
    <cellStyle name="SampleWithNoFormatMask 3" xfId="12230"/>
    <cellStyle name="SampleWithNoFormatMask 4" xfId="12226"/>
    <cellStyle name="SAPBEXaggData" xfId="12231"/>
    <cellStyle name="SAPBEXaggData 10" xfId="12232"/>
    <cellStyle name="SAPBEXaggData 10 2" xfId="12233"/>
    <cellStyle name="SAPBEXaggData 11" xfId="12234"/>
    <cellStyle name="SAPBEXaggData 11 2" xfId="12235"/>
    <cellStyle name="SAPBEXaggData 12" xfId="12236"/>
    <cellStyle name="SAPBEXaggData 2" xfId="12237"/>
    <cellStyle name="SAPBEXaggData 2 10" xfId="12238"/>
    <cellStyle name="SAPBEXaggData 2 10 2" xfId="12239"/>
    <cellStyle name="SAPBEXaggData 2 11" xfId="12240"/>
    <cellStyle name="SAPBEXaggData 2 2" xfId="12241"/>
    <cellStyle name="SAPBEXaggData 2 2 2" xfId="12242"/>
    <cellStyle name="SAPBEXaggData 2 3" xfId="12243"/>
    <cellStyle name="SAPBEXaggData 2 3 2" xfId="12244"/>
    <cellStyle name="SAPBEXaggData 2 4" xfId="12245"/>
    <cellStyle name="SAPBEXaggData 2 4 2" xfId="12246"/>
    <cellStyle name="SAPBEXaggData 2 5" xfId="12247"/>
    <cellStyle name="SAPBEXaggData 2 5 2" xfId="12248"/>
    <cellStyle name="SAPBEXaggData 2 6" xfId="12249"/>
    <cellStyle name="SAPBEXaggData 2 6 2" xfId="12250"/>
    <cellStyle name="SAPBEXaggData 2 7" xfId="12251"/>
    <cellStyle name="SAPBEXaggData 2 7 2" xfId="12252"/>
    <cellStyle name="SAPBEXaggData 2 8" xfId="12253"/>
    <cellStyle name="SAPBEXaggData 2 8 2" xfId="12254"/>
    <cellStyle name="SAPBEXaggData 2 9" xfId="12255"/>
    <cellStyle name="SAPBEXaggData 2 9 2" xfId="12256"/>
    <cellStyle name="SAPBEXaggData 3" xfId="12257"/>
    <cellStyle name="SAPBEXaggData 3 2" xfId="12258"/>
    <cellStyle name="SAPBEXaggData 4" xfId="12259"/>
    <cellStyle name="SAPBEXaggData 4 2" xfId="12260"/>
    <cellStyle name="SAPBEXaggData 5" xfId="12261"/>
    <cellStyle name="SAPBEXaggData 5 2" xfId="12262"/>
    <cellStyle name="SAPBEXaggData 6" xfId="12263"/>
    <cellStyle name="SAPBEXaggData 6 2" xfId="12264"/>
    <cellStyle name="SAPBEXaggData 7" xfId="12265"/>
    <cellStyle name="SAPBEXaggData 7 2" xfId="12266"/>
    <cellStyle name="SAPBEXaggData 8" xfId="12267"/>
    <cellStyle name="SAPBEXaggData 8 2" xfId="12268"/>
    <cellStyle name="SAPBEXaggData 9" xfId="12269"/>
    <cellStyle name="SAPBEXaggData 9 2" xfId="12270"/>
    <cellStyle name="SAPBEXaggDataEmph" xfId="12271"/>
    <cellStyle name="SAPBEXaggDataEmph 10" xfId="12272"/>
    <cellStyle name="SAPBEXaggDataEmph 10 2" xfId="12273"/>
    <cellStyle name="SAPBEXaggDataEmph 11" xfId="12274"/>
    <cellStyle name="SAPBEXaggDataEmph 2" xfId="12275"/>
    <cellStyle name="SAPBEXaggDataEmph 2 2" xfId="12276"/>
    <cellStyle name="SAPBEXaggDataEmph 3" xfId="12277"/>
    <cellStyle name="SAPBEXaggDataEmph 3 2" xfId="12278"/>
    <cellStyle name="SAPBEXaggDataEmph 4" xfId="12279"/>
    <cellStyle name="SAPBEXaggDataEmph 4 2" xfId="12280"/>
    <cellStyle name="SAPBEXaggDataEmph 5" xfId="12281"/>
    <cellStyle name="SAPBEXaggDataEmph 5 2" xfId="12282"/>
    <cellStyle name="SAPBEXaggDataEmph 6" xfId="12283"/>
    <cellStyle name="SAPBEXaggDataEmph 6 2" xfId="12284"/>
    <cellStyle name="SAPBEXaggDataEmph 7" xfId="12285"/>
    <cellStyle name="SAPBEXaggDataEmph 7 2" xfId="12286"/>
    <cellStyle name="SAPBEXaggDataEmph 8" xfId="12287"/>
    <cellStyle name="SAPBEXaggDataEmph 8 2" xfId="12288"/>
    <cellStyle name="SAPBEXaggDataEmph 9" xfId="12289"/>
    <cellStyle name="SAPBEXaggDataEmph 9 2" xfId="12290"/>
    <cellStyle name="SAPBEXaggItem" xfId="12291"/>
    <cellStyle name="SAPBEXaggItem 10" xfId="12292"/>
    <cellStyle name="SAPBEXaggItem 10 2" xfId="12293"/>
    <cellStyle name="SAPBEXaggItem 11" xfId="12294"/>
    <cellStyle name="SAPBEXaggItem 11 2" xfId="12295"/>
    <cellStyle name="SAPBEXaggItem 12" xfId="12296"/>
    <cellStyle name="SAPBEXaggItem 2" xfId="12297"/>
    <cellStyle name="SAPBEXaggItem 2 10" xfId="12298"/>
    <cellStyle name="SAPBEXaggItem 2 10 2" xfId="12299"/>
    <cellStyle name="SAPBEXaggItem 2 11" xfId="12300"/>
    <cellStyle name="SAPBEXaggItem 2 2" xfId="12301"/>
    <cellStyle name="SAPBEXaggItem 2 2 2" xfId="12302"/>
    <cellStyle name="SAPBEXaggItem 2 3" xfId="12303"/>
    <cellStyle name="SAPBEXaggItem 2 3 2" xfId="12304"/>
    <cellStyle name="SAPBEXaggItem 2 4" xfId="12305"/>
    <cellStyle name="SAPBEXaggItem 2 4 2" xfId="12306"/>
    <cellStyle name="SAPBEXaggItem 2 5" xfId="12307"/>
    <cellStyle name="SAPBEXaggItem 2 5 2" xfId="12308"/>
    <cellStyle name="SAPBEXaggItem 2 6" xfId="12309"/>
    <cellStyle name="SAPBEXaggItem 2 6 2" xfId="12310"/>
    <cellStyle name="SAPBEXaggItem 2 7" xfId="12311"/>
    <cellStyle name="SAPBEXaggItem 2 7 2" xfId="12312"/>
    <cellStyle name="SAPBEXaggItem 2 8" xfId="12313"/>
    <cellStyle name="SAPBEXaggItem 2 8 2" xfId="12314"/>
    <cellStyle name="SAPBEXaggItem 2 9" xfId="12315"/>
    <cellStyle name="SAPBEXaggItem 2 9 2" xfId="12316"/>
    <cellStyle name="SAPBEXaggItem 3" xfId="12317"/>
    <cellStyle name="SAPBEXaggItem 3 2" xfId="12318"/>
    <cellStyle name="SAPBEXaggItem 4" xfId="12319"/>
    <cellStyle name="SAPBEXaggItem 4 2" xfId="12320"/>
    <cellStyle name="SAPBEXaggItem 5" xfId="12321"/>
    <cellStyle name="SAPBEXaggItem 5 2" xfId="12322"/>
    <cellStyle name="SAPBEXaggItem 6" xfId="12323"/>
    <cellStyle name="SAPBEXaggItem 6 2" xfId="12324"/>
    <cellStyle name="SAPBEXaggItem 7" xfId="12325"/>
    <cellStyle name="SAPBEXaggItem 7 2" xfId="12326"/>
    <cellStyle name="SAPBEXaggItem 8" xfId="12327"/>
    <cellStyle name="SAPBEXaggItem 8 2" xfId="12328"/>
    <cellStyle name="SAPBEXaggItem 9" xfId="12329"/>
    <cellStyle name="SAPBEXaggItem 9 2" xfId="12330"/>
    <cellStyle name="SAPBEXaggItemX" xfId="12331"/>
    <cellStyle name="SAPBEXaggItemX 10" xfId="12332"/>
    <cellStyle name="SAPBEXaggItemX 10 2" xfId="12333"/>
    <cellStyle name="SAPBEXaggItemX 11" xfId="12334"/>
    <cellStyle name="SAPBEXaggItemX 11 2" xfId="12335"/>
    <cellStyle name="SAPBEXaggItemX 12" xfId="12336"/>
    <cellStyle name="SAPBEXaggItemX 2" xfId="12337"/>
    <cellStyle name="SAPBEXaggItemX 2 10" xfId="12338"/>
    <cellStyle name="SAPBEXaggItemX 2 10 2" xfId="12339"/>
    <cellStyle name="SAPBEXaggItemX 2 11" xfId="12340"/>
    <cellStyle name="SAPBEXaggItemX 2 2" xfId="12341"/>
    <cellStyle name="SAPBEXaggItemX 2 2 2" xfId="12342"/>
    <cellStyle name="SAPBEXaggItemX 2 3" xfId="12343"/>
    <cellStyle name="SAPBEXaggItemX 2 3 2" xfId="12344"/>
    <cellStyle name="SAPBEXaggItemX 2 4" xfId="12345"/>
    <cellStyle name="SAPBEXaggItemX 2 4 2" xfId="12346"/>
    <cellStyle name="SAPBEXaggItemX 2 5" xfId="12347"/>
    <cellStyle name="SAPBEXaggItemX 2 5 2" xfId="12348"/>
    <cellStyle name="SAPBEXaggItemX 2 6" xfId="12349"/>
    <cellStyle name="SAPBEXaggItemX 2 6 2" xfId="12350"/>
    <cellStyle name="SAPBEXaggItemX 2 7" xfId="12351"/>
    <cellStyle name="SAPBEXaggItemX 2 7 2" xfId="12352"/>
    <cellStyle name="SAPBEXaggItemX 2 8" xfId="12353"/>
    <cellStyle name="SAPBEXaggItemX 2 8 2" xfId="12354"/>
    <cellStyle name="SAPBEXaggItemX 2 9" xfId="12355"/>
    <cellStyle name="SAPBEXaggItemX 2 9 2" xfId="12356"/>
    <cellStyle name="SAPBEXaggItemX 3" xfId="12357"/>
    <cellStyle name="SAPBEXaggItemX 3 2" xfId="12358"/>
    <cellStyle name="SAPBEXaggItemX 4" xfId="12359"/>
    <cellStyle name="SAPBEXaggItemX 4 2" xfId="12360"/>
    <cellStyle name="SAPBEXaggItemX 5" xfId="12361"/>
    <cellStyle name="SAPBEXaggItemX 5 2" xfId="12362"/>
    <cellStyle name="SAPBEXaggItemX 6" xfId="12363"/>
    <cellStyle name="SAPBEXaggItemX 6 2" xfId="12364"/>
    <cellStyle name="SAPBEXaggItemX 7" xfId="12365"/>
    <cellStyle name="SAPBEXaggItemX 7 2" xfId="12366"/>
    <cellStyle name="SAPBEXaggItemX 8" xfId="12367"/>
    <cellStyle name="SAPBEXaggItemX 8 2" xfId="12368"/>
    <cellStyle name="SAPBEXaggItemX 9" xfId="12369"/>
    <cellStyle name="SAPBEXaggItemX 9 2" xfId="12370"/>
    <cellStyle name="SAPBEXchaText" xfId="12371"/>
    <cellStyle name="SAPBEXchaText 2" xfId="12372"/>
    <cellStyle name="SAPBEXexcBad7" xfId="12373"/>
    <cellStyle name="SAPBEXexcBad7 10" xfId="12374"/>
    <cellStyle name="SAPBEXexcBad7 10 2" xfId="12375"/>
    <cellStyle name="SAPBEXexcBad7 11" xfId="12376"/>
    <cellStyle name="SAPBEXexcBad7 11 2" xfId="12377"/>
    <cellStyle name="SAPBEXexcBad7 12" xfId="12378"/>
    <cellStyle name="SAPBEXexcBad7 2" xfId="12379"/>
    <cellStyle name="SAPBEXexcBad7 2 10" xfId="12380"/>
    <cellStyle name="SAPBEXexcBad7 2 10 2" xfId="12381"/>
    <cellStyle name="SAPBEXexcBad7 2 11" xfId="12382"/>
    <cellStyle name="SAPBEXexcBad7 2 2" xfId="12383"/>
    <cellStyle name="SAPBEXexcBad7 2 2 2" xfId="12384"/>
    <cellStyle name="SAPBEXexcBad7 2 3" xfId="12385"/>
    <cellStyle name="SAPBEXexcBad7 2 3 2" xfId="12386"/>
    <cellStyle name="SAPBEXexcBad7 2 4" xfId="12387"/>
    <cellStyle name="SAPBEXexcBad7 2 4 2" xfId="12388"/>
    <cellStyle name="SAPBEXexcBad7 2 5" xfId="12389"/>
    <cellStyle name="SAPBEXexcBad7 2 5 2" xfId="12390"/>
    <cellStyle name="SAPBEXexcBad7 2 6" xfId="12391"/>
    <cellStyle name="SAPBEXexcBad7 2 6 2" xfId="12392"/>
    <cellStyle name="SAPBEXexcBad7 2 7" xfId="12393"/>
    <cellStyle name="SAPBEXexcBad7 2 7 2" xfId="12394"/>
    <cellStyle name="SAPBEXexcBad7 2 8" xfId="12395"/>
    <cellStyle name="SAPBEXexcBad7 2 8 2" xfId="12396"/>
    <cellStyle name="SAPBEXexcBad7 2 9" xfId="12397"/>
    <cellStyle name="SAPBEXexcBad7 2 9 2" xfId="12398"/>
    <cellStyle name="SAPBEXexcBad7 3" xfId="12399"/>
    <cellStyle name="SAPBEXexcBad7 3 2" xfId="12400"/>
    <cellStyle name="SAPBEXexcBad7 4" xfId="12401"/>
    <cellStyle name="SAPBEXexcBad7 4 2" xfId="12402"/>
    <cellStyle name="SAPBEXexcBad7 5" xfId="12403"/>
    <cellStyle name="SAPBEXexcBad7 5 2" xfId="12404"/>
    <cellStyle name="SAPBEXexcBad7 6" xfId="12405"/>
    <cellStyle name="SAPBEXexcBad7 6 2" xfId="12406"/>
    <cellStyle name="SAPBEXexcBad7 7" xfId="12407"/>
    <cellStyle name="SAPBEXexcBad7 7 2" xfId="12408"/>
    <cellStyle name="SAPBEXexcBad7 8" xfId="12409"/>
    <cellStyle name="SAPBEXexcBad7 8 2" xfId="12410"/>
    <cellStyle name="SAPBEXexcBad7 9" xfId="12411"/>
    <cellStyle name="SAPBEXexcBad7 9 2" xfId="12412"/>
    <cellStyle name="SAPBEXexcBad8" xfId="12413"/>
    <cellStyle name="SAPBEXexcBad8 10" xfId="12414"/>
    <cellStyle name="SAPBEXexcBad8 10 2" xfId="12415"/>
    <cellStyle name="SAPBEXexcBad8 11" xfId="12416"/>
    <cellStyle name="SAPBEXexcBad8 2" xfId="12417"/>
    <cellStyle name="SAPBEXexcBad8 2 2" xfId="12418"/>
    <cellStyle name="SAPBEXexcBad8 3" xfId="12419"/>
    <cellStyle name="SAPBEXexcBad8 3 2" xfId="12420"/>
    <cellStyle name="SAPBEXexcBad8 4" xfId="12421"/>
    <cellStyle name="SAPBEXexcBad8 4 2" xfId="12422"/>
    <cellStyle name="SAPBEXexcBad8 5" xfId="12423"/>
    <cellStyle name="SAPBEXexcBad8 5 2" xfId="12424"/>
    <cellStyle name="SAPBEXexcBad8 6" xfId="12425"/>
    <cellStyle name="SAPBEXexcBad8 6 2" xfId="12426"/>
    <cellStyle name="SAPBEXexcBad8 7" xfId="12427"/>
    <cellStyle name="SAPBEXexcBad8 7 2" xfId="12428"/>
    <cellStyle name="SAPBEXexcBad8 8" xfId="12429"/>
    <cellStyle name="SAPBEXexcBad8 8 2" xfId="12430"/>
    <cellStyle name="SAPBEXexcBad8 9" xfId="12431"/>
    <cellStyle name="SAPBEXexcBad8 9 2" xfId="12432"/>
    <cellStyle name="SAPBEXexcBad9" xfId="12433"/>
    <cellStyle name="SAPBEXexcBad9 10" xfId="12434"/>
    <cellStyle name="SAPBEXexcBad9 10 2" xfId="12435"/>
    <cellStyle name="SAPBEXexcBad9 11" xfId="12436"/>
    <cellStyle name="SAPBEXexcBad9 2" xfId="12437"/>
    <cellStyle name="SAPBEXexcBad9 2 2" xfId="12438"/>
    <cellStyle name="SAPBEXexcBad9 3" xfId="12439"/>
    <cellStyle name="SAPBEXexcBad9 3 2" xfId="12440"/>
    <cellStyle name="SAPBEXexcBad9 4" xfId="12441"/>
    <cellStyle name="SAPBEXexcBad9 4 2" xfId="12442"/>
    <cellStyle name="SAPBEXexcBad9 5" xfId="12443"/>
    <cellStyle name="SAPBEXexcBad9 5 2" xfId="12444"/>
    <cellStyle name="SAPBEXexcBad9 6" xfId="12445"/>
    <cellStyle name="SAPBEXexcBad9 6 2" xfId="12446"/>
    <cellStyle name="SAPBEXexcBad9 7" xfId="12447"/>
    <cellStyle name="SAPBEXexcBad9 7 2" xfId="12448"/>
    <cellStyle name="SAPBEXexcBad9 8" xfId="12449"/>
    <cellStyle name="SAPBEXexcBad9 8 2" xfId="12450"/>
    <cellStyle name="SAPBEXexcBad9 9" xfId="12451"/>
    <cellStyle name="SAPBEXexcBad9 9 2" xfId="12452"/>
    <cellStyle name="SAPBEXexcCritical4" xfId="12453"/>
    <cellStyle name="SAPBEXexcCritical4 10" xfId="12454"/>
    <cellStyle name="SAPBEXexcCritical4 10 2" xfId="12455"/>
    <cellStyle name="SAPBEXexcCritical4 11" xfId="12456"/>
    <cellStyle name="SAPBEXexcCritical4 11 2" xfId="12457"/>
    <cellStyle name="SAPBEXexcCritical4 12" xfId="12458"/>
    <cellStyle name="SAPBEXexcCritical4 2" xfId="12459"/>
    <cellStyle name="SAPBEXexcCritical4 2 10" xfId="12460"/>
    <cellStyle name="SAPBEXexcCritical4 2 10 2" xfId="12461"/>
    <cellStyle name="SAPBEXexcCritical4 2 11" xfId="12462"/>
    <cellStyle name="SAPBEXexcCritical4 2 2" xfId="12463"/>
    <cellStyle name="SAPBEXexcCritical4 2 2 2" xfId="12464"/>
    <cellStyle name="SAPBEXexcCritical4 2 3" xfId="12465"/>
    <cellStyle name="SAPBEXexcCritical4 2 3 2" xfId="12466"/>
    <cellStyle name="SAPBEXexcCritical4 2 4" xfId="12467"/>
    <cellStyle name="SAPBEXexcCritical4 2 4 2" xfId="12468"/>
    <cellStyle name="SAPBEXexcCritical4 2 5" xfId="12469"/>
    <cellStyle name="SAPBEXexcCritical4 2 5 2" xfId="12470"/>
    <cellStyle name="SAPBEXexcCritical4 2 6" xfId="12471"/>
    <cellStyle name="SAPBEXexcCritical4 2 6 2" xfId="12472"/>
    <cellStyle name="SAPBEXexcCritical4 2 7" xfId="12473"/>
    <cellStyle name="SAPBEXexcCritical4 2 7 2" xfId="12474"/>
    <cellStyle name="SAPBEXexcCritical4 2 8" xfId="12475"/>
    <cellStyle name="SAPBEXexcCritical4 2 8 2" xfId="12476"/>
    <cellStyle name="SAPBEXexcCritical4 2 9" xfId="12477"/>
    <cellStyle name="SAPBEXexcCritical4 2 9 2" xfId="12478"/>
    <cellStyle name="SAPBEXexcCritical4 3" xfId="12479"/>
    <cellStyle name="SAPBEXexcCritical4 3 2" xfId="12480"/>
    <cellStyle name="SAPBEXexcCritical4 4" xfId="12481"/>
    <cellStyle name="SAPBEXexcCritical4 4 2" xfId="12482"/>
    <cellStyle name="SAPBEXexcCritical4 5" xfId="12483"/>
    <cellStyle name="SAPBEXexcCritical4 5 2" xfId="12484"/>
    <cellStyle name="SAPBEXexcCritical4 6" xfId="12485"/>
    <cellStyle name="SAPBEXexcCritical4 6 2" xfId="12486"/>
    <cellStyle name="SAPBEXexcCritical4 7" xfId="12487"/>
    <cellStyle name="SAPBEXexcCritical4 7 2" xfId="12488"/>
    <cellStyle name="SAPBEXexcCritical4 8" xfId="12489"/>
    <cellStyle name="SAPBEXexcCritical4 8 2" xfId="12490"/>
    <cellStyle name="SAPBEXexcCritical4 9" xfId="12491"/>
    <cellStyle name="SAPBEXexcCritical4 9 2" xfId="12492"/>
    <cellStyle name="SAPBEXexcCritical5" xfId="12493"/>
    <cellStyle name="SAPBEXexcCritical5 10" xfId="12494"/>
    <cellStyle name="SAPBEXexcCritical5 10 2" xfId="12495"/>
    <cellStyle name="SAPBEXexcCritical5 11" xfId="12496"/>
    <cellStyle name="SAPBEXexcCritical5 11 2" xfId="12497"/>
    <cellStyle name="SAPBEXexcCritical5 12" xfId="12498"/>
    <cellStyle name="SAPBEXexcCritical5 2" xfId="12499"/>
    <cellStyle name="SAPBEXexcCritical5 2 10" xfId="12500"/>
    <cellStyle name="SAPBEXexcCritical5 2 10 2" xfId="12501"/>
    <cellStyle name="SAPBEXexcCritical5 2 11" xfId="12502"/>
    <cellStyle name="SAPBEXexcCritical5 2 2" xfId="12503"/>
    <cellStyle name="SAPBEXexcCritical5 2 2 2" xfId="12504"/>
    <cellStyle name="SAPBEXexcCritical5 2 3" xfId="12505"/>
    <cellStyle name="SAPBEXexcCritical5 2 3 2" xfId="12506"/>
    <cellStyle name="SAPBEXexcCritical5 2 4" xfId="12507"/>
    <cellStyle name="SAPBEXexcCritical5 2 4 2" xfId="12508"/>
    <cellStyle name="SAPBEXexcCritical5 2 5" xfId="12509"/>
    <cellStyle name="SAPBEXexcCritical5 2 5 2" xfId="12510"/>
    <cellStyle name="SAPBEXexcCritical5 2 6" xfId="12511"/>
    <cellStyle name="SAPBEXexcCritical5 2 6 2" xfId="12512"/>
    <cellStyle name="SAPBEXexcCritical5 2 7" xfId="12513"/>
    <cellStyle name="SAPBEXexcCritical5 2 7 2" xfId="12514"/>
    <cellStyle name="SAPBEXexcCritical5 2 8" xfId="12515"/>
    <cellStyle name="SAPBEXexcCritical5 2 8 2" xfId="12516"/>
    <cellStyle name="SAPBEXexcCritical5 2 9" xfId="12517"/>
    <cellStyle name="SAPBEXexcCritical5 2 9 2" xfId="12518"/>
    <cellStyle name="SAPBEXexcCritical5 3" xfId="12519"/>
    <cellStyle name="SAPBEXexcCritical5 3 2" xfId="12520"/>
    <cellStyle name="SAPBEXexcCritical5 4" xfId="12521"/>
    <cellStyle name="SAPBEXexcCritical5 4 2" xfId="12522"/>
    <cellStyle name="SAPBEXexcCritical5 5" xfId="12523"/>
    <cellStyle name="SAPBEXexcCritical5 5 2" xfId="12524"/>
    <cellStyle name="SAPBEXexcCritical5 6" xfId="12525"/>
    <cellStyle name="SAPBEXexcCritical5 6 2" xfId="12526"/>
    <cellStyle name="SAPBEXexcCritical5 7" xfId="12527"/>
    <cellStyle name="SAPBEXexcCritical5 7 2" xfId="12528"/>
    <cellStyle name="SAPBEXexcCritical5 8" xfId="12529"/>
    <cellStyle name="SAPBEXexcCritical5 8 2" xfId="12530"/>
    <cellStyle name="SAPBEXexcCritical5 9" xfId="12531"/>
    <cellStyle name="SAPBEXexcCritical5 9 2" xfId="12532"/>
    <cellStyle name="SAPBEXexcCritical6" xfId="12533"/>
    <cellStyle name="SAPBEXexcCritical6 10" xfId="12534"/>
    <cellStyle name="SAPBEXexcCritical6 10 2" xfId="12535"/>
    <cellStyle name="SAPBEXexcCritical6 11" xfId="12536"/>
    <cellStyle name="SAPBEXexcCritical6 11 2" xfId="12537"/>
    <cellStyle name="SAPBEXexcCritical6 12" xfId="12538"/>
    <cellStyle name="SAPBEXexcCritical6 2" xfId="12539"/>
    <cellStyle name="SAPBEXexcCritical6 2 10" xfId="12540"/>
    <cellStyle name="SAPBEXexcCritical6 2 10 2" xfId="12541"/>
    <cellStyle name="SAPBEXexcCritical6 2 11" xfId="12542"/>
    <cellStyle name="SAPBEXexcCritical6 2 2" xfId="12543"/>
    <cellStyle name="SAPBEXexcCritical6 2 2 2" xfId="12544"/>
    <cellStyle name="SAPBEXexcCritical6 2 3" xfId="12545"/>
    <cellStyle name="SAPBEXexcCritical6 2 3 2" xfId="12546"/>
    <cellStyle name="SAPBEXexcCritical6 2 4" xfId="12547"/>
    <cellStyle name="SAPBEXexcCritical6 2 4 2" xfId="12548"/>
    <cellStyle name="SAPBEXexcCritical6 2 5" xfId="12549"/>
    <cellStyle name="SAPBEXexcCritical6 2 5 2" xfId="12550"/>
    <cellStyle name="SAPBEXexcCritical6 2 6" xfId="12551"/>
    <cellStyle name="SAPBEXexcCritical6 2 6 2" xfId="12552"/>
    <cellStyle name="SAPBEXexcCritical6 2 7" xfId="12553"/>
    <cellStyle name="SAPBEXexcCritical6 2 7 2" xfId="12554"/>
    <cellStyle name="SAPBEXexcCritical6 2 8" xfId="12555"/>
    <cellStyle name="SAPBEXexcCritical6 2 8 2" xfId="12556"/>
    <cellStyle name="SAPBEXexcCritical6 2 9" xfId="12557"/>
    <cellStyle name="SAPBEXexcCritical6 2 9 2" xfId="12558"/>
    <cellStyle name="SAPBEXexcCritical6 3" xfId="12559"/>
    <cellStyle name="SAPBEXexcCritical6 3 2" xfId="12560"/>
    <cellStyle name="SAPBEXexcCritical6 4" xfId="12561"/>
    <cellStyle name="SAPBEXexcCritical6 4 2" xfId="12562"/>
    <cellStyle name="SAPBEXexcCritical6 5" xfId="12563"/>
    <cellStyle name="SAPBEXexcCritical6 5 2" xfId="12564"/>
    <cellStyle name="SAPBEXexcCritical6 6" xfId="12565"/>
    <cellStyle name="SAPBEXexcCritical6 6 2" xfId="12566"/>
    <cellStyle name="SAPBEXexcCritical6 7" xfId="12567"/>
    <cellStyle name="SAPBEXexcCritical6 7 2" xfId="12568"/>
    <cellStyle name="SAPBEXexcCritical6 8" xfId="12569"/>
    <cellStyle name="SAPBEXexcCritical6 8 2" xfId="12570"/>
    <cellStyle name="SAPBEXexcCritical6 9" xfId="12571"/>
    <cellStyle name="SAPBEXexcCritical6 9 2" xfId="12572"/>
    <cellStyle name="SAPBEXexcGood1" xfId="12573"/>
    <cellStyle name="SAPBEXexcGood1 10" xfId="12574"/>
    <cellStyle name="SAPBEXexcGood1 10 2" xfId="12575"/>
    <cellStyle name="SAPBEXexcGood1 11" xfId="12576"/>
    <cellStyle name="SAPBEXexcGood1 2" xfId="12577"/>
    <cellStyle name="SAPBEXexcGood1 2 2" xfId="12578"/>
    <cellStyle name="SAPBEXexcGood1 3" xfId="12579"/>
    <cellStyle name="SAPBEXexcGood1 3 2" xfId="12580"/>
    <cellStyle name="SAPBEXexcGood1 4" xfId="12581"/>
    <cellStyle name="SAPBEXexcGood1 4 2" xfId="12582"/>
    <cellStyle name="SAPBEXexcGood1 5" xfId="12583"/>
    <cellStyle name="SAPBEXexcGood1 5 2" xfId="12584"/>
    <cellStyle name="SAPBEXexcGood1 6" xfId="12585"/>
    <cellStyle name="SAPBEXexcGood1 6 2" xfId="12586"/>
    <cellStyle name="SAPBEXexcGood1 7" xfId="12587"/>
    <cellStyle name="SAPBEXexcGood1 7 2" xfId="12588"/>
    <cellStyle name="SAPBEXexcGood1 8" xfId="12589"/>
    <cellStyle name="SAPBEXexcGood1 8 2" xfId="12590"/>
    <cellStyle name="SAPBEXexcGood1 9" xfId="12591"/>
    <cellStyle name="SAPBEXexcGood1 9 2" xfId="12592"/>
    <cellStyle name="SAPBEXexcGood2" xfId="12593"/>
    <cellStyle name="SAPBEXexcGood2 10" xfId="12594"/>
    <cellStyle name="SAPBEXexcGood2 10 2" xfId="12595"/>
    <cellStyle name="SAPBEXexcGood2 11" xfId="12596"/>
    <cellStyle name="SAPBEXexcGood2 2" xfId="12597"/>
    <cellStyle name="SAPBEXexcGood2 2 2" xfId="12598"/>
    <cellStyle name="SAPBEXexcGood2 3" xfId="12599"/>
    <cellStyle name="SAPBEXexcGood2 3 2" xfId="12600"/>
    <cellStyle name="SAPBEXexcGood2 4" xfId="12601"/>
    <cellStyle name="SAPBEXexcGood2 4 2" xfId="12602"/>
    <cellStyle name="SAPBEXexcGood2 5" xfId="12603"/>
    <cellStyle name="SAPBEXexcGood2 5 2" xfId="12604"/>
    <cellStyle name="SAPBEXexcGood2 6" xfId="12605"/>
    <cellStyle name="SAPBEXexcGood2 6 2" xfId="12606"/>
    <cellStyle name="SAPBEXexcGood2 7" xfId="12607"/>
    <cellStyle name="SAPBEXexcGood2 7 2" xfId="12608"/>
    <cellStyle name="SAPBEXexcGood2 8" xfId="12609"/>
    <cellStyle name="SAPBEXexcGood2 8 2" xfId="12610"/>
    <cellStyle name="SAPBEXexcGood2 9" xfId="12611"/>
    <cellStyle name="SAPBEXexcGood2 9 2" xfId="12612"/>
    <cellStyle name="SAPBEXexcGood3" xfId="12613"/>
    <cellStyle name="SAPBEXexcGood3 10" xfId="12614"/>
    <cellStyle name="SAPBEXexcGood3 10 2" xfId="12615"/>
    <cellStyle name="SAPBEXexcGood3 11" xfId="12616"/>
    <cellStyle name="SAPBEXexcGood3 11 2" xfId="12617"/>
    <cellStyle name="SAPBEXexcGood3 12" xfId="12618"/>
    <cellStyle name="SAPBEXexcGood3 2" xfId="12619"/>
    <cellStyle name="SAPBEXexcGood3 2 10" xfId="12620"/>
    <cellStyle name="SAPBEXexcGood3 2 10 2" xfId="12621"/>
    <cellStyle name="SAPBEXexcGood3 2 11" xfId="12622"/>
    <cellStyle name="SAPBEXexcGood3 2 2" xfId="12623"/>
    <cellStyle name="SAPBEXexcGood3 2 2 2" xfId="12624"/>
    <cellStyle name="SAPBEXexcGood3 2 3" xfId="12625"/>
    <cellStyle name="SAPBEXexcGood3 2 3 2" xfId="12626"/>
    <cellStyle name="SAPBEXexcGood3 2 4" xfId="12627"/>
    <cellStyle name="SAPBEXexcGood3 2 4 2" xfId="12628"/>
    <cellStyle name="SAPBEXexcGood3 2 5" xfId="12629"/>
    <cellStyle name="SAPBEXexcGood3 2 5 2" xfId="12630"/>
    <cellStyle name="SAPBEXexcGood3 2 6" xfId="12631"/>
    <cellStyle name="SAPBEXexcGood3 2 6 2" xfId="12632"/>
    <cellStyle name="SAPBEXexcGood3 2 7" xfId="12633"/>
    <cellStyle name="SAPBEXexcGood3 2 7 2" xfId="12634"/>
    <cellStyle name="SAPBEXexcGood3 2 8" xfId="12635"/>
    <cellStyle name="SAPBEXexcGood3 2 8 2" xfId="12636"/>
    <cellStyle name="SAPBEXexcGood3 2 9" xfId="12637"/>
    <cellStyle name="SAPBEXexcGood3 2 9 2" xfId="12638"/>
    <cellStyle name="SAPBEXexcGood3 3" xfId="12639"/>
    <cellStyle name="SAPBEXexcGood3 3 2" xfId="12640"/>
    <cellStyle name="SAPBEXexcGood3 4" xfId="12641"/>
    <cellStyle name="SAPBEXexcGood3 4 2" xfId="12642"/>
    <cellStyle name="SAPBEXexcGood3 5" xfId="12643"/>
    <cellStyle name="SAPBEXexcGood3 5 2" xfId="12644"/>
    <cellStyle name="SAPBEXexcGood3 6" xfId="12645"/>
    <cellStyle name="SAPBEXexcGood3 6 2" xfId="12646"/>
    <cellStyle name="SAPBEXexcGood3 7" xfId="12647"/>
    <cellStyle name="SAPBEXexcGood3 7 2" xfId="12648"/>
    <cellStyle name="SAPBEXexcGood3 8" xfId="12649"/>
    <cellStyle name="SAPBEXexcGood3 8 2" xfId="12650"/>
    <cellStyle name="SAPBEXexcGood3 9" xfId="12651"/>
    <cellStyle name="SAPBEXexcGood3 9 2" xfId="12652"/>
    <cellStyle name="SAPBEXfilterDrill" xfId="12653"/>
    <cellStyle name="SAPBEXfilterDrill 2" xfId="12654"/>
    <cellStyle name="SAPBEXfilterItem" xfId="12655"/>
    <cellStyle name="SAPBEXfilterItem 2" xfId="12656"/>
    <cellStyle name="SAPBEXfilterText" xfId="12657"/>
    <cellStyle name="SAPBEXfilterText 2" xfId="12658"/>
    <cellStyle name="SAPBEXformats" xfId="12659"/>
    <cellStyle name="SAPBEXformats 10" xfId="12660"/>
    <cellStyle name="SAPBEXformats 10 2" xfId="12661"/>
    <cellStyle name="SAPBEXformats 11" xfId="12662"/>
    <cellStyle name="SAPBEXformats 11 2" xfId="12663"/>
    <cellStyle name="SAPBEXformats 12" xfId="12664"/>
    <cellStyle name="SAPBEXformats 2" xfId="12665"/>
    <cellStyle name="SAPBEXformats 2 10" xfId="12666"/>
    <cellStyle name="SAPBEXformats 2 10 2" xfId="12667"/>
    <cellStyle name="SAPBEXformats 2 11" xfId="12668"/>
    <cellStyle name="SAPBEXformats 2 2" xfId="12669"/>
    <cellStyle name="SAPBEXformats 2 2 2" xfId="12670"/>
    <cellStyle name="SAPBEXformats 2 3" xfId="12671"/>
    <cellStyle name="SAPBEXformats 2 3 2" xfId="12672"/>
    <cellStyle name="SAPBEXformats 2 4" xfId="12673"/>
    <cellStyle name="SAPBEXformats 2 4 2" xfId="12674"/>
    <cellStyle name="SAPBEXformats 2 5" xfId="12675"/>
    <cellStyle name="SAPBEXformats 2 5 2" xfId="12676"/>
    <cellStyle name="SAPBEXformats 2 6" xfId="12677"/>
    <cellStyle name="SAPBEXformats 2 6 2" xfId="12678"/>
    <cellStyle name="SAPBEXformats 2 7" xfId="12679"/>
    <cellStyle name="SAPBEXformats 2 7 2" xfId="12680"/>
    <cellStyle name="SAPBEXformats 2 8" xfId="12681"/>
    <cellStyle name="SAPBEXformats 2 8 2" xfId="12682"/>
    <cellStyle name="SAPBEXformats 2 9" xfId="12683"/>
    <cellStyle name="SAPBEXformats 2 9 2" xfId="12684"/>
    <cellStyle name="SAPBEXformats 3" xfId="12685"/>
    <cellStyle name="SAPBEXformats 3 2" xfId="12686"/>
    <cellStyle name="SAPBEXformats 4" xfId="12687"/>
    <cellStyle name="SAPBEXformats 4 2" xfId="12688"/>
    <cellStyle name="SAPBEXformats 5" xfId="12689"/>
    <cellStyle name="SAPBEXformats 5 2" xfId="12690"/>
    <cellStyle name="SAPBEXformats 6" xfId="12691"/>
    <cellStyle name="SAPBEXformats 6 2" xfId="12692"/>
    <cellStyle name="SAPBEXformats 7" xfId="12693"/>
    <cellStyle name="SAPBEXformats 7 2" xfId="12694"/>
    <cellStyle name="SAPBEXformats 8" xfId="12695"/>
    <cellStyle name="SAPBEXformats 8 2" xfId="12696"/>
    <cellStyle name="SAPBEXformats 9" xfId="12697"/>
    <cellStyle name="SAPBEXformats 9 2" xfId="12698"/>
    <cellStyle name="SAPBEXheaderItem" xfId="12699"/>
    <cellStyle name="SAPBEXheaderItem 2" xfId="12700"/>
    <cellStyle name="SAPBEXheaderText" xfId="12701"/>
    <cellStyle name="SAPBEXheaderText 2" xfId="12702"/>
    <cellStyle name="SAPBEXHLevel0" xfId="12703"/>
    <cellStyle name="SAPBEXHLevel0 10" xfId="12704"/>
    <cellStyle name="SAPBEXHLevel0 10 2" xfId="12705"/>
    <cellStyle name="SAPBEXHLevel0 11" xfId="12706"/>
    <cellStyle name="SAPBEXHLevel0 11 2" xfId="12707"/>
    <cellStyle name="SAPBEXHLevel0 12" xfId="12708"/>
    <cellStyle name="SAPBEXHLevel0 2" xfId="12709"/>
    <cellStyle name="SAPBEXHLevel0 2 10" xfId="12710"/>
    <cellStyle name="SAPBEXHLevel0 2 10 2" xfId="12711"/>
    <cellStyle name="SAPBEXHLevel0 2 11" xfId="12712"/>
    <cellStyle name="SAPBEXHLevel0 2 2" xfId="12713"/>
    <cellStyle name="SAPBEXHLevel0 2 2 2" xfId="12714"/>
    <cellStyle name="SAPBEXHLevel0 2 3" xfId="12715"/>
    <cellStyle name="SAPBEXHLevel0 2 3 2" xfId="12716"/>
    <cellStyle name="SAPBEXHLevel0 2 4" xfId="12717"/>
    <cellStyle name="SAPBEXHLevel0 2 4 2" xfId="12718"/>
    <cellStyle name="SAPBEXHLevel0 2 5" xfId="12719"/>
    <cellStyle name="SAPBEXHLevel0 2 5 2" xfId="12720"/>
    <cellStyle name="SAPBEXHLevel0 2 6" xfId="12721"/>
    <cellStyle name="SAPBEXHLevel0 2 6 2" xfId="12722"/>
    <cellStyle name="SAPBEXHLevel0 2 7" xfId="12723"/>
    <cellStyle name="SAPBEXHLevel0 2 7 2" xfId="12724"/>
    <cellStyle name="SAPBEXHLevel0 2 8" xfId="12725"/>
    <cellStyle name="SAPBEXHLevel0 2 8 2" xfId="12726"/>
    <cellStyle name="SAPBEXHLevel0 2 9" xfId="12727"/>
    <cellStyle name="SAPBEXHLevel0 2 9 2" xfId="12728"/>
    <cellStyle name="SAPBEXHLevel0 3" xfId="12729"/>
    <cellStyle name="SAPBEXHLevel0 3 2" xfId="12730"/>
    <cellStyle name="SAPBEXHLevel0 4" xfId="12731"/>
    <cellStyle name="SAPBEXHLevel0 4 2" xfId="12732"/>
    <cellStyle name="SAPBEXHLevel0 5" xfId="12733"/>
    <cellStyle name="SAPBEXHLevel0 5 2" xfId="12734"/>
    <cellStyle name="SAPBEXHLevel0 6" xfId="12735"/>
    <cellStyle name="SAPBEXHLevel0 6 2" xfId="12736"/>
    <cellStyle name="SAPBEXHLevel0 7" xfId="12737"/>
    <cellStyle name="SAPBEXHLevel0 7 2" xfId="12738"/>
    <cellStyle name="SAPBEXHLevel0 8" xfId="12739"/>
    <cellStyle name="SAPBEXHLevel0 8 2" xfId="12740"/>
    <cellStyle name="SAPBEXHLevel0 9" xfId="12741"/>
    <cellStyle name="SAPBEXHLevel0 9 2" xfId="12742"/>
    <cellStyle name="SAPBEXHLevel0X" xfId="12743"/>
    <cellStyle name="SAPBEXHLevel0X 10" xfId="12744"/>
    <cellStyle name="SAPBEXHLevel0X 10 2" xfId="12745"/>
    <cellStyle name="SAPBEXHLevel0X 11" xfId="12746"/>
    <cellStyle name="SAPBEXHLevel0X 11 2" xfId="12747"/>
    <cellStyle name="SAPBEXHLevel0X 12" xfId="12748"/>
    <cellStyle name="SAPBEXHLevel0X 2" xfId="12749"/>
    <cellStyle name="SAPBEXHLevel0X 2 10" xfId="12750"/>
    <cellStyle name="SAPBEXHLevel0X 2 10 2" xfId="12751"/>
    <cellStyle name="SAPBEXHLevel0X 2 11" xfId="12752"/>
    <cellStyle name="SAPBEXHLevel0X 2 2" xfId="12753"/>
    <cellStyle name="SAPBEXHLevel0X 2 2 2" xfId="12754"/>
    <cellStyle name="SAPBEXHLevel0X 2 3" xfId="12755"/>
    <cellStyle name="SAPBEXHLevel0X 2 3 2" xfId="12756"/>
    <cellStyle name="SAPBEXHLevel0X 2 4" xfId="12757"/>
    <cellStyle name="SAPBEXHLevel0X 2 4 2" xfId="12758"/>
    <cellStyle name="SAPBEXHLevel0X 2 5" xfId="12759"/>
    <cellStyle name="SAPBEXHLevel0X 2 5 2" xfId="12760"/>
    <cellStyle name="SAPBEXHLevel0X 2 6" xfId="12761"/>
    <cellStyle name="SAPBEXHLevel0X 2 6 2" xfId="12762"/>
    <cellStyle name="SAPBEXHLevel0X 2 7" xfId="12763"/>
    <cellStyle name="SAPBEXHLevel0X 2 7 2" xfId="12764"/>
    <cellStyle name="SAPBEXHLevel0X 2 8" xfId="12765"/>
    <cellStyle name="SAPBEXHLevel0X 2 8 2" xfId="12766"/>
    <cellStyle name="SAPBEXHLevel0X 2 9" xfId="12767"/>
    <cellStyle name="SAPBEXHLevel0X 2 9 2" xfId="12768"/>
    <cellStyle name="SAPBEXHLevel0X 3" xfId="12769"/>
    <cellStyle name="SAPBEXHLevel0X 3 2" xfId="12770"/>
    <cellStyle name="SAPBEXHLevel0X 4" xfId="12771"/>
    <cellStyle name="SAPBEXHLevel0X 4 2" xfId="12772"/>
    <cellStyle name="SAPBEXHLevel0X 5" xfId="12773"/>
    <cellStyle name="SAPBEXHLevel0X 5 2" xfId="12774"/>
    <cellStyle name="SAPBEXHLevel0X 6" xfId="12775"/>
    <cellStyle name="SAPBEXHLevel0X 6 2" xfId="12776"/>
    <cellStyle name="SAPBEXHLevel0X 7" xfId="12777"/>
    <cellStyle name="SAPBEXHLevel0X 7 2" xfId="12778"/>
    <cellStyle name="SAPBEXHLevel0X 8" xfId="12779"/>
    <cellStyle name="SAPBEXHLevel0X 8 2" xfId="12780"/>
    <cellStyle name="SAPBEXHLevel0X 9" xfId="12781"/>
    <cellStyle name="SAPBEXHLevel0X 9 2" xfId="12782"/>
    <cellStyle name="SAPBEXHLevel1" xfId="12783"/>
    <cellStyle name="SAPBEXHLevel1 10" xfId="12784"/>
    <cellStyle name="SAPBEXHLevel1 10 2" xfId="12785"/>
    <cellStyle name="SAPBEXHLevel1 11" xfId="12786"/>
    <cellStyle name="SAPBEXHLevel1 11 2" xfId="12787"/>
    <cellStyle name="SAPBEXHLevel1 12" xfId="12788"/>
    <cellStyle name="SAPBEXHLevel1 2" xfId="12789"/>
    <cellStyle name="SAPBEXHLevel1 2 10" xfId="12790"/>
    <cellStyle name="SAPBEXHLevel1 2 10 2" xfId="12791"/>
    <cellStyle name="SAPBEXHLevel1 2 11" xfId="12792"/>
    <cellStyle name="SAPBEXHLevel1 2 2" xfId="12793"/>
    <cellStyle name="SAPBEXHLevel1 2 2 2" xfId="12794"/>
    <cellStyle name="SAPBEXHLevel1 2 3" xfId="12795"/>
    <cellStyle name="SAPBEXHLevel1 2 3 2" xfId="12796"/>
    <cellStyle name="SAPBEXHLevel1 2 4" xfId="12797"/>
    <cellStyle name="SAPBEXHLevel1 2 4 2" xfId="12798"/>
    <cellStyle name="SAPBEXHLevel1 2 5" xfId="12799"/>
    <cellStyle name="SAPBEXHLevel1 2 5 2" xfId="12800"/>
    <cellStyle name="SAPBEXHLevel1 2 6" xfId="12801"/>
    <cellStyle name="SAPBEXHLevel1 2 6 2" xfId="12802"/>
    <cellStyle name="SAPBEXHLevel1 2 7" xfId="12803"/>
    <cellStyle name="SAPBEXHLevel1 2 7 2" xfId="12804"/>
    <cellStyle name="SAPBEXHLevel1 2 8" xfId="12805"/>
    <cellStyle name="SAPBEXHLevel1 2 8 2" xfId="12806"/>
    <cellStyle name="SAPBEXHLevel1 2 9" xfId="12807"/>
    <cellStyle name="SAPBEXHLevel1 2 9 2" xfId="12808"/>
    <cellStyle name="SAPBEXHLevel1 3" xfId="12809"/>
    <cellStyle name="SAPBEXHLevel1 3 2" xfId="12810"/>
    <cellStyle name="SAPBEXHLevel1 4" xfId="12811"/>
    <cellStyle name="SAPBEXHLevel1 4 2" xfId="12812"/>
    <cellStyle name="SAPBEXHLevel1 5" xfId="12813"/>
    <cellStyle name="SAPBEXHLevel1 5 2" xfId="12814"/>
    <cellStyle name="SAPBEXHLevel1 6" xfId="12815"/>
    <cellStyle name="SAPBEXHLevel1 6 2" xfId="12816"/>
    <cellStyle name="SAPBEXHLevel1 7" xfId="12817"/>
    <cellStyle name="SAPBEXHLevel1 7 2" xfId="12818"/>
    <cellStyle name="SAPBEXHLevel1 8" xfId="12819"/>
    <cellStyle name="SAPBEXHLevel1 8 2" xfId="12820"/>
    <cellStyle name="SAPBEXHLevel1 9" xfId="12821"/>
    <cellStyle name="SAPBEXHLevel1 9 2" xfId="12822"/>
    <cellStyle name="SAPBEXHLevel1X" xfId="12823"/>
    <cellStyle name="SAPBEXHLevel1X 10" xfId="12824"/>
    <cellStyle name="SAPBEXHLevel1X 10 2" xfId="12825"/>
    <cellStyle name="SAPBEXHLevel1X 11" xfId="12826"/>
    <cellStyle name="SAPBEXHLevel1X 11 2" xfId="12827"/>
    <cellStyle name="SAPBEXHLevel1X 12" xfId="12828"/>
    <cellStyle name="SAPBEXHLevel1X 2" xfId="12829"/>
    <cellStyle name="SAPBEXHLevel1X 2 10" xfId="12830"/>
    <cellStyle name="SAPBEXHLevel1X 2 10 2" xfId="12831"/>
    <cellStyle name="SAPBEXHLevel1X 2 11" xfId="12832"/>
    <cellStyle name="SAPBEXHLevel1X 2 2" xfId="12833"/>
    <cellStyle name="SAPBEXHLevel1X 2 2 2" xfId="12834"/>
    <cellStyle name="SAPBEXHLevel1X 2 3" xfId="12835"/>
    <cellStyle name="SAPBEXHLevel1X 2 3 2" xfId="12836"/>
    <cellStyle name="SAPBEXHLevel1X 2 4" xfId="12837"/>
    <cellStyle name="SAPBEXHLevel1X 2 4 2" xfId="12838"/>
    <cellStyle name="SAPBEXHLevel1X 2 5" xfId="12839"/>
    <cellStyle name="SAPBEXHLevel1X 2 5 2" xfId="12840"/>
    <cellStyle name="SAPBEXHLevel1X 2 6" xfId="12841"/>
    <cellStyle name="SAPBEXHLevel1X 2 6 2" xfId="12842"/>
    <cellStyle name="SAPBEXHLevel1X 2 7" xfId="12843"/>
    <cellStyle name="SAPBEXHLevel1X 2 7 2" xfId="12844"/>
    <cellStyle name="SAPBEXHLevel1X 2 8" xfId="12845"/>
    <cellStyle name="SAPBEXHLevel1X 2 8 2" xfId="12846"/>
    <cellStyle name="SAPBEXHLevel1X 2 9" xfId="12847"/>
    <cellStyle name="SAPBEXHLevel1X 2 9 2" xfId="12848"/>
    <cellStyle name="SAPBEXHLevel1X 3" xfId="12849"/>
    <cellStyle name="SAPBEXHLevel1X 3 2" xfId="12850"/>
    <cellStyle name="SAPBEXHLevel1X 4" xfId="12851"/>
    <cellStyle name="SAPBEXHLevel1X 4 2" xfId="12852"/>
    <cellStyle name="SAPBEXHLevel1X 5" xfId="12853"/>
    <cellStyle name="SAPBEXHLevel1X 5 2" xfId="12854"/>
    <cellStyle name="SAPBEXHLevel1X 6" xfId="12855"/>
    <cellStyle name="SAPBEXHLevel1X 6 2" xfId="12856"/>
    <cellStyle name="SAPBEXHLevel1X 7" xfId="12857"/>
    <cellStyle name="SAPBEXHLevel1X 7 2" xfId="12858"/>
    <cellStyle name="SAPBEXHLevel1X 8" xfId="12859"/>
    <cellStyle name="SAPBEXHLevel1X 8 2" xfId="12860"/>
    <cellStyle name="SAPBEXHLevel1X 9" xfId="12861"/>
    <cellStyle name="SAPBEXHLevel1X 9 2" xfId="12862"/>
    <cellStyle name="SAPBEXHLevel2" xfId="12863"/>
    <cellStyle name="SAPBEXHLevel2 10" xfId="12864"/>
    <cellStyle name="SAPBEXHLevel2 10 2" xfId="12865"/>
    <cellStyle name="SAPBEXHLevel2 11" xfId="12866"/>
    <cellStyle name="SAPBEXHLevel2 11 2" xfId="12867"/>
    <cellStyle name="SAPBEXHLevel2 12" xfId="12868"/>
    <cellStyle name="SAPBEXHLevel2 2" xfId="12869"/>
    <cellStyle name="SAPBEXHLevel2 2 10" xfId="12870"/>
    <cellStyle name="SAPBEXHLevel2 2 10 2" xfId="12871"/>
    <cellStyle name="SAPBEXHLevel2 2 11" xfId="12872"/>
    <cellStyle name="SAPBEXHLevel2 2 2" xfId="12873"/>
    <cellStyle name="SAPBEXHLevel2 2 2 2" xfId="12874"/>
    <cellStyle name="SAPBEXHLevel2 2 3" xfId="12875"/>
    <cellStyle name="SAPBEXHLevel2 2 3 2" xfId="12876"/>
    <cellStyle name="SAPBEXHLevel2 2 4" xfId="12877"/>
    <cellStyle name="SAPBEXHLevel2 2 4 2" xfId="12878"/>
    <cellStyle name="SAPBEXHLevel2 2 5" xfId="12879"/>
    <cellStyle name="SAPBEXHLevel2 2 5 2" xfId="12880"/>
    <cellStyle name="SAPBEXHLevel2 2 6" xfId="12881"/>
    <cellStyle name="SAPBEXHLevel2 2 6 2" xfId="12882"/>
    <cellStyle name="SAPBEXHLevel2 2 7" xfId="12883"/>
    <cellStyle name="SAPBEXHLevel2 2 7 2" xfId="12884"/>
    <cellStyle name="SAPBEXHLevel2 2 8" xfId="12885"/>
    <cellStyle name="SAPBEXHLevel2 2 8 2" xfId="12886"/>
    <cellStyle name="SAPBEXHLevel2 2 9" xfId="12887"/>
    <cellStyle name="SAPBEXHLevel2 2 9 2" xfId="12888"/>
    <cellStyle name="SAPBEXHLevel2 3" xfId="12889"/>
    <cellStyle name="SAPBEXHLevel2 3 2" xfId="12890"/>
    <cellStyle name="SAPBEXHLevel2 4" xfId="12891"/>
    <cellStyle name="SAPBEXHLevel2 4 2" xfId="12892"/>
    <cellStyle name="SAPBEXHLevel2 5" xfId="12893"/>
    <cellStyle name="SAPBEXHLevel2 5 2" xfId="12894"/>
    <cellStyle name="SAPBEXHLevel2 6" xfId="12895"/>
    <cellStyle name="SAPBEXHLevel2 6 2" xfId="12896"/>
    <cellStyle name="SAPBEXHLevel2 7" xfId="12897"/>
    <cellStyle name="SAPBEXHLevel2 7 2" xfId="12898"/>
    <cellStyle name="SAPBEXHLevel2 8" xfId="12899"/>
    <cellStyle name="SAPBEXHLevel2 8 2" xfId="12900"/>
    <cellStyle name="SAPBEXHLevel2 9" xfId="12901"/>
    <cellStyle name="SAPBEXHLevel2 9 2" xfId="12902"/>
    <cellStyle name="SAPBEXHLevel2X" xfId="12903"/>
    <cellStyle name="SAPBEXHLevel2X 10" xfId="12904"/>
    <cellStyle name="SAPBEXHLevel2X 10 2" xfId="12905"/>
    <cellStyle name="SAPBEXHLevel2X 11" xfId="12906"/>
    <cellStyle name="SAPBEXHLevel2X 11 2" xfId="12907"/>
    <cellStyle name="SAPBEXHLevel2X 12" xfId="12908"/>
    <cellStyle name="SAPBEXHLevel2X 2" xfId="12909"/>
    <cellStyle name="SAPBEXHLevel2X 2 10" xfId="12910"/>
    <cellStyle name="SAPBEXHLevel2X 2 10 2" xfId="12911"/>
    <cellStyle name="SAPBEXHLevel2X 2 11" xfId="12912"/>
    <cellStyle name="SAPBEXHLevel2X 2 2" xfId="12913"/>
    <cellStyle name="SAPBEXHLevel2X 2 2 2" xfId="12914"/>
    <cellStyle name="SAPBEXHLevel2X 2 3" xfId="12915"/>
    <cellStyle name="SAPBEXHLevel2X 2 3 2" xfId="12916"/>
    <cellStyle name="SAPBEXHLevel2X 2 4" xfId="12917"/>
    <cellStyle name="SAPBEXHLevel2X 2 4 2" xfId="12918"/>
    <cellStyle name="SAPBEXHLevel2X 2 5" xfId="12919"/>
    <cellStyle name="SAPBEXHLevel2X 2 5 2" xfId="12920"/>
    <cellStyle name="SAPBEXHLevel2X 2 6" xfId="12921"/>
    <cellStyle name="SAPBEXHLevel2X 2 6 2" xfId="12922"/>
    <cellStyle name="SAPBEXHLevel2X 2 7" xfId="12923"/>
    <cellStyle name="SAPBEXHLevel2X 2 7 2" xfId="12924"/>
    <cellStyle name="SAPBEXHLevel2X 2 8" xfId="12925"/>
    <cellStyle name="SAPBEXHLevel2X 2 8 2" xfId="12926"/>
    <cellStyle name="SAPBEXHLevel2X 2 9" xfId="12927"/>
    <cellStyle name="SAPBEXHLevel2X 2 9 2" xfId="12928"/>
    <cellStyle name="SAPBEXHLevel2X 3" xfId="12929"/>
    <cellStyle name="SAPBEXHLevel2X 3 2" xfId="12930"/>
    <cellStyle name="SAPBEXHLevel2X 4" xfId="12931"/>
    <cellStyle name="SAPBEXHLevel2X 4 2" xfId="12932"/>
    <cellStyle name="SAPBEXHLevel2X 5" xfId="12933"/>
    <cellStyle name="SAPBEXHLevel2X 5 2" xfId="12934"/>
    <cellStyle name="SAPBEXHLevel2X 6" xfId="12935"/>
    <cellStyle name="SAPBEXHLevel2X 6 2" xfId="12936"/>
    <cellStyle name="SAPBEXHLevel2X 7" xfId="12937"/>
    <cellStyle name="SAPBEXHLevel2X 7 2" xfId="12938"/>
    <cellStyle name="SAPBEXHLevel2X 8" xfId="12939"/>
    <cellStyle name="SAPBEXHLevel2X 8 2" xfId="12940"/>
    <cellStyle name="SAPBEXHLevel2X 9" xfId="12941"/>
    <cellStyle name="SAPBEXHLevel2X 9 2" xfId="12942"/>
    <cellStyle name="SAPBEXHLevel3" xfId="12943"/>
    <cellStyle name="SAPBEXHLevel3 10" xfId="12944"/>
    <cellStyle name="SAPBEXHLevel3 10 2" xfId="12945"/>
    <cellStyle name="SAPBEXHLevel3 11" xfId="12946"/>
    <cellStyle name="SAPBEXHLevel3 11 2" xfId="12947"/>
    <cellStyle name="SAPBEXHLevel3 12" xfId="12948"/>
    <cellStyle name="SAPBEXHLevel3 2" xfId="12949"/>
    <cellStyle name="SAPBEXHLevel3 2 10" xfId="12950"/>
    <cellStyle name="SAPBEXHLevel3 2 10 2" xfId="12951"/>
    <cellStyle name="SAPBEXHLevel3 2 11" xfId="12952"/>
    <cellStyle name="SAPBEXHLevel3 2 2" xfId="12953"/>
    <cellStyle name="SAPBEXHLevel3 2 2 2" xfId="12954"/>
    <cellStyle name="SAPBEXHLevel3 2 3" xfId="12955"/>
    <cellStyle name="SAPBEXHLevel3 2 3 2" xfId="12956"/>
    <cellStyle name="SAPBEXHLevel3 2 4" xfId="12957"/>
    <cellStyle name="SAPBEXHLevel3 2 4 2" xfId="12958"/>
    <cellStyle name="SAPBEXHLevel3 2 5" xfId="12959"/>
    <cellStyle name="SAPBEXHLevel3 2 5 2" xfId="12960"/>
    <cellStyle name="SAPBEXHLevel3 2 6" xfId="12961"/>
    <cellStyle name="SAPBEXHLevel3 2 6 2" xfId="12962"/>
    <cellStyle name="SAPBEXHLevel3 2 7" xfId="12963"/>
    <cellStyle name="SAPBEXHLevel3 2 7 2" xfId="12964"/>
    <cellStyle name="SAPBEXHLevel3 2 8" xfId="12965"/>
    <cellStyle name="SAPBEXHLevel3 2 8 2" xfId="12966"/>
    <cellStyle name="SAPBEXHLevel3 2 9" xfId="12967"/>
    <cellStyle name="SAPBEXHLevel3 2 9 2" xfId="12968"/>
    <cellStyle name="SAPBEXHLevel3 3" xfId="12969"/>
    <cellStyle name="SAPBEXHLevel3 3 2" xfId="12970"/>
    <cellStyle name="SAPBEXHLevel3 4" xfId="12971"/>
    <cellStyle name="SAPBEXHLevel3 4 2" xfId="12972"/>
    <cellStyle name="SAPBEXHLevel3 5" xfId="12973"/>
    <cellStyle name="SAPBEXHLevel3 5 2" xfId="12974"/>
    <cellStyle name="SAPBEXHLevel3 6" xfId="12975"/>
    <cellStyle name="SAPBEXHLevel3 6 2" xfId="12976"/>
    <cellStyle name="SAPBEXHLevel3 7" xfId="12977"/>
    <cellStyle name="SAPBEXHLevel3 7 2" xfId="12978"/>
    <cellStyle name="SAPBEXHLevel3 8" xfId="12979"/>
    <cellStyle name="SAPBEXHLevel3 8 2" xfId="12980"/>
    <cellStyle name="SAPBEXHLevel3 9" xfId="12981"/>
    <cellStyle name="SAPBEXHLevel3 9 2" xfId="12982"/>
    <cellStyle name="SAPBEXHLevel3X" xfId="12983"/>
    <cellStyle name="SAPBEXHLevel3X 10" xfId="12984"/>
    <cellStyle name="SAPBEXHLevel3X 10 2" xfId="12985"/>
    <cellStyle name="SAPBEXHLevel3X 11" xfId="12986"/>
    <cellStyle name="SAPBEXHLevel3X 11 2" xfId="12987"/>
    <cellStyle name="SAPBEXHLevel3X 12" xfId="12988"/>
    <cellStyle name="SAPBEXHLevel3X 2" xfId="12989"/>
    <cellStyle name="SAPBEXHLevel3X 2 10" xfId="12990"/>
    <cellStyle name="SAPBEXHLevel3X 2 10 2" xfId="12991"/>
    <cellStyle name="SAPBEXHLevel3X 2 11" xfId="12992"/>
    <cellStyle name="SAPBEXHLevel3X 2 2" xfId="12993"/>
    <cellStyle name="SAPBEXHLevel3X 2 2 2" xfId="12994"/>
    <cellStyle name="SAPBEXHLevel3X 2 3" xfId="12995"/>
    <cellStyle name="SAPBEXHLevel3X 2 3 2" xfId="12996"/>
    <cellStyle name="SAPBEXHLevel3X 2 4" xfId="12997"/>
    <cellStyle name="SAPBEXHLevel3X 2 4 2" xfId="12998"/>
    <cellStyle name="SAPBEXHLevel3X 2 5" xfId="12999"/>
    <cellStyle name="SAPBEXHLevel3X 2 5 2" xfId="13000"/>
    <cellStyle name="SAPBEXHLevel3X 2 6" xfId="13001"/>
    <cellStyle name="SAPBEXHLevel3X 2 6 2" xfId="13002"/>
    <cellStyle name="SAPBEXHLevel3X 2 7" xfId="13003"/>
    <cellStyle name="SAPBEXHLevel3X 2 7 2" xfId="13004"/>
    <cellStyle name="SAPBEXHLevel3X 2 8" xfId="13005"/>
    <cellStyle name="SAPBEXHLevel3X 2 8 2" xfId="13006"/>
    <cellStyle name="SAPBEXHLevel3X 2 9" xfId="13007"/>
    <cellStyle name="SAPBEXHLevel3X 2 9 2" xfId="13008"/>
    <cellStyle name="SAPBEXHLevel3X 3" xfId="13009"/>
    <cellStyle name="SAPBEXHLevel3X 3 2" xfId="13010"/>
    <cellStyle name="SAPBEXHLevel3X 4" xfId="13011"/>
    <cellStyle name="SAPBEXHLevel3X 4 2" xfId="13012"/>
    <cellStyle name="SAPBEXHLevel3X 5" xfId="13013"/>
    <cellStyle name="SAPBEXHLevel3X 5 2" xfId="13014"/>
    <cellStyle name="SAPBEXHLevel3X 6" xfId="13015"/>
    <cellStyle name="SAPBEXHLevel3X 6 2" xfId="13016"/>
    <cellStyle name="SAPBEXHLevel3X 7" xfId="13017"/>
    <cellStyle name="SAPBEXHLevel3X 7 2" xfId="13018"/>
    <cellStyle name="SAPBEXHLevel3X 8" xfId="13019"/>
    <cellStyle name="SAPBEXHLevel3X 8 2" xfId="13020"/>
    <cellStyle name="SAPBEXHLevel3X 9" xfId="13021"/>
    <cellStyle name="SAPBEXHLevel3X 9 2" xfId="13022"/>
    <cellStyle name="SAPBEXresData" xfId="13023"/>
    <cellStyle name="SAPBEXresData 10" xfId="13024"/>
    <cellStyle name="SAPBEXresData 10 2" xfId="13025"/>
    <cellStyle name="SAPBEXresData 11" xfId="13026"/>
    <cellStyle name="SAPBEXresData 2" xfId="13027"/>
    <cellStyle name="SAPBEXresData 2 2" xfId="13028"/>
    <cellStyle name="SAPBEXresData 3" xfId="13029"/>
    <cellStyle name="SAPBEXresData 3 2" xfId="13030"/>
    <cellStyle name="SAPBEXresData 4" xfId="13031"/>
    <cellStyle name="SAPBEXresData 4 2" xfId="13032"/>
    <cellStyle name="SAPBEXresData 5" xfId="13033"/>
    <cellStyle name="SAPBEXresData 5 2" xfId="13034"/>
    <cellStyle name="SAPBEXresData 6" xfId="13035"/>
    <cellStyle name="SAPBEXresData 6 2" xfId="13036"/>
    <cellStyle name="SAPBEXresData 7" xfId="13037"/>
    <cellStyle name="SAPBEXresData 7 2" xfId="13038"/>
    <cellStyle name="SAPBEXresData 8" xfId="13039"/>
    <cellStyle name="SAPBEXresData 8 2" xfId="13040"/>
    <cellStyle name="SAPBEXresData 9" xfId="13041"/>
    <cellStyle name="SAPBEXresData 9 2" xfId="13042"/>
    <cellStyle name="SAPBEXresDataEmph" xfId="13043"/>
    <cellStyle name="SAPBEXresDataEmph 10" xfId="13044"/>
    <cellStyle name="SAPBEXresDataEmph 10 2" xfId="13045"/>
    <cellStyle name="SAPBEXresDataEmph 11" xfId="13046"/>
    <cellStyle name="SAPBEXresDataEmph 2" xfId="13047"/>
    <cellStyle name="SAPBEXresDataEmph 2 2" xfId="13048"/>
    <cellStyle name="SAPBEXresDataEmph 3" xfId="13049"/>
    <cellStyle name="SAPBEXresDataEmph 3 2" xfId="13050"/>
    <cellStyle name="SAPBEXresDataEmph 4" xfId="13051"/>
    <cellStyle name="SAPBEXresDataEmph 4 2" xfId="13052"/>
    <cellStyle name="SAPBEXresDataEmph 5" xfId="13053"/>
    <cellStyle name="SAPBEXresDataEmph 5 2" xfId="13054"/>
    <cellStyle name="SAPBEXresDataEmph 6" xfId="13055"/>
    <cellStyle name="SAPBEXresDataEmph 6 2" xfId="13056"/>
    <cellStyle name="SAPBEXresDataEmph 7" xfId="13057"/>
    <cellStyle name="SAPBEXresDataEmph 7 2" xfId="13058"/>
    <cellStyle name="SAPBEXresDataEmph 8" xfId="13059"/>
    <cellStyle name="SAPBEXresDataEmph 8 2" xfId="13060"/>
    <cellStyle name="SAPBEXresDataEmph 9" xfId="13061"/>
    <cellStyle name="SAPBEXresDataEmph 9 2" xfId="13062"/>
    <cellStyle name="SAPBEXresItem" xfId="13063"/>
    <cellStyle name="SAPBEXresItem 10" xfId="13064"/>
    <cellStyle name="SAPBEXresItem 10 2" xfId="13065"/>
    <cellStyle name="SAPBEXresItem 11" xfId="13066"/>
    <cellStyle name="SAPBEXresItem 11 2" xfId="13067"/>
    <cellStyle name="SAPBEXresItem 12" xfId="13068"/>
    <cellStyle name="SAPBEXresItem 2" xfId="13069"/>
    <cellStyle name="SAPBEXresItem 2 10" xfId="13070"/>
    <cellStyle name="SAPBEXresItem 2 10 2" xfId="13071"/>
    <cellStyle name="SAPBEXresItem 2 11" xfId="13072"/>
    <cellStyle name="SAPBEXresItem 2 2" xfId="13073"/>
    <cellStyle name="SAPBEXresItem 2 2 2" xfId="13074"/>
    <cellStyle name="SAPBEXresItem 2 3" xfId="13075"/>
    <cellStyle name="SAPBEXresItem 2 3 2" xfId="13076"/>
    <cellStyle name="SAPBEXresItem 2 4" xfId="13077"/>
    <cellStyle name="SAPBEXresItem 2 4 2" xfId="13078"/>
    <cellStyle name="SAPBEXresItem 2 5" xfId="13079"/>
    <cellStyle name="SAPBEXresItem 2 5 2" xfId="13080"/>
    <cellStyle name="SAPBEXresItem 2 6" xfId="13081"/>
    <cellStyle name="SAPBEXresItem 2 6 2" xfId="13082"/>
    <cellStyle name="SAPBEXresItem 2 7" xfId="13083"/>
    <cellStyle name="SAPBEXresItem 2 7 2" xfId="13084"/>
    <cellStyle name="SAPBEXresItem 2 8" xfId="13085"/>
    <cellStyle name="SAPBEXresItem 2 8 2" xfId="13086"/>
    <cellStyle name="SAPBEXresItem 2 9" xfId="13087"/>
    <cellStyle name="SAPBEXresItem 2 9 2" xfId="13088"/>
    <cellStyle name="SAPBEXresItem 3" xfId="13089"/>
    <cellStyle name="SAPBEXresItem 3 2" xfId="13090"/>
    <cellStyle name="SAPBEXresItem 4" xfId="13091"/>
    <cellStyle name="SAPBEXresItem 4 2" xfId="13092"/>
    <cellStyle name="SAPBEXresItem 5" xfId="13093"/>
    <cellStyle name="SAPBEXresItem 5 2" xfId="13094"/>
    <cellStyle name="SAPBEXresItem 6" xfId="13095"/>
    <cellStyle name="SAPBEXresItem 6 2" xfId="13096"/>
    <cellStyle name="SAPBEXresItem 7" xfId="13097"/>
    <cellStyle name="SAPBEXresItem 7 2" xfId="13098"/>
    <cellStyle name="SAPBEXresItem 8" xfId="13099"/>
    <cellStyle name="SAPBEXresItem 8 2" xfId="13100"/>
    <cellStyle name="SAPBEXresItem 9" xfId="13101"/>
    <cellStyle name="SAPBEXresItem 9 2" xfId="13102"/>
    <cellStyle name="SAPBEXresItemX" xfId="13103"/>
    <cellStyle name="SAPBEXresItemX 10" xfId="13104"/>
    <cellStyle name="SAPBEXresItemX 10 2" xfId="13105"/>
    <cellStyle name="SAPBEXresItemX 11" xfId="13106"/>
    <cellStyle name="SAPBEXresItemX 11 2" xfId="13107"/>
    <cellStyle name="SAPBEXresItemX 12" xfId="13108"/>
    <cellStyle name="SAPBEXresItemX 2" xfId="13109"/>
    <cellStyle name="SAPBEXresItemX 2 10" xfId="13110"/>
    <cellStyle name="SAPBEXresItemX 2 10 2" xfId="13111"/>
    <cellStyle name="SAPBEXresItemX 2 11" xfId="13112"/>
    <cellStyle name="SAPBEXresItemX 2 2" xfId="13113"/>
    <cellStyle name="SAPBEXresItemX 2 2 2" xfId="13114"/>
    <cellStyle name="SAPBEXresItemX 2 3" xfId="13115"/>
    <cellStyle name="SAPBEXresItemX 2 3 2" xfId="13116"/>
    <cellStyle name="SAPBEXresItemX 2 4" xfId="13117"/>
    <cellStyle name="SAPBEXresItemX 2 4 2" xfId="13118"/>
    <cellStyle name="SAPBEXresItemX 2 5" xfId="13119"/>
    <cellStyle name="SAPBEXresItemX 2 5 2" xfId="13120"/>
    <cellStyle name="SAPBEXresItemX 2 6" xfId="13121"/>
    <cellStyle name="SAPBEXresItemX 2 6 2" xfId="13122"/>
    <cellStyle name="SAPBEXresItemX 2 7" xfId="13123"/>
    <cellStyle name="SAPBEXresItemX 2 7 2" xfId="13124"/>
    <cellStyle name="SAPBEXresItemX 2 8" xfId="13125"/>
    <cellStyle name="SAPBEXresItemX 2 8 2" xfId="13126"/>
    <cellStyle name="SAPBEXresItemX 2 9" xfId="13127"/>
    <cellStyle name="SAPBEXresItemX 2 9 2" xfId="13128"/>
    <cellStyle name="SAPBEXresItemX 3" xfId="13129"/>
    <cellStyle name="SAPBEXresItemX 3 2" xfId="13130"/>
    <cellStyle name="SAPBEXresItemX 4" xfId="13131"/>
    <cellStyle name="SAPBEXresItemX 4 2" xfId="13132"/>
    <cellStyle name="SAPBEXresItemX 5" xfId="13133"/>
    <cellStyle name="SAPBEXresItemX 5 2" xfId="13134"/>
    <cellStyle name="SAPBEXresItemX 6" xfId="13135"/>
    <cellStyle name="SAPBEXresItemX 6 2" xfId="13136"/>
    <cellStyle name="SAPBEXresItemX 7" xfId="13137"/>
    <cellStyle name="SAPBEXresItemX 7 2" xfId="13138"/>
    <cellStyle name="SAPBEXresItemX 8" xfId="13139"/>
    <cellStyle name="SAPBEXresItemX 8 2" xfId="13140"/>
    <cellStyle name="SAPBEXresItemX 9" xfId="13141"/>
    <cellStyle name="SAPBEXresItemX 9 2" xfId="13142"/>
    <cellStyle name="SAPBEXstdData" xfId="13143"/>
    <cellStyle name="SAPBEXstdData 10" xfId="13144"/>
    <cellStyle name="SAPBEXstdData 10 2" xfId="13145"/>
    <cellStyle name="SAPBEXstdData 11" xfId="13146"/>
    <cellStyle name="SAPBEXstdData 11 2" xfId="13147"/>
    <cellStyle name="SAPBEXstdData 12" xfId="13148"/>
    <cellStyle name="SAPBEXstdData 2" xfId="13149"/>
    <cellStyle name="SAPBEXstdData 2 10" xfId="13150"/>
    <cellStyle name="SAPBEXstdData 2 10 2" xfId="13151"/>
    <cellStyle name="SAPBEXstdData 2 11" xfId="13152"/>
    <cellStyle name="SAPBEXstdData 2 2" xfId="13153"/>
    <cellStyle name="SAPBEXstdData 2 2 2" xfId="13154"/>
    <cellStyle name="SAPBEXstdData 2 3" xfId="13155"/>
    <cellStyle name="SAPBEXstdData 2 3 2" xfId="13156"/>
    <cellStyle name="SAPBEXstdData 2 4" xfId="13157"/>
    <cellStyle name="SAPBEXstdData 2 4 2" xfId="13158"/>
    <cellStyle name="SAPBEXstdData 2 5" xfId="13159"/>
    <cellStyle name="SAPBEXstdData 2 5 2" xfId="13160"/>
    <cellStyle name="SAPBEXstdData 2 6" xfId="13161"/>
    <cellStyle name="SAPBEXstdData 2 6 2" xfId="13162"/>
    <cellStyle name="SAPBEXstdData 2 7" xfId="13163"/>
    <cellStyle name="SAPBEXstdData 2 7 2" xfId="13164"/>
    <cellStyle name="SAPBEXstdData 2 8" xfId="13165"/>
    <cellStyle name="SAPBEXstdData 2 8 2" xfId="13166"/>
    <cellStyle name="SAPBEXstdData 2 9" xfId="13167"/>
    <cellStyle name="SAPBEXstdData 2 9 2" xfId="13168"/>
    <cellStyle name="SAPBEXstdData 3" xfId="13169"/>
    <cellStyle name="SAPBEXstdData 3 2" xfId="13170"/>
    <cellStyle name="SAPBEXstdData 4" xfId="13171"/>
    <cellStyle name="SAPBEXstdData 4 2" xfId="13172"/>
    <cellStyle name="SAPBEXstdData 5" xfId="13173"/>
    <cellStyle name="SAPBEXstdData 5 2" xfId="13174"/>
    <cellStyle name="SAPBEXstdData 6" xfId="13175"/>
    <cellStyle name="SAPBEXstdData 6 2" xfId="13176"/>
    <cellStyle name="SAPBEXstdData 7" xfId="13177"/>
    <cellStyle name="SAPBEXstdData 7 2" xfId="13178"/>
    <cellStyle name="SAPBEXstdData 8" xfId="13179"/>
    <cellStyle name="SAPBEXstdData 8 2" xfId="13180"/>
    <cellStyle name="SAPBEXstdData 9" xfId="13181"/>
    <cellStyle name="SAPBEXstdData 9 2" xfId="13182"/>
    <cellStyle name="SAPBEXstdDataEmph" xfId="13183"/>
    <cellStyle name="SAPBEXstdDataEmph 10" xfId="13184"/>
    <cellStyle name="SAPBEXstdDataEmph 10 2" xfId="13185"/>
    <cellStyle name="SAPBEXstdDataEmph 11" xfId="13186"/>
    <cellStyle name="SAPBEXstdDataEmph 11 2" xfId="13187"/>
    <cellStyle name="SAPBEXstdDataEmph 12" xfId="13188"/>
    <cellStyle name="SAPBEXstdDataEmph 2" xfId="13189"/>
    <cellStyle name="SAPBEXstdDataEmph 2 10" xfId="13190"/>
    <cellStyle name="SAPBEXstdDataEmph 2 10 2" xfId="13191"/>
    <cellStyle name="SAPBEXstdDataEmph 2 11" xfId="13192"/>
    <cellStyle name="SAPBEXstdDataEmph 2 2" xfId="13193"/>
    <cellStyle name="SAPBEXstdDataEmph 2 2 2" xfId="13194"/>
    <cellStyle name="SAPBEXstdDataEmph 2 3" xfId="13195"/>
    <cellStyle name="SAPBEXstdDataEmph 2 3 2" xfId="13196"/>
    <cellStyle name="SAPBEXstdDataEmph 2 4" xfId="13197"/>
    <cellStyle name="SAPBEXstdDataEmph 2 4 2" xfId="13198"/>
    <cellStyle name="SAPBEXstdDataEmph 2 5" xfId="13199"/>
    <cellStyle name="SAPBEXstdDataEmph 2 5 2" xfId="13200"/>
    <cellStyle name="SAPBEXstdDataEmph 2 6" xfId="13201"/>
    <cellStyle name="SAPBEXstdDataEmph 2 6 2" xfId="13202"/>
    <cellStyle name="SAPBEXstdDataEmph 2 7" xfId="13203"/>
    <cellStyle name="SAPBEXstdDataEmph 2 7 2" xfId="13204"/>
    <cellStyle name="SAPBEXstdDataEmph 2 8" xfId="13205"/>
    <cellStyle name="SAPBEXstdDataEmph 2 8 2" xfId="13206"/>
    <cellStyle name="SAPBEXstdDataEmph 2 9" xfId="13207"/>
    <cellStyle name="SAPBEXstdDataEmph 2 9 2" xfId="13208"/>
    <cellStyle name="SAPBEXstdDataEmph 3" xfId="13209"/>
    <cellStyle name="SAPBEXstdDataEmph 3 2" xfId="13210"/>
    <cellStyle name="SAPBEXstdDataEmph 4" xfId="13211"/>
    <cellStyle name="SAPBEXstdDataEmph 4 2" xfId="13212"/>
    <cellStyle name="SAPBEXstdDataEmph 5" xfId="13213"/>
    <cellStyle name="SAPBEXstdDataEmph 5 2" xfId="13214"/>
    <cellStyle name="SAPBEXstdDataEmph 6" xfId="13215"/>
    <cellStyle name="SAPBEXstdDataEmph 6 2" xfId="13216"/>
    <cellStyle name="SAPBEXstdDataEmph 7" xfId="13217"/>
    <cellStyle name="SAPBEXstdDataEmph 7 2" xfId="13218"/>
    <cellStyle name="SAPBEXstdDataEmph 8" xfId="13219"/>
    <cellStyle name="SAPBEXstdDataEmph 8 2" xfId="13220"/>
    <cellStyle name="SAPBEXstdDataEmph 9" xfId="13221"/>
    <cellStyle name="SAPBEXstdDataEmph 9 2" xfId="13222"/>
    <cellStyle name="SAPBEXstdItem" xfId="13223"/>
    <cellStyle name="SAPBEXstdItem 10" xfId="13224"/>
    <cellStyle name="SAPBEXstdItem 10 2" xfId="13225"/>
    <cellStyle name="SAPBEXstdItem 11" xfId="13226"/>
    <cellStyle name="SAPBEXstdItem 11 2" xfId="13227"/>
    <cellStyle name="SAPBEXstdItem 12" xfId="13228"/>
    <cellStyle name="SAPBEXstdItem 2" xfId="13229"/>
    <cellStyle name="SAPBEXstdItem 2 10" xfId="13230"/>
    <cellStyle name="SAPBEXstdItem 2 10 2" xfId="13231"/>
    <cellStyle name="SAPBEXstdItem 2 11" xfId="13232"/>
    <cellStyle name="SAPBEXstdItem 2 2" xfId="13233"/>
    <cellStyle name="SAPBEXstdItem 2 2 2" xfId="13234"/>
    <cellStyle name="SAPBEXstdItem 2 3" xfId="13235"/>
    <cellStyle name="SAPBEXstdItem 2 3 2" xfId="13236"/>
    <cellStyle name="SAPBEXstdItem 2 4" xfId="13237"/>
    <cellStyle name="SAPBEXstdItem 2 4 2" xfId="13238"/>
    <cellStyle name="SAPBEXstdItem 2 5" xfId="13239"/>
    <cellStyle name="SAPBEXstdItem 2 5 2" xfId="13240"/>
    <cellStyle name="SAPBEXstdItem 2 6" xfId="13241"/>
    <cellStyle name="SAPBEXstdItem 2 6 2" xfId="13242"/>
    <cellStyle name="SAPBEXstdItem 2 7" xfId="13243"/>
    <cellStyle name="SAPBEXstdItem 2 7 2" xfId="13244"/>
    <cellStyle name="SAPBEXstdItem 2 8" xfId="13245"/>
    <cellStyle name="SAPBEXstdItem 2 8 2" xfId="13246"/>
    <cellStyle name="SAPBEXstdItem 2 9" xfId="13247"/>
    <cellStyle name="SAPBEXstdItem 2 9 2" xfId="13248"/>
    <cellStyle name="SAPBEXstdItem 3" xfId="13249"/>
    <cellStyle name="SAPBEXstdItem 3 2" xfId="13250"/>
    <cellStyle name="SAPBEXstdItem 4" xfId="13251"/>
    <cellStyle name="SAPBEXstdItem 4 2" xfId="13252"/>
    <cellStyle name="SAPBEXstdItem 5" xfId="13253"/>
    <cellStyle name="SAPBEXstdItem 5 2" xfId="13254"/>
    <cellStyle name="SAPBEXstdItem 6" xfId="13255"/>
    <cellStyle name="SAPBEXstdItem 6 2" xfId="13256"/>
    <cellStyle name="SAPBEXstdItem 7" xfId="13257"/>
    <cellStyle name="SAPBEXstdItem 7 2" xfId="13258"/>
    <cellStyle name="SAPBEXstdItem 8" xfId="13259"/>
    <cellStyle name="SAPBEXstdItem 8 2" xfId="13260"/>
    <cellStyle name="SAPBEXstdItem 9" xfId="13261"/>
    <cellStyle name="SAPBEXstdItem 9 2" xfId="13262"/>
    <cellStyle name="SAPBEXstdItemX" xfId="13263"/>
    <cellStyle name="SAPBEXstdItemX 10" xfId="13264"/>
    <cellStyle name="SAPBEXstdItemX 10 2" xfId="13265"/>
    <cellStyle name="SAPBEXstdItemX 11" xfId="13266"/>
    <cellStyle name="SAPBEXstdItemX 11 2" xfId="13267"/>
    <cellStyle name="SAPBEXstdItemX 12" xfId="13268"/>
    <cellStyle name="SAPBEXstdItemX 2" xfId="13269"/>
    <cellStyle name="SAPBEXstdItemX 2 10" xfId="13270"/>
    <cellStyle name="SAPBEXstdItemX 2 10 2" xfId="13271"/>
    <cellStyle name="SAPBEXstdItemX 2 11" xfId="13272"/>
    <cellStyle name="SAPBEXstdItemX 2 2" xfId="13273"/>
    <cellStyle name="SAPBEXstdItemX 2 2 2" xfId="13274"/>
    <cellStyle name="SAPBEXstdItemX 2 3" xfId="13275"/>
    <cellStyle name="SAPBEXstdItemX 2 3 2" xfId="13276"/>
    <cellStyle name="SAPBEXstdItemX 2 4" xfId="13277"/>
    <cellStyle name="SAPBEXstdItemX 2 4 2" xfId="13278"/>
    <cellStyle name="SAPBEXstdItemX 2 5" xfId="13279"/>
    <cellStyle name="SAPBEXstdItemX 2 5 2" xfId="13280"/>
    <cellStyle name="SAPBEXstdItemX 2 6" xfId="13281"/>
    <cellStyle name="SAPBEXstdItemX 2 6 2" xfId="13282"/>
    <cellStyle name="SAPBEXstdItemX 2 7" xfId="13283"/>
    <cellStyle name="SAPBEXstdItemX 2 7 2" xfId="13284"/>
    <cellStyle name="SAPBEXstdItemX 2 8" xfId="13285"/>
    <cellStyle name="SAPBEXstdItemX 2 8 2" xfId="13286"/>
    <cellStyle name="SAPBEXstdItemX 2 9" xfId="13287"/>
    <cellStyle name="SAPBEXstdItemX 2 9 2" xfId="13288"/>
    <cellStyle name="SAPBEXstdItemX 3" xfId="13289"/>
    <cellStyle name="SAPBEXstdItemX 3 2" xfId="13290"/>
    <cellStyle name="SAPBEXstdItemX 4" xfId="13291"/>
    <cellStyle name="SAPBEXstdItemX 4 2" xfId="13292"/>
    <cellStyle name="SAPBEXstdItemX 5" xfId="13293"/>
    <cellStyle name="SAPBEXstdItemX 5 2" xfId="13294"/>
    <cellStyle name="SAPBEXstdItemX 6" xfId="13295"/>
    <cellStyle name="SAPBEXstdItemX 6 2" xfId="13296"/>
    <cellStyle name="SAPBEXstdItemX 7" xfId="13297"/>
    <cellStyle name="SAPBEXstdItemX 7 2" xfId="13298"/>
    <cellStyle name="SAPBEXstdItemX 8" xfId="13299"/>
    <cellStyle name="SAPBEXstdItemX 8 2" xfId="13300"/>
    <cellStyle name="SAPBEXstdItemX 9" xfId="13301"/>
    <cellStyle name="SAPBEXstdItemX 9 2" xfId="13302"/>
    <cellStyle name="SAPBEXtitle" xfId="13303"/>
    <cellStyle name="SAPBEXundefined" xfId="13304"/>
    <cellStyle name="SAPBEXundefined 10" xfId="13305"/>
    <cellStyle name="SAPBEXundefined 10 2" xfId="13306"/>
    <cellStyle name="SAPBEXundefined 11" xfId="13307"/>
    <cellStyle name="SAPBEXundefined 11 2" xfId="13308"/>
    <cellStyle name="SAPBEXundefined 12" xfId="13309"/>
    <cellStyle name="SAPBEXundefined 2" xfId="13310"/>
    <cellStyle name="SAPBEXundefined 2 10" xfId="13311"/>
    <cellStyle name="SAPBEXundefined 2 10 2" xfId="13312"/>
    <cellStyle name="SAPBEXundefined 2 11" xfId="13313"/>
    <cellStyle name="SAPBEXundefined 2 2" xfId="13314"/>
    <cellStyle name="SAPBEXundefined 2 2 2" xfId="13315"/>
    <cellStyle name="SAPBEXundefined 2 3" xfId="13316"/>
    <cellStyle name="SAPBEXundefined 2 3 2" xfId="13317"/>
    <cellStyle name="SAPBEXundefined 2 4" xfId="13318"/>
    <cellStyle name="SAPBEXundefined 2 4 2" xfId="13319"/>
    <cellStyle name="SAPBEXundefined 2 5" xfId="13320"/>
    <cellStyle name="SAPBEXundefined 2 5 2" xfId="13321"/>
    <cellStyle name="SAPBEXundefined 2 6" xfId="13322"/>
    <cellStyle name="SAPBEXundefined 2 6 2" xfId="13323"/>
    <cellStyle name="SAPBEXundefined 2 7" xfId="13324"/>
    <cellStyle name="SAPBEXundefined 2 7 2" xfId="13325"/>
    <cellStyle name="SAPBEXundefined 2 8" xfId="13326"/>
    <cellStyle name="SAPBEXundefined 2 8 2" xfId="13327"/>
    <cellStyle name="SAPBEXundefined 2 9" xfId="13328"/>
    <cellStyle name="SAPBEXundefined 2 9 2" xfId="13329"/>
    <cellStyle name="SAPBEXundefined 3" xfId="13330"/>
    <cellStyle name="SAPBEXundefined 3 2" xfId="13331"/>
    <cellStyle name="SAPBEXundefined 4" xfId="13332"/>
    <cellStyle name="SAPBEXundefined 4 2" xfId="13333"/>
    <cellStyle name="SAPBEXundefined 5" xfId="13334"/>
    <cellStyle name="SAPBEXundefined 5 2" xfId="13335"/>
    <cellStyle name="SAPBEXundefined 6" xfId="13336"/>
    <cellStyle name="SAPBEXundefined 6 2" xfId="13337"/>
    <cellStyle name="SAPBEXundefined 7" xfId="13338"/>
    <cellStyle name="SAPBEXundefined 7 2" xfId="13339"/>
    <cellStyle name="SAPBEXundefined 8" xfId="13340"/>
    <cellStyle name="SAPBEXundefined 8 2" xfId="13341"/>
    <cellStyle name="SAPBEXundefined 9" xfId="13342"/>
    <cellStyle name="SAPBEXundefined 9 2" xfId="13343"/>
    <cellStyle name="SAPDataCell" xfId="13344"/>
    <cellStyle name="SAPDataTotalCell" xfId="13345"/>
    <cellStyle name="SAPDimensionCell" xfId="13346"/>
    <cellStyle name="SAPEmphasized" xfId="13347"/>
    <cellStyle name="SAPHierarchyCell0" xfId="13348"/>
    <cellStyle name="SAPHierarchyCell1" xfId="13349"/>
    <cellStyle name="SAPHierarchyCell2" xfId="13350"/>
    <cellStyle name="SAPHierarchyCell3" xfId="13351"/>
    <cellStyle name="SAPHierarchyCell4" xfId="13352"/>
    <cellStyle name="SAPLocked" xfId="13353"/>
    <cellStyle name="SAPLocked 10" xfId="13354"/>
    <cellStyle name="SAPLocked 10 10" xfId="13355"/>
    <cellStyle name="SAPLocked 10 10 2" xfId="13356"/>
    <cellStyle name="SAPLocked 10 11" xfId="13357"/>
    <cellStyle name="SAPLocked 10 11 2" xfId="13358"/>
    <cellStyle name="SAPLocked 10 12" xfId="13359"/>
    <cellStyle name="SAPLocked 10 12 2" xfId="13360"/>
    <cellStyle name="SAPLocked 10 13" xfId="13361"/>
    <cellStyle name="SAPLocked 10 2" xfId="13362"/>
    <cellStyle name="SAPLocked 10 2 10" xfId="13363"/>
    <cellStyle name="SAPLocked 10 2 10 2" xfId="13364"/>
    <cellStyle name="SAPLocked 10 2 11" xfId="13365"/>
    <cellStyle name="SAPLocked 10 2 11 2" xfId="13366"/>
    <cellStyle name="SAPLocked 10 2 12" xfId="13367"/>
    <cellStyle name="SAPLocked 10 2 2" xfId="13368"/>
    <cellStyle name="SAPLocked 10 2 2 2" xfId="13369"/>
    <cellStyle name="SAPLocked 10 2 3" xfId="13370"/>
    <cellStyle name="SAPLocked 10 2 3 2" xfId="13371"/>
    <cellStyle name="SAPLocked 10 2 4" xfId="13372"/>
    <cellStyle name="SAPLocked 10 2 4 2" xfId="13373"/>
    <cellStyle name="SAPLocked 10 2 5" xfId="13374"/>
    <cellStyle name="SAPLocked 10 2 5 2" xfId="13375"/>
    <cellStyle name="SAPLocked 10 2 6" xfId="13376"/>
    <cellStyle name="SAPLocked 10 2 6 2" xfId="13377"/>
    <cellStyle name="SAPLocked 10 2 7" xfId="13378"/>
    <cellStyle name="SAPLocked 10 2 7 2" xfId="13379"/>
    <cellStyle name="SAPLocked 10 2 8" xfId="13380"/>
    <cellStyle name="SAPLocked 10 2 8 2" xfId="13381"/>
    <cellStyle name="SAPLocked 10 2 9" xfId="13382"/>
    <cellStyle name="SAPLocked 10 2 9 2" xfId="13383"/>
    <cellStyle name="SAPLocked 10 3" xfId="13384"/>
    <cellStyle name="SAPLocked 10 3 2" xfId="13385"/>
    <cellStyle name="SAPLocked 10 4" xfId="13386"/>
    <cellStyle name="SAPLocked 10 4 2" xfId="13387"/>
    <cellStyle name="SAPLocked 10 5" xfId="13388"/>
    <cellStyle name="SAPLocked 10 5 2" xfId="13389"/>
    <cellStyle name="SAPLocked 10 6" xfId="13390"/>
    <cellStyle name="SAPLocked 10 6 2" xfId="13391"/>
    <cellStyle name="SAPLocked 10 7" xfId="13392"/>
    <cellStyle name="SAPLocked 10 7 2" xfId="13393"/>
    <cellStyle name="SAPLocked 10 8" xfId="13394"/>
    <cellStyle name="SAPLocked 10 8 2" xfId="13395"/>
    <cellStyle name="SAPLocked 10 9" xfId="13396"/>
    <cellStyle name="SAPLocked 10 9 2" xfId="13397"/>
    <cellStyle name="SAPLocked 11" xfId="13398"/>
    <cellStyle name="SAPLocked 11 10" xfId="13399"/>
    <cellStyle name="SAPLocked 11 10 2" xfId="13400"/>
    <cellStyle name="SAPLocked 11 11" xfId="13401"/>
    <cellStyle name="SAPLocked 11 11 2" xfId="13402"/>
    <cellStyle name="SAPLocked 11 12" xfId="13403"/>
    <cellStyle name="SAPLocked 11 12 2" xfId="13404"/>
    <cellStyle name="SAPLocked 11 13" xfId="13405"/>
    <cellStyle name="SAPLocked 11 2" xfId="13406"/>
    <cellStyle name="SAPLocked 11 2 10" xfId="13407"/>
    <cellStyle name="SAPLocked 11 2 10 2" xfId="13408"/>
    <cellStyle name="SAPLocked 11 2 11" xfId="13409"/>
    <cellStyle name="SAPLocked 11 2 11 2" xfId="13410"/>
    <cellStyle name="SAPLocked 11 2 12" xfId="13411"/>
    <cellStyle name="SAPLocked 11 2 2" xfId="13412"/>
    <cellStyle name="SAPLocked 11 2 2 2" xfId="13413"/>
    <cellStyle name="SAPLocked 11 2 3" xfId="13414"/>
    <cellStyle name="SAPLocked 11 2 3 2" xfId="13415"/>
    <cellStyle name="SAPLocked 11 2 4" xfId="13416"/>
    <cellStyle name="SAPLocked 11 2 4 2" xfId="13417"/>
    <cellStyle name="SAPLocked 11 2 5" xfId="13418"/>
    <cellStyle name="SAPLocked 11 2 5 2" xfId="13419"/>
    <cellStyle name="SAPLocked 11 2 6" xfId="13420"/>
    <cellStyle name="SAPLocked 11 2 6 2" xfId="13421"/>
    <cellStyle name="SAPLocked 11 2 7" xfId="13422"/>
    <cellStyle name="SAPLocked 11 2 7 2" xfId="13423"/>
    <cellStyle name="SAPLocked 11 2 8" xfId="13424"/>
    <cellStyle name="SAPLocked 11 2 8 2" xfId="13425"/>
    <cellStyle name="SAPLocked 11 2 9" xfId="13426"/>
    <cellStyle name="SAPLocked 11 2 9 2" xfId="13427"/>
    <cellStyle name="SAPLocked 11 3" xfId="13428"/>
    <cellStyle name="SAPLocked 11 3 2" xfId="13429"/>
    <cellStyle name="SAPLocked 11 4" xfId="13430"/>
    <cellStyle name="SAPLocked 11 4 2" xfId="13431"/>
    <cellStyle name="SAPLocked 11 5" xfId="13432"/>
    <cellStyle name="SAPLocked 11 5 2" xfId="13433"/>
    <cellStyle name="SAPLocked 11 6" xfId="13434"/>
    <cellStyle name="SAPLocked 11 6 2" xfId="13435"/>
    <cellStyle name="SAPLocked 11 7" xfId="13436"/>
    <cellStyle name="SAPLocked 11 7 2" xfId="13437"/>
    <cellStyle name="SAPLocked 11 8" xfId="13438"/>
    <cellStyle name="SAPLocked 11 8 2" xfId="13439"/>
    <cellStyle name="SAPLocked 11 9" xfId="13440"/>
    <cellStyle name="SAPLocked 11 9 2" xfId="13441"/>
    <cellStyle name="SAPLocked 12" xfId="13442"/>
    <cellStyle name="SAPLocked 12 10" xfId="13443"/>
    <cellStyle name="SAPLocked 12 10 2" xfId="13444"/>
    <cellStyle name="SAPLocked 12 11" xfId="13445"/>
    <cellStyle name="SAPLocked 12 11 2" xfId="13446"/>
    <cellStyle name="SAPLocked 12 12" xfId="13447"/>
    <cellStyle name="SAPLocked 12 12 2" xfId="13448"/>
    <cellStyle name="SAPLocked 12 13" xfId="13449"/>
    <cellStyle name="SAPLocked 12 2" xfId="13450"/>
    <cellStyle name="SAPLocked 12 2 10" xfId="13451"/>
    <cellStyle name="SAPLocked 12 2 10 2" xfId="13452"/>
    <cellStyle name="SAPLocked 12 2 11" xfId="13453"/>
    <cellStyle name="SAPLocked 12 2 11 2" xfId="13454"/>
    <cellStyle name="SAPLocked 12 2 12" xfId="13455"/>
    <cellStyle name="SAPLocked 12 2 2" xfId="13456"/>
    <cellStyle name="SAPLocked 12 2 2 2" xfId="13457"/>
    <cellStyle name="SAPLocked 12 2 3" xfId="13458"/>
    <cellStyle name="SAPLocked 12 2 3 2" xfId="13459"/>
    <cellStyle name="SAPLocked 12 2 4" xfId="13460"/>
    <cellStyle name="SAPLocked 12 2 4 2" xfId="13461"/>
    <cellStyle name="SAPLocked 12 2 5" xfId="13462"/>
    <cellStyle name="SAPLocked 12 2 5 2" xfId="13463"/>
    <cellStyle name="SAPLocked 12 2 6" xfId="13464"/>
    <cellStyle name="SAPLocked 12 2 6 2" xfId="13465"/>
    <cellStyle name="SAPLocked 12 2 7" xfId="13466"/>
    <cellStyle name="SAPLocked 12 2 7 2" xfId="13467"/>
    <cellStyle name="SAPLocked 12 2 8" xfId="13468"/>
    <cellStyle name="SAPLocked 12 2 8 2" xfId="13469"/>
    <cellStyle name="SAPLocked 12 2 9" xfId="13470"/>
    <cellStyle name="SAPLocked 12 2 9 2" xfId="13471"/>
    <cellStyle name="SAPLocked 12 3" xfId="13472"/>
    <cellStyle name="SAPLocked 12 3 2" xfId="13473"/>
    <cellStyle name="SAPLocked 12 4" xfId="13474"/>
    <cellStyle name="SAPLocked 12 4 2" xfId="13475"/>
    <cellStyle name="SAPLocked 12 5" xfId="13476"/>
    <cellStyle name="SAPLocked 12 5 2" xfId="13477"/>
    <cellStyle name="SAPLocked 12 6" xfId="13478"/>
    <cellStyle name="SAPLocked 12 6 2" xfId="13479"/>
    <cellStyle name="SAPLocked 12 7" xfId="13480"/>
    <cellStyle name="SAPLocked 12 7 2" xfId="13481"/>
    <cellStyle name="SAPLocked 12 8" xfId="13482"/>
    <cellStyle name="SAPLocked 12 8 2" xfId="13483"/>
    <cellStyle name="SAPLocked 12 9" xfId="13484"/>
    <cellStyle name="SAPLocked 12 9 2" xfId="13485"/>
    <cellStyle name="SAPLocked 13" xfId="13486"/>
    <cellStyle name="SAPLocked 13 10" xfId="13487"/>
    <cellStyle name="SAPLocked 13 10 2" xfId="13488"/>
    <cellStyle name="SAPLocked 13 11" xfId="13489"/>
    <cellStyle name="SAPLocked 13 11 2" xfId="13490"/>
    <cellStyle name="SAPLocked 13 12" xfId="13491"/>
    <cellStyle name="SAPLocked 13 12 2" xfId="13492"/>
    <cellStyle name="SAPLocked 13 13" xfId="13493"/>
    <cellStyle name="SAPLocked 13 2" xfId="13494"/>
    <cellStyle name="SAPLocked 13 2 10" xfId="13495"/>
    <cellStyle name="SAPLocked 13 2 10 2" xfId="13496"/>
    <cellStyle name="SAPLocked 13 2 11" xfId="13497"/>
    <cellStyle name="SAPLocked 13 2 11 2" xfId="13498"/>
    <cellStyle name="SAPLocked 13 2 12" xfId="13499"/>
    <cellStyle name="SAPLocked 13 2 2" xfId="13500"/>
    <cellStyle name="SAPLocked 13 2 2 2" xfId="13501"/>
    <cellStyle name="SAPLocked 13 2 3" xfId="13502"/>
    <cellStyle name="SAPLocked 13 2 3 2" xfId="13503"/>
    <cellStyle name="SAPLocked 13 2 4" xfId="13504"/>
    <cellStyle name="SAPLocked 13 2 4 2" xfId="13505"/>
    <cellStyle name="SAPLocked 13 2 5" xfId="13506"/>
    <cellStyle name="SAPLocked 13 2 5 2" xfId="13507"/>
    <cellStyle name="SAPLocked 13 2 6" xfId="13508"/>
    <cellStyle name="SAPLocked 13 2 6 2" xfId="13509"/>
    <cellStyle name="SAPLocked 13 2 7" xfId="13510"/>
    <cellStyle name="SAPLocked 13 2 7 2" xfId="13511"/>
    <cellStyle name="SAPLocked 13 2 8" xfId="13512"/>
    <cellStyle name="SAPLocked 13 2 8 2" xfId="13513"/>
    <cellStyle name="SAPLocked 13 2 9" xfId="13514"/>
    <cellStyle name="SAPLocked 13 2 9 2" xfId="13515"/>
    <cellStyle name="SAPLocked 13 3" xfId="13516"/>
    <cellStyle name="SAPLocked 13 3 2" xfId="13517"/>
    <cellStyle name="SAPLocked 13 4" xfId="13518"/>
    <cellStyle name="SAPLocked 13 4 2" xfId="13519"/>
    <cellStyle name="SAPLocked 13 5" xfId="13520"/>
    <cellStyle name="SAPLocked 13 5 2" xfId="13521"/>
    <cellStyle name="SAPLocked 13 6" xfId="13522"/>
    <cellStyle name="SAPLocked 13 6 2" xfId="13523"/>
    <cellStyle name="SAPLocked 13 7" xfId="13524"/>
    <cellStyle name="SAPLocked 13 7 2" xfId="13525"/>
    <cellStyle name="SAPLocked 13 8" xfId="13526"/>
    <cellStyle name="SAPLocked 13 8 2" xfId="13527"/>
    <cellStyle name="SAPLocked 13 9" xfId="13528"/>
    <cellStyle name="SAPLocked 13 9 2" xfId="13529"/>
    <cellStyle name="SAPLocked 14" xfId="13530"/>
    <cellStyle name="SAPLocked 14 10" xfId="13531"/>
    <cellStyle name="SAPLocked 14 10 2" xfId="13532"/>
    <cellStyle name="SAPLocked 14 11" xfId="13533"/>
    <cellStyle name="SAPLocked 14 11 2" xfId="13534"/>
    <cellStyle name="SAPLocked 14 12" xfId="13535"/>
    <cellStyle name="SAPLocked 14 12 2" xfId="13536"/>
    <cellStyle name="SAPLocked 14 13" xfId="13537"/>
    <cellStyle name="SAPLocked 14 2" xfId="13538"/>
    <cellStyle name="SAPLocked 14 2 10" xfId="13539"/>
    <cellStyle name="SAPLocked 14 2 10 2" xfId="13540"/>
    <cellStyle name="SAPLocked 14 2 11" xfId="13541"/>
    <cellStyle name="SAPLocked 14 2 11 2" xfId="13542"/>
    <cellStyle name="SAPLocked 14 2 12" xfId="13543"/>
    <cellStyle name="SAPLocked 14 2 2" xfId="13544"/>
    <cellStyle name="SAPLocked 14 2 2 2" xfId="13545"/>
    <cellStyle name="SAPLocked 14 2 3" xfId="13546"/>
    <cellStyle name="SAPLocked 14 2 3 2" xfId="13547"/>
    <cellStyle name="SAPLocked 14 2 4" xfId="13548"/>
    <cellStyle name="SAPLocked 14 2 4 2" xfId="13549"/>
    <cellStyle name="SAPLocked 14 2 5" xfId="13550"/>
    <cellStyle name="SAPLocked 14 2 5 2" xfId="13551"/>
    <cellStyle name="SAPLocked 14 2 6" xfId="13552"/>
    <cellStyle name="SAPLocked 14 2 6 2" xfId="13553"/>
    <cellStyle name="SAPLocked 14 2 7" xfId="13554"/>
    <cellStyle name="SAPLocked 14 2 7 2" xfId="13555"/>
    <cellStyle name="SAPLocked 14 2 8" xfId="13556"/>
    <cellStyle name="SAPLocked 14 2 8 2" xfId="13557"/>
    <cellStyle name="SAPLocked 14 2 9" xfId="13558"/>
    <cellStyle name="SAPLocked 14 2 9 2" xfId="13559"/>
    <cellStyle name="SAPLocked 14 3" xfId="13560"/>
    <cellStyle name="SAPLocked 14 3 2" xfId="13561"/>
    <cellStyle name="SAPLocked 14 4" xfId="13562"/>
    <cellStyle name="SAPLocked 14 4 2" xfId="13563"/>
    <cellStyle name="SAPLocked 14 5" xfId="13564"/>
    <cellStyle name="SAPLocked 14 5 2" xfId="13565"/>
    <cellStyle name="SAPLocked 14 6" xfId="13566"/>
    <cellStyle name="SAPLocked 14 6 2" xfId="13567"/>
    <cellStyle name="SAPLocked 14 7" xfId="13568"/>
    <cellStyle name="SAPLocked 14 7 2" xfId="13569"/>
    <cellStyle name="SAPLocked 14 8" xfId="13570"/>
    <cellStyle name="SAPLocked 14 8 2" xfId="13571"/>
    <cellStyle name="SAPLocked 14 9" xfId="13572"/>
    <cellStyle name="SAPLocked 14 9 2" xfId="13573"/>
    <cellStyle name="SAPLocked 15" xfId="13574"/>
    <cellStyle name="SAPLocked 15 10" xfId="13575"/>
    <cellStyle name="SAPLocked 15 10 2" xfId="13576"/>
    <cellStyle name="SAPLocked 15 11" xfId="13577"/>
    <cellStyle name="SAPLocked 15 11 2" xfId="13578"/>
    <cellStyle name="SAPLocked 15 12" xfId="13579"/>
    <cellStyle name="SAPLocked 15 12 2" xfId="13580"/>
    <cellStyle name="SAPLocked 15 13" xfId="13581"/>
    <cellStyle name="SAPLocked 15 2" xfId="13582"/>
    <cellStyle name="SAPLocked 15 2 10" xfId="13583"/>
    <cellStyle name="SAPLocked 15 2 10 2" xfId="13584"/>
    <cellStyle name="SAPLocked 15 2 11" xfId="13585"/>
    <cellStyle name="SAPLocked 15 2 11 2" xfId="13586"/>
    <cellStyle name="SAPLocked 15 2 12" xfId="13587"/>
    <cellStyle name="SAPLocked 15 2 2" xfId="13588"/>
    <cellStyle name="SAPLocked 15 2 2 2" xfId="13589"/>
    <cellStyle name="SAPLocked 15 2 3" xfId="13590"/>
    <cellStyle name="SAPLocked 15 2 3 2" xfId="13591"/>
    <cellStyle name="SAPLocked 15 2 4" xfId="13592"/>
    <cellStyle name="SAPLocked 15 2 4 2" xfId="13593"/>
    <cellStyle name="SAPLocked 15 2 5" xfId="13594"/>
    <cellStyle name="SAPLocked 15 2 5 2" xfId="13595"/>
    <cellStyle name="SAPLocked 15 2 6" xfId="13596"/>
    <cellStyle name="SAPLocked 15 2 6 2" xfId="13597"/>
    <cellStyle name="SAPLocked 15 2 7" xfId="13598"/>
    <cellStyle name="SAPLocked 15 2 7 2" xfId="13599"/>
    <cellStyle name="SAPLocked 15 2 8" xfId="13600"/>
    <cellStyle name="SAPLocked 15 2 8 2" xfId="13601"/>
    <cellStyle name="SAPLocked 15 2 9" xfId="13602"/>
    <cellStyle name="SAPLocked 15 2 9 2" xfId="13603"/>
    <cellStyle name="SAPLocked 15 3" xfId="13604"/>
    <cellStyle name="SAPLocked 15 3 2" xfId="13605"/>
    <cellStyle name="SAPLocked 15 4" xfId="13606"/>
    <cellStyle name="SAPLocked 15 4 2" xfId="13607"/>
    <cellStyle name="SAPLocked 15 5" xfId="13608"/>
    <cellStyle name="SAPLocked 15 5 2" xfId="13609"/>
    <cellStyle name="SAPLocked 15 6" xfId="13610"/>
    <cellStyle name="SAPLocked 15 6 2" xfId="13611"/>
    <cellStyle name="SAPLocked 15 7" xfId="13612"/>
    <cellStyle name="SAPLocked 15 7 2" xfId="13613"/>
    <cellStyle name="SAPLocked 15 8" xfId="13614"/>
    <cellStyle name="SAPLocked 15 8 2" xfId="13615"/>
    <cellStyle name="SAPLocked 15 9" xfId="13616"/>
    <cellStyle name="SAPLocked 15 9 2" xfId="13617"/>
    <cellStyle name="SAPLocked 16" xfId="13618"/>
    <cellStyle name="SAPLocked 16 10" xfId="13619"/>
    <cellStyle name="SAPLocked 16 10 2" xfId="13620"/>
    <cellStyle name="SAPLocked 16 11" xfId="13621"/>
    <cellStyle name="SAPLocked 16 11 2" xfId="13622"/>
    <cellStyle name="SAPLocked 16 12" xfId="13623"/>
    <cellStyle name="SAPLocked 16 12 2" xfId="13624"/>
    <cellStyle name="SAPLocked 16 13" xfId="13625"/>
    <cellStyle name="SAPLocked 16 2" xfId="13626"/>
    <cellStyle name="SAPLocked 16 2 10" xfId="13627"/>
    <cellStyle name="SAPLocked 16 2 10 2" xfId="13628"/>
    <cellStyle name="SAPLocked 16 2 11" xfId="13629"/>
    <cellStyle name="SAPLocked 16 2 11 2" xfId="13630"/>
    <cellStyle name="SAPLocked 16 2 12" xfId="13631"/>
    <cellStyle name="SAPLocked 16 2 2" xfId="13632"/>
    <cellStyle name="SAPLocked 16 2 2 2" xfId="13633"/>
    <cellStyle name="SAPLocked 16 2 3" xfId="13634"/>
    <cellStyle name="SAPLocked 16 2 3 2" xfId="13635"/>
    <cellStyle name="SAPLocked 16 2 4" xfId="13636"/>
    <cellStyle name="SAPLocked 16 2 4 2" xfId="13637"/>
    <cellStyle name="SAPLocked 16 2 5" xfId="13638"/>
    <cellStyle name="SAPLocked 16 2 5 2" xfId="13639"/>
    <cellStyle name="SAPLocked 16 2 6" xfId="13640"/>
    <cellStyle name="SAPLocked 16 2 6 2" xfId="13641"/>
    <cellStyle name="SAPLocked 16 2 7" xfId="13642"/>
    <cellStyle name="SAPLocked 16 2 7 2" xfId="13643"/>
    <cellStyle name="SAPLocked 16 2 8" xfId="13644"/>
    <cellStyle name="SAPLocked 16 2 8 2" xfId="13645"/>
    <cellStyle name="SAPLocked 16 2 9" xfId="13646"/>
    <cellStyle name="SAPLocked 16 2 9 2" xfId="13647"/>
    <cellStyle name="SAPLocked 16 3" xfId="13648"/>
    <cellStyle name="SAPLocked 16 3 2" xfId="13649"/>
    <cellStyle name="SAPLocked 16 4" xfId="13650"/>
    <cellStyle name="SAPLocked 16 4 2" xfId="13651"/>
    <cellStyle name="SAPLocked 16 5" xfId="13652"/>
    <cellStyle name="SAPLocked 16 5 2" xfId="13653"/>
    <cellStyle name="SAPLocked 16 6" xfId="13654"/>
    <cellStyle name="SAPLocked 16 6 2" xfId="13655"/>
    <cellStyle name="SAPLocked 16 7" xfId="13656"/>
    <cellStyle name="SAPLocked 16 7 2" xfId="13657"/>
    <cellStyle name="SAPLocked 16 8" xfId="13658"/>
    <cellStyle name="SAPLocked 16 8 2" xfId="13659"/>
    <cellStyle name="SAPLocked 16 9" xfId="13660"/>
    <cellStyle name="SAPLocked 16 9 2" xfId="13661"/>
    <cellStyle name="SAPLocked 17" xfId="13662"/>
    <cellStyle name="SAPLocked 17 10" xfId="13663"/>
    <cellStyle name="SAPLocked 17 10 2" xfId="13664"/>
    <cellStyle name="SAPLocked 17 11" xfId="13665"/>
    <cellStyle name="SAPLocked 17 11 2" xfId="13666"/>
    <cellStyle name="SAPLocked 17 12" xfId="13667"/>
    <cellStyle name="SAPLocked 17 12 2" xfId="13668"/>
    <cellStyle name="SAPLocked 17 13" xfId="13669"/>
    <cellStyle name="SAPLocked 17 2" xfId="13670"/>
    <cellStyle name="SAPLocked 17 2 10" xfId="13671"/>
    <cellStyle name="SAPLocked 17 2 10 2" xfId="13672"/>
    <cellStyle name="SAPLocked 17 2 11" xfId="13673"/>
    <cellStyle name="SAPLocked 17 2 11 2" xfId="13674"/>
    <cellStyle name="SAPLocked 17 2 12" xfId="13675"/>
    <cellStyle name="SAPLocked 17 2 2" xfId="13676"/>
    <cellStyle name="SAPLocked 17 2 2 2" xfId="13677"/>
    <cellStyle name="SAPLocked 17 2 3" xfId="13678"/>
    <cellStyle name="SAPLocked 17 2 3 2" xfId="13679"/>
    <cellStyle name="SAPLocked 17 2 4" xfId="13680"/>
    <cellStyle name="SAPLocked 17 2 4 2" xfId="13681"/>
    <cellStyle name="SAPLocked 17 2 5" xfId="13682"/>
    <cellStyle name="SAPLocked 17 2 5 2" xfId="13683"/>
    <cellStyle name="SAPLocked 17 2 6" xfId="13684"/>
    <cellStyle name="SAPLocked 17 2 6 2" xfId="13685"/>
    <cellStyle name="SAPLocked 17 2 7" xfId="13686"/>
    <cellStyle name="SAPLocked 17 2 7 2" xfId="13687"/>
    <cellStyle name="SAPLocked 17 2 8" xfId="13688"/>
    <cellStyle name="SAPLocked 17 2 8 2" xfId="13689"/>
    <cellStyle name="SAPLocked 17 2 9" xfId="13690"/>
    <cellStyle name="SAPLocked 17 2 9 2" xfId="13691"/>
    <cellStyle name="SAPLocked 17 3" xfId="13692"/>
    <cellStyle name="SAPLocked 17 3 2" xfId="13693"/>
    <cellStyle name="SAPLocked 17 4" xfId="13694"/>
    <cellStyle name="SAPLocked 17 4 2" xfId="13695"/>
    <cellStyle name="SAPLocked 17 5" xfId="13696"/>
    <cellStyle name="SAPLocked 17 5 2" xfId="13697"/>
    <cellStyle name="SAPLocked 17 6" xfId="13698"/>
    <cellStyle name="SAPLocked 17 6 2" xfId="13699"/>
    <cellStyle name="SAPLocked 17 7" xfId="13700"/>
    <cellStyle name="SAPLocked 17 7 2" xfId="13701"/>
    <cellStyle name="SAPLocked 17 8" xfId="13702"/>
    <cellStyle name="SAPLocked 17 8 2" xfId="13703"/>
    <cellStyle name="SAPLocked 17 9" xfId="13704"/>
    <cellStyle name="SAPLocked 17 9 2" xfId="13705"/>
    <cellStyle name="SAPLocked 18" xfId="13706"/>
    <cellStyle name="SAPLocked 18 10" xfId="13707"/>
    <cellStyle name="SAPLocked 18 10 2" xfId="13708"/>
    <cellStyle name="SAPLocked 18 11" xfId="13709"/>
    <cellStyle name="SAPLocked 18 11 2" xfId="13710"/>
    <cellStyle name="SAPLocked 18 12" xfId="13711"/>
    <cellStyle name="SAPLocked 18 12 2" xfId="13712"/>
    <cellStyle name="SAPLocked 18 13" xfId="13713"/>
    <cellStyle name="SAPLocked 18 2" xfId="13714"/>
    <cellStyle name="SAPLocked 18 2 10" xfId="13715"/>
    <cellStyle name="SAPLocked 18 2 10 2" xfId="13716"/>
    <cellStyle name="SAPLocked 18 2 11" xfId="13717"/>
    <cellStyle name="SAPLocked 18 2 11 2" xfId="13718"/>
    <cellStyle name="SAPLocked 18 2 12" xfId="13719"/>
    <cellStyle name="SAPLocked 18 2 2" xfId="13720"/>
    <cellStyle name="SAPLocked 18 2 2 2" xfId="13721"/>
    <cellStyle name="SAPLocked 18 2 3" xfId="13722"/>
    <cellStyle name="SAPLocked 18 2 3 2" xfId="13723"/>
    <cellStyle name="SAPLocked 18 2 4" xfId="13724"/>
    <cellStyle name="SAPLocked 18 2 4 2" xfId="13725"/>
    <cellStyle name="SAPLocked 18 2 5" xfId="13726"/>
    <cellStyle name="SAPLocked 18 2 5 2" xfId="13727"/>
    <cellStyle name="SAPLocked 18 2 6" xfId="13728"/>
    <cellStyle name="SAPLocked 18 2 6 2" xfId="13729"/>
    <cellStyle name="SAPLocked 18 2 7" xfId="13730"/>
    <cellStyle name="SAPLocked 18 2 7 2" xfId="13731"/>
    <cellStyle name="SAPLocked 18 2 8" xfId="13732"/>
    <cellStyle name="SAPLocked 18 2 8 2" xfId="13733"/>
    <cellStyle name="SAPLocked 18 2 9" xfId="13734"/>
    <cellStyle name="SAPLocked 18 2 9 2" xfId="13735"/>
    <cellStyle name="SAPLocked 18 3" xfId="13736"/>
    <cellStyle name="SAPLocked 18 3 2" xfId="13737"/>
    <cellStyle name="SAPLocked 18 4" xfId="13738"/>
    <cellStyle name="SAPLocked 18 4 2" xfId="13739"/>
    <cellStyle name="SAPLocked 18 5" xfId="13740"/>
    <cellStyle name="SAPLocked 18 5 2" xfId="13741"/>
    <cellStyle name="SAPLocked 18 6" xfId="13742"/>
    <cellStyle name="SAPLocked 18 6 2" xfId="13743"/>
    <cellStyle name="SAPLocked 18 7" xfId="13744"/>
    <cellStyle name="SAPLocked 18 7 2" xfId="13745"/>
    <cellStyle name="SAPLocked 18 8" xfId="13746"/>
    <cellStyle name="SAPLocked 18 8 2" xfId="13747"/>
    <cellStyle name="SAPLocked 18 9" xfId="13748"/>
    <cellStyle name="SAPLocked 18 9 2" xfId="13749"/>
    <cellStyle name="SAPLocked 19" xfId="13750"/>
    <cellStyle name="SAPLocked 19 10" xfId="13751"/>
    <cellStyle name="SAPLocked 19 10 2" xfId="13752"/>
    <cellStyle name="SAPLocked 19 11" xfId="13753"/>
    <cellStyle name="SAPLocked 19 11 2" xfId="13754"/>
    <cellStyle name="SAPLocked 19 12" xfId="13755"/>
    <cellStyle name="SAPLocked 19 12 2" xfId="13756"/>
    <cellStyle name="SAPLocked 19 13" xfId="13757"/>
    <cellStyle name="SAPLocked 19 2" xfId="13758"/>
    <cellStyle name="SAPLocked 19 2 10" xfId="13759"/>
    <cellStyle name="SAPLocked 19 2 10 2" xfId="13760"/>
    <cellStyle name="SAPLocked 19 2 11" xfId="13761"/>
    <cellStyle name="SAPLocked 19 2 11 2" xfId="13762"/>
    <cellStyle name="SAPLocked 19 2 12" xfId="13763"/>
    <cellStyle name="SAPLocked 19 2 2" xfId="13764"/>
    <cellStyle name="SAPLocked 19 2 2 2" xfId="13765"/>
    <cellStyle name="SAPLocked 19 2 3" xfId="13766"/>
    <cellStyle name="SAPLocked 19 2 3 2" xfId="13767"/>
    <cellStyle name="SAPLocked 19 2 4" xfId="13768"/>
    <cellStyle name="SAPLocked 19 2 4 2" xfId="13769"/>
    <cellStyle name="SAPLocked 19 2 5" xfId="13770"/>
    <cellStyle name="SAPLocked 19 2 5 2" xfId="13771"/>
    <cellStyle name="SAPLocked 19 2 6" xfId="13772"/>
    <cellStyle name="SAPLocked 19 2 6 2" xfId="13773"/>
    <cellStyle name="SAPLocked 19 2 7" xfId="13774"/>
    <cellStyle name="SAPLocked 19 2 7 2" xfId="13775"/>
    <cellStyle name="SAPLocked 19 2 8" xfId="13776"/>
    <cellStyle name="SAPLocked 19 2 8 2" xfId="13777"/>
    <cellStyle name="SAPLocked 19 2 9" xfId="13778"/>
    <cellStyle name="SAPLocked 19 2 9 2" xfId="13779"/>
    <cellStyle name="SAPLocked 19 3" xfId="13780"/>
    <cellStyle name="SAPLocked 19 3 2" xfId="13781"/>
    <cellStyle name="SAPLocked 19 4" xfId="13782"/>
    <cellStyle name="SAPLocked 19 4 2" xfId="13783"/>
    <cellStyle name="SAPLocked 19 5" xfId="13784"/>
    <cellStyle name="SAPLocked 19 5 2" xfId="13785"/>
    <cellStyle name="SAPLocked 19 6" xfId="13786"/>
    <cellStyle name="SAPLocked 19 6 2" xfId="13787"/>
    <cellStyle name="SAPLocked 19 7" xfId="13788"/>
    <cellStyle name="SAPLocked 19 7 2" xfId="13789"/>
    <cellStyle name="SAPLocked 19 8" xfId="13790"/>
    <cellStyle name="SAPLocked 19 8 2" xfId="13791"/>
    <cellStyle name="SAPLocked 19 9" xfId="13792"/>
    <cellStyle name="SAPLocked 19 9 2" xfId="13793"/>
    <cellStyle name="SAPLocked 2" xfId="13794"/>
    <cellStyle name="SAPLocked 2 10" xfId="13795"/>
    <cellStyle name="SAPLocked 2 10 10" xfId="13796"/>
    <cellStyle name="SAPLocked 2 10 10 2" xfId="13797"/>
    <cellStyle name="SAPLocked 2 10 11" xfId="13798"/>
    <cellStyle name="SAPLocked 2 10 11 2" xfId="13799"/>
    <cellStyle name="SAPLocked 2 10 12" xfId="13800"/>
    <cellStyle name="SAPLocked 2 10 12 2" xfId="13801"/>
    <cellStyle name="SAPLocked 2 10 13" xfId="13802"/>
    <cellStyle name="SAPLocked 2 10 2" xfId="13803"/>
    <cellStyle name="SAPLocked 2 10 2 10" xfId="13804"/>
    <cellStyle name="SAPLocked 2 10 2 10 2" xfId="13805"/>
    <cellStyle name="SAPLocked 2 10 2 11" xfId="13806"/>
    <cellStyle name="SAPLocked 2 10 2 11 2" xfId="13807"/>
    <cellStyle name="SAPLocked 2 10 2 12" xfId="13808"/>
    <cellStyle name="SAPLocked 2 10 2 2" xfId="13809"/>
    <cellStyle name="SAPLocked 2 10 2 2 2" xfId="13810"/>
    <cellStyle name="SAPLocked 2 10 2 3" xfId="13811"/>
    <cellStyle name="SAPLocked 2 10 2 3 2" xfId="13812"/>
    <cellStyle name="SAPLocked 2 10 2 4" xfId="13813"/>
    <cellStyle name="SAPLocked 2 10 2 4 2" xfId="13814"/>
    <cellStyle name="SAPLocked 2 10 2 5" xfId="13815"/>
    <cellStyle name="SAPLocked 2 10 2 5 2" xfId="13816"/>
    <cellStyle name="SAPLocked 2 10 2 6" xfId="13817"/>
    <cellStyle name="SAPLocked 2 10 2 6 2" xfId="13818"/>
    <cellStyle name="SAPLocked 2 10 2 7" xfId="13819"/>
    <cellStyle name="SAPLocked 2 10 2 7 2" xfId="13820"/>
    <cellStyle name="SAPLocked 2 10 2 8" xfId="13821"/>
    <cellStyle name="SAPLocked 2 10 2 8 2" xfId="13822"/>
    <cellStyle name="SAPLocked 2 10 2 9" xfId="13823"/>
    <cellStyle name="SAPLocked 2 10 2 9 2" xfId="13824"/>
    <cellStyle name="SAPLocked 2 10 3" xfId="13825"/>
    <cellStyle name="SAPLocked 2 10 3 2" xfId="13826"/>
    <cellStyle name="SAPLocked 2 10 4" xfId="13827"/>
    <cellStyle name="SAPLocked 2 10 4 2" xfId="13828"/>
    <cellStyle name="SAPLocked 2 10 5" xfId="13829"/>
    <cellStyle name="SAPLocked 2 10 5 2" xfId="13830"/>
    <cellStyle name="SAPLocked 2 10 6" xfId="13831"/>
    <cellStyle name="SAPLocked 2 10 6 2" xfId="13832"/>
    <cellStyle name="SAPLocked 2 10 7" xfId="13833"/>
    <cellStyle name="SAPLocked 2 10 7 2" xfId="13834"/>
    <cellStyle name="SAPLocked 2 10 8" xfId="13835"/>
    <cellStyle name="SAPLocked 2 10 8 2" xfId="13836"/>
    <cellStyle name="SAPLocked 2 10 9" xfId="13837"/>
    <cellStyle name="SAPLocked 2 10 9 2" xfId="13838"/>
    <cellStyle name="SAPLocked 2 11" xfId="13839"/>
    <cellStyle name="SAPLocked 2 11 10" xfId="13840"/>
    <cellStyle name="SAPLocked 2 11 10 2" xfId="13841"/>
    <cellStyle name="SAPLocked 2 11 11" xfId="13842"/>
    <cellStyle name="SAPLocked 2 11 11 2" xfId="13843"/>
    <cellStyle name="SAPLocked 2 11 12" xfId="13844"/>
    <cellStyle name="SAPLocked 2 11 12 2" xfId="13845"/>
    <cellStyle name="SAPLocked 2 11 13" xfId="13846"/>
    <cellStyle name="SAPLocked 2 11 2" xfId="13847"/>
    <cellStyle name="SAPLocked 2 11 2 10" xfId="13848"/>
    <cellStyle name="SAPLocked 2 11 2 10 2" xfId="13849"/>
    <cellStyle name="SAPLocked 2 11 2 11" xfId="13850"/>
    <cellStyle name="SAPLocked 2 11 2 11 2" xfId="13851"/>
    <cellStyle name="SAPLocked 2 11 2 12" xfId="13852"/>
    <cellStyle name="SAPLocked 2 11 2 2" xfId="13853"/>
    <cellStyle name="SAPLocked 2 11 2 2 2" xfId="13854"/>
    <cellStyle name="SAPLocked 2 11 2 3" xfId="13855"/>
    <cellStyle name="SAPLocked 2 11 2 3 2" xfId="13856"/>
    <cellStyle name="SAPLocked 2 11 2 4" xfId="13857"/>
    <cellStyle name="SAPLocked 2 11 2 4 2" xfId="13858"/>
    <cellStyle name="SAPLocked 2 11 2 5" xfId="13859"/>
    <cellStyle name="SAPLocked 2 11 2 5 2" xfId="13860"/>
    <cellStyle name="SAPLocked 2 11 2 6" xfId="13861"/>
    <cellStyle name="SAPLocked 2 11 2 6 2" xfId="13862"/>
    <cellStyle name="SAPLocked 2 11 2 7" xfId="13863"/>
    <cellStyle name="SAPLocked 2 11 2 7 2" xfId="13864"/>
    <cellStyle name="SAPLocked 2 11 2 8" xfId="13865"/>
    <cellStyle name="SAPLocked 2 11 2 8 2" xfId="13866"/>
    <cellStyle name="SAPLocked 2 11 2 9" xfId="13867"/>
    <cellStyle name="SAPLocked 2 11 2 9 2" xfId="13868"/>
    <cellStyle name="SAPLocked 2 11 3" xfId="13869"/>
    <cellStyle name="SAPLocked 2 11 3 2" xfId="13870"/>
    <cellStyle name="SAPLocked 2 11 4" xfId="13871"/>
    <cellStyle name="SAPLocked 2 11 4 2" xfId="13872"/>
    <cellStyle name="SAPLocked 2 11 5" xfId="13873"/>
    <cellStyle name="SAPLocked 2 11 5 2" xfId="13874"/>
    <cellStyle name="SAPLocked 2 11 6" xfId="13875"/>
    <cellStyle name="SAPLocked 2 11 6 2" xfId="13876"/>
    <cellStyle name="SAPLocked 2 11 7" xfId="13877"/>
    <cellStyle name="SAPLocked 2 11 7 2" xfId="13878"/>
    <cellStyle name="SAPLocked 2 11 8" xfId="13879"/>
    <cellStyle name="SAPLocked 2 11 8 2" xfId="13880"/>
    <cellStyle name="SAPLocked 2 11 9" xfId="13881"/>
    <cellStyle name="SAPLocked 2 11 9 2" xfId="13882"/>
    <cellStyle name="SAPLocked 2 12" xfId="13883"/>
    <cellStyle name="SAPLocked 2 12 10" xfId="13884"/>
    <cellStyle name="SAPLocked 2 12 10 2" xfId="13885"/>
    <cellStyle name="SAPLocked 2 12 11" xfId="13886"/>
    <cellStyle name="SAPLocked 2 12 11 2" xfId="13887"/>
    <cellStyle name="SAPLocked 2 12 12" xfId="13888"/>
    <cellStyle name="SAPLocked 2 12 12 2" xfId="13889"/>
    <cellStyle name="SAPLocked 2 12 13" xfId="13890"/>
    <cellStyle name="SAPLocked 2 12 2" xfId="13891"/>
    <cellStyle name="SAPLocked 2 12 2 10" xfId="13892"/>
    <cellStyle name="SAPLocked 2 12 2 10 2" xfId="13893"/>
    <cellStyle name="SAPLocked 2 12 2 11" xfId="13894"/>
    <cellStyle name="SAPLocked 2 12 2 11 2" xfId="13895"/>
    <cellStyle name="SAPLocked 2 12 2 12" xfId="13896"/>
    <cellStyle name="SAPLocked 2 12 2 2" xfId="13897"/>
    <cellStyle name="SAPLocked 2 12 2 2 2" xfId="13898"/>
    <cellStyle name="SAPLocked 2 12 2 3" xfId="13899"/>
    <cellStyle name="SAPLocked 2 12 2 3 2" xfId="13900"/>
    <cellStyle name="SAPLocked 2 12 2 4" xfId="13901"/>
    <cellStyle name="SAPLocked 2 12 2 4 2" xfId="13902"/>
    <cellStyle name="SAPLocked 2 12 2 5" xfId="13903"/>
    <cellStyle name="SAPLocked 2 12 2 5 2" xfId="13904"/>
    <cellStyle name="SAPLocked 2 12 2 6" xfId="13905"/>
    <cellStyle name="SAPLocked 2 12 2 6 2" xfId="13906"/>
    <cellStyle name="SAPLocked 2 12 2 7" xfId="13907"/>
    <cellStyle name="SAPLocked 2 12 2 7 2" xfId="13908"/>
    <cellStyle name="SAPLocked 2 12 2 8" xfId="13909"/>
    <cellStyle name="SAPLocked 2 12 2 8 2" xfId="13910"/>
    <cellStyle name="SAPLocked 2 12 2 9" xfId="13911"/>
    <cellStyle name="SAPLocked 2 12 2 9 2" xfId="13912"/>
    <cellStyle name="SAPLocked 2 12 3" xfId="13913"/>
    <cellStyle name="SAPLocked 2 12 3 2" xfId="13914"/>
    <cellStyle name="SAPLocked 2 12 4" xfId="13915"/>
    <cellStyle name="SAPLocked 2 12 4 2" xfId="13916"/>
    <cellStyle name="SAPLocked 2 12 5" xfId="13917"/>
    <cellStyle name="SAPLocked 2 12 5 2" xfId="13918"/>
    <cellStyle name="SAPLocked 2 12 6" xfId="13919"/>
    <cellStyle name="SAPLocked 2 12 6 2" xfId="13920"/>
    <cellStyle name="SAPLocked 2 12 7" xfId="13921"/>
    <cellStyle name="SAPLocked 2 12 7 2" xfId="13922"/>
    <cellStyle name="SAPLocked 2 12 8" xfId="13923"/>
    <cellStyle name="SAPLocked 2 12 8 2" xfId="13924"/>
    <cellStyle name="SAPLocked 2 12 9" xfId="13925"/>
    <cellStyle name="SAPLocked 2 12 9 2" xfId="13926"/>
    <cellStyle name="SAPLocked 2 13" xfId="13927"/>
    <cellStyle name="SAPLocked 2 13 10" xfId="13928"/>
    <cellStyle name="SAPLocked 2 13 10 2" xfId="13929"/>
    <cellStyle name="SAPLocked 2 13 11" xfId="13930"/>
    <cellStyle name="SAPLocked 2 13 11 2" xfId="13931"/>
    <cellStyle name="SAPLocked 2 13 12" xfId="13932"/>
    <cellStyle name="SAPLocked 2 13 12 2" xfId="13933"/>
    <cellStyle name="SAPLocked 2 13 13" xfId="13934"/>
    <cellStyle name="SAPLocked 2 13 2" xfId="13935"/>
    <cellStyle name="SAPLocked 2 13 2 10" xfId="13936"/>
    <cellStyle name="SAPLocked 2 13 2 10 2" xfId="13937"/>
    <cellStyle name="SAPLocked 2 13 2 11" xfId="13938"/>
    <cellStyle name="SAPLocked 2 13 2 11 2" xfId="13939"/>
    <cellStyle name="SAPLocked 2 13 2 12" xfId="13940"/>
    <cellStyle name="SAPLocked 2 13 2 2" xfId="13941"/>
    <cellStyle name="SAPLocked 2 13 2 2 2" xfId="13942"/>
    <cellStyle name="SAPLocked 2 13 2 3" xfId="13943"/>
    <cellStyle name="SAPLocked 2 13 2 3 2" xfId="13944"/>
    <cellStyle name="SAPLocked 2 13 2 4" xfId="13945"/>
    <cellStyle name="SAPLocked 2 13 2 4 2" xfId="13946"/>
    <cellStyle name="SAPLocked 2 13 2 5" xfId="13947"/>
    <cellStyle name="SAPLocked 2 13 2 5 2" xfId="13948"/>
    <cellStyle name="SAPLocked 2 13 2 6" xfId="13949"/>
    <cellStyle name="SAPLocked 2 13 2 6 2" xfId="13950"/>
    <cellStyle name="SAPLocked 2 13 2 7" xfId="13951"/>
    <cellStyle name="SAPLocked 2 13 2 7 2" xfId="13952"/>
    <cellStyle name="SAPLocked 2 13 2 8" xfId="13953"/>
    <cellStyle name="SAPLocked 2 13 2 8 2" xfId="13954"/>
    <cellStyle name="SAPLocked 2 13 2 9" xfId="13955"/>
    <cellStyle name="SAPLocked 2 13 2 9 2" xfId="13956"/>
    <cellStyle name="SAPLocked 2 13 3" xfId="13957"/>
    <cellStyle name="SAPLocked 2 13 3 2" xfId="13958"/>
    <cellStyle name="SAPLocked 2 13 4" xfId="13959"/>
    <cellStyle name="SAPLocked 2 13 4 2" xfId="13960"/>
    <cellStyle name="SAPLocked 2 13 5" xfId="13961"/>
    <cellStyle name="SAPLocked 2 13 5 2" xfId="13962"/>
    <cellStyle name="SAPLocked 2 13 6" xfId="13963"/>
    <cellStyle name="SAPLocked 2 13 6 2" xfId="13964"/>
    <cellStyle name="SAPLocked 2 13 7" xfId="13965"/>
    <cellStyle name="SAPLocked 2 13 7 2" xfId="13966"/>
    <cellStyle name="SAPLocked 2 13 8" xfId="13967"/>
    <cellStyle name="SAPLocked 2 13 8 2" xfId="13968"/>
    <cellStyle name="SAPLocked 2 13 9" xfId="13969"/>
    <cellStyle name="SAPLocked 2 13 9 2" xfId="13970"/>
    <cellStyle name="SAPLocked 2 14" xfId="13971"/>
    <cellStyle name="SAPLocked 2 14 10" xfId="13972"/>
    <cellStyle name="SAPLocked 2 14 10 2" xfId="13973"/>
    <cellStyle name="SAPLocked 2 14 11" xfId="13974"/>
    <cellStyle name="SAPLocked 2 14 11 2" xfId="13975"/>
    <cellStyle name="SAPLocked 2 14 12" xfId="13976"/>
    <cellStyle name="SAPLocked 2 14 12 2" xfId="13977"/>
    <cellStyle name="SAPLocked 2 14 13" xfId="13978"/>
    <cellStyle name="SAPLocked 2 14 2" xfId="13979"/>
    <cellStyle name="SAPLocked 2 14 2 10" xfId="13980"/>
    <cellStyle name="SAPLocked 2 14 2 10 2" xfId="13981"/>
    <cellStyle name="SAPLocked 2 14 2 11" xfId="13982"/>
    <cellStyle name="SAPLocked 2 14 2 11 2" xfId="13983"/>
    <cellStyle name="SAPLocked 2 14 2 12" xfId="13984"/>
    <cellStyle name="SAPLocked 2 14 2 2" xfId="13985"/>
    <cellStyle name="SAPLocked 2 14 2 2 2" xfId="13986"/>
    <cellStyle name="SAPLocked 2 14 2 3" xfId="13987"/>
    <cellStyle name="SAPLocked 2 14 2 3 2" xfId="13988"/>
    <cellStyle name="SAPLocked 2 14 2 4" xfId="13989"/>
    <cellStyle name="SAPLocked 2 14 2 4 2" xfId="13990"/>
    <cellStyle name="SAPLocked 2 14 2 5" xfId="13991"/>
    <cellStyle name="SAPLocked 2 14 2 5 2" xfId="13992"/>
    <cellStyle name="SAPLocked 2 14 2 6" xfId="13993"/>
    <cellStyle name="SAPLocked 2 14 2 6 2" xfId="13994"/>
    <cellStyle name="SAPLocked 2 14 2 7" xfId="13995"/>
    <cellStyle name="SAPLocked 2 14 2 7 2" xfId="13996"/>
    <cellStyle name="SAPLocked 2 14 2 8" xfId="13997"/>
    <cellStyle name="SAPLocked 2 14 2 8 2" xfId="13998"/>
    <cellStyle name="SAPLocked 2 14 2 9" xfId="13999"/>
    <cellStyle name="SAPLocked 2 14 2 9 2" xfId="14000"/>
    <cellStyle name="SAPLocked 2 14 3" xfId="14001"/>
    <cellStyle name="SAPLocked 2 14 3 2" xfId="14002"/>
    <cellStyle name="SAPLocked 2 14 4" xfId="14003"/>
    <cellStyle name="SAPLocked 2 14 4 2" xfId="14004"/>
    <cellStyle name="SAPLocked 2 14 5" xfId="14005"/>
    <cellStyle name="SAPLocked 2 14 5 2" xfId="14006"/>
    <cellStyle name="SAPLocked 2 14 6" xfId="14007"/>
    <cellStyle name="SAPLocked 2 14 6 2" xfId="14008"/>
    <cellStyle name="SAPLocked 2 14 7" xfId="14009"/>
    <cellStyle name="SAPLocked 2 14 7 2" xfId="14010"/>
    <cellStyle name="SAPLocked 2 14 8" xfId="14011"/>
    <cellStyle name="SAPLocked 2 14 8 2" xfId="14012"/>
    <cellStyle name="SAPLocked 2 14 9" xfId="14013"/>
    <cellStyle name="SAPLocked 2 14 9 2" xfId="14014"/>
    <cellStyle name="SAPLocked 2 15" xfId="14015"/>
    <cellStyle name="SAPLocked 2 15 10" xfId="14016"/>
    <cellStyle name="SAPLocked 2 15 10 2" xfId="14017"/>
    <cellStyle name="SAPLocked 2 15 11" xfId="14018"/>
    <cellStyle name="SAPLocked 2 15 11 2" xfId="14019"/>
    <cellStyle name="SAPLocked 2 15 12" xfId="14020"/>
    <cellStyle name="SAPLocked 2 15 12 2" xfId="14021"/>
    <cellStyle name="SAPLocked 2 15 13" xfId="14022"/>
    <cellStyle name="SAPLocked 2 15 2" xfId="14023"/>
    <cellStyle name="SAPLocked 2 15 2 10" xfId="14024"/>
    <cellStyle name="SAPLocked 2 15 2 10 2" xfId="14025"/>
    <cellStyle name="SAPLocked 2 15 2 11" xfId="14026"/>
    <cellStyle name="SAPLocked 2 15 2 11 2" xfId="14027"/>
    <cellStyle name="SAPLocked 2 15 2 12" xfId="14028"/>
    <cellStyle name="SAPLocked 2 15 2 2" xfId="14029"/>
    <cellStyle name="SAPLocked 2 15 2 2 2" xfId="14030"/>
    <cellStyle name="SAPLocked 2 15 2 3" xfId="14031"/>
    <cellStyle name="SAPLocked 2 15 2 3 2" xfId="14032"/>
    <cellStyle name="SAPLocked 2 15 2 4" xfId="14033"/>
    <cellStyle name="SAPLocked 2 15 2 4 2" xfId="14034"/>
    <cellStyle name="SAPLocked 2 15 2 5" xfId="14035"/>
    <cellStyle name="SAPLocked 2 15 2 5 2" xfId="14036"/>
    <cellStyle name="SAPLocked 2 15 2 6" xfId="14037"/>
    <cellStyle name="SAPLocked 2 15 2 6 2" xfId="14038"/>
    <cellStyle name="SAPLocked 2 15 2 7" xfId="14039"/>
    <cellStyle name="SAPLocked 2 15 2 7 2" xfId="14040"/>
    <cellStyle name="SAPLocked 2 15 2 8" xfId="14041"/>
    <cellStyle name="SAPLocked 2 15 2 8 2" xfId="14042"/>
    <cellStyle name="SAPLocked 2 15 2 9" xfId="14043"/>
    <cellStyle name="SAPLocked 2 15 2 9 2" xfId="14044"/>
    <cellStyle name="SAPLocked 2 15 3" xfId="14045"/>
    <cellStyle name="SAPLocked 2 15 3 2" xfId="14046"/>
    <cellStyle name="SAPLocked 2 15 4" xfId="14047"/>
    <cellStyle name="SAPLocked 2 15 4 2" xfId="14048"/>
    <cellStyle name="SAPLocked 2 15 5" xfId="14049"/>
    <cellStyle name="SAPLocked 2 15 5 2" xfId="14050"/>
    <cellStyle name="SAPLocked 2 15 6" xfId="14051"/>
    <cellStyle name="SAPLocked 2 15 6 2" xfId="14052"/>
    <cellStyle name="SAPLocked 2 15 7" xfId="14053"/>
    <cellStyle name="SAPLocked 2 15 7 2" xfId="14054"/>
    <cellStyle name="SAPLocked 2 15 8" xfId="14055"/>
    <cellStyle name="SAPLocked 2 15 8 2" xfId="14056"/>
    <cellStyle name="SAPLocked 2 15 9" xfId="14057"/>
    <cellStyle name="SAPLocked 2 15 9 2" xfId="14058"/>
    <cellStyle name="SAPLocked 2 16" xfId="14059"/>
    <cellStyle name="SAPLocked 2 16 10" xfId="14060"/>
    <cellStyle name="SAPLocked 2 16 10 2" xfId="14061"/>
    <cellStyle name="SAPLocked 2 16 11" xfId="14062"/>
    <cellStyle name="SAPLocked 2 16 11 2" xfId="14063"/>
    <cellStyle name="SAPLocked 2 16 12" xfId="14064"/>
    <cellStyle name="SAPLocked 2 16 12 2" xfId="14065"/>
    <cellStyle name="SAPLocked 2 16 13" xfId="14066"/>
    <cellStyle name="SAPLocked 2 16 2" xfId="14067"/>
    <cellStyle name="SAPLocked 2 16 2 10" xfId="14068"/>
    <cellStyle name="SAPLocked 2 16 2 10 2" xfId="14069"/>
    <cellStyle name="SAPLocked 2 16 2 11" xfId="14070"/>
    <cellStyle name="SAPLocked 2 16 2 11 2" xfId="14071"/>
    <cellStyle name="SAPLocked 2 16 2 12" xfId="14072"/>
    <cellStyle name="SAPLocked 2 16 2 2" xfId="14073"/>
    <cellStyle name="SAPLocked 2 16 2 2 2" xfId="14074"/>
    <cellStyle name="SAPLocked 2 16 2 3" xfId="14075"/>
    <cellStyle name="SAPLocked 2 16 2 3 2" xfId="14076"/>
    <cellStyle name="SAPLocked 2 16 2 4" xfId="14077"/>
    <cellStyle name="SAPLocked 2 16 2 4 2" xfId="14078"/>
    <cellStyle name="SAPLocked 2 16 2 5" xfId="14079"/>
    <cellStyle name="SAPLocked 2 16 2 5 2" xfId="14080"/>
    <cellStyle name="SAPLocked 2 16 2 6" xfId="14081"/>
    <cellStyle name="SAPLocked 2 16 2 6 2" xfId="14082"/>
    <cellStyle name="SAPLocked 2 16 2 7" xfId="14083"/>
    <cellStyle name="SAPLocked 2 16 2 7 2" xfId="14084"/>
    <cellStyle name="SAPLocked 2 16 2 8" xfId="14085"/>
    <cellStyle name="SAPLocked 2 16 2 8 2" xfId="14086"/>
    <cellStyle name="SAPLocked 2 16 2 9" xfId="14087"/>
    <cellStyle name="SAPLocked 2 16 2 9 2" xfId="14088"/>
    <cellStyle name="SAPLocked 2 16 3" xfId="14089"/>
    <cellStyle name="SAPLocked 2 16 3 2" xfId="14090"/>
    <cellStyle name="SAPLocked 2 16 4" xfId="14091"/>
    <cellStyle name="SAPLocked 2 16 4 2" xfId="14092"/>
    <cellStyle name="SAPLocked 2 16 5" xfId="14093"/>
    <cellStyle name="SAPLocked 2 16 5 2" xfId="14094"/>
    <cellStyle name="SAPLocked 2 16 6" xfId="14095"/>
    <cellStyle name="SAPLocked 2 16 6 2" xfId="14096"/>
    <cellStyle name="SAPLocked 2 16 7" xfId="14097"/>
    <cellStyle name="SAPLocked 2 16 7 2" xfId="14098"/>
    <cellStyle name="SAPLocked 2 16 8" xfId="14099"/>
    <cellStyle name="SAPLocked 2 16 8 2" xfId="14100"/>
    <cellStyle name="SAPLocked 2 16 9" xfId="14101"/>
    <cellStyle name="SAPLocked 2 16 9 2" xfId="14102"/>
    <cellStyle name="SAPLocked 2 17" xfId="14103"/>
    <cellStyle name="SAPLocked 2 17 10" xfId="14104"/>
    <cellStyle name="SAPLocked 2 17 10 2" xfId="14105"/>
    <cellStyle name="SAPLocked 2 17 11" xfId="14106"/>
    <cellStyle name="SAPLocked 2 17 11 2" xfId="14107"/>
    <cellStyle name="SAPLocked 2 17 12" xfId="14108"/>
    <cellStyle name="SAPLocked 2 17 12 2" xfId="14109"/>
    <cellStyle name="SAPLocked 2 17 13" xfId="14110"/>
    <cellStyle name="SAPLocked 2 17 2" xfId="14111"/>
    <cellStyle name="SAPLocked 2 17 2 10" xfId="14112"/>
    <cellStyle name="SAPLocked 2 17 2 10 2" xfId="14113"/>
    <cellStyle name="SAPLocked 2 17 2 11" xfId="14114"/>
    <cellStyle name="SAPLocked 2 17 2 11 2" xfId="14115"/>
    <cellStyle name="SAPLocked 2 17 2 12" xfId="14116"/>
    <cellStyle name="SAPLocked 2 17 2 2" xfId="14117"/>
    <cellStyle name="SAPLocked 2 17 2 2 2" xfId="14118"/>
    <cellStyle name="SAPLocked 2 17 2 3" xfId="14119"/>
    <cellStyle name="SAPLocked 2 17 2 3 2" xfId="14120"/>
    <cellStyle name="SAPLocked 2 17 2 4" xfId="14121"/>
    <cellStyle name="SAPLocked 2 17 2 4 2" xfId="14122"/>
    <cellStyle name="SAPLocked 2 17 2 5" xfId="14123"/>
    <cellStyle name="SAPLocked 2 17 2 5 2" xfId="14124"/>
    <cellStyle name="SAPLocked 2 17 2 6" xfId="14125"/>
    <cellStyle name="SAPLocked 2 17 2 6 2" xfId="14126"/>
    <cellStyle name="SAPLocked 2 17 2 7" xfId="14127"/>
    <cellStyle name="SAPLocked 2 17 2 7 2" xfId="14128"/>
    <cellStyle name="SAPLocked 2 17 2 8" xfId="14129"/>
    <cellStyle name="SAPLocked 2 17 2 8 2" xfId="14130"/>
    <cellStyle name="SAPLocked 2 17 2 9" xfId="14131"/>
    <cellStyle name="SAPLocked 2 17 2 9 2" xfId="14132"/>
    <cellStyle name="SAPLocked 2 17 3" xfId="14133"/>
    <cellStyle name="SAPLocked 2 17 3 2" xfId="14134"/>
    <cellStyle name="SAPLocked 2 17 4" xfId="14135"/>
    <cellStyle name="SAPLocked 2 17 4 2" xfId="14136"/>
    <cellStyle name="SAPLocked 2 17 5" xfId="14137"/>
    <cellStyle name="SAPLocked 2 17 5 2" xfId="14138"/>
    <cellStyle name="SAPLocked 2 17 6" xfId="14139"/>
    <cellStyle name="SAPLocked 2 17 6 2" xfId="14140"/>
    <cellStyle name="SAPLocked 2 17 7" xfId="14141"/>
    <cellStyle name="SAPLocked 2 17 7 2" xfId="14142"/>
    <cellStyle name="SAPLocked 2 17 8" xfId="14143"/>
    <cellStyle name="SAPLocked 2 17 8 2" xfId="14144"/>
    <cellStyle name="SAPLocked 2 17 9" xfId="14145"/>
    <cellStyle name="SAPLocked 2 17 9 2" xfId="14146"/>
    <cellStyle name="SAPLocked 2 18" xfId="14147"/>
    <cellStyle name="SAPLocked 2 18 10" xfId="14148"/>
    <cellStyle name="SAPLocked 2 18 10 2" xfId="14149"/>
    <cellStyle name="SAPLocked 2 18 11" xfId="14150"/>
    <cellStyle name="SAPLocked 2 18 11 2" xfId="14151"/>
    <cellStyle name="SAPLocked 2 18 12" xfId="14152"/>
    <cellStyle name="SAPLocked 2 18 12 2" xfId="14153"/>
    <cellStyle name="SAPLocked 2 18 13" xfId="14154"/>
    <cellStyle name="SAPLocked 2 18 2" xfId="14155"/>
    <cellStyle name="SAPLocked 2 18 2 10" xfId="14156"/>
    <cellStyle name="SAPLocked 2 18 2 10 2" xfId="14157"/>
    <cellStyle name="SAPLocked 2 18 2 11" xfId="14158"/>
    <cellStyle name="SAPLocked 2 18 2 11 2" xfId="14159"/>
    <cellStyle name="SAPLocked 2 18 2 12" xfId="14160"/>
    <cellStyle name="SAPLocked 2 18 2 2" xfId="14161"/>
    <cellStyle name="SAPLocked 2 18 2 2 2" xfId="14162"/>
    <cellStyle name="SAPLocked 2 18 2 3" xfId="14163"/>
    <cellStyle name="SAPLocked 2 18 2 3 2" xfId="14164"/>
    <cellStyle name="SAPLocked 2 18 2 4" xfId="14165"/>
    <cellStyle name="SAPLocked 2 18 2 4 2" xfId="14166"/>
    <cellStyle name="SAPLocked 2 18 2 5" xfId="14167"/>
    <cellStyle name="SAPLocked 2 18 2 5 2" xfId="14168"/>
    <cellStyle name="SAPLocked 2 18 2 6" xfId="14169"/>
    <cellStyle name="SAPLocked 2 18 2 6 2" xfId="14170"/>
    <cellStyle name="SAPLocked 2 18 2 7" xfId="14171"/>
    <cellStyle name="SAPLocked 2 18 2 7 2" xfId="14172"/>
    <cellStyle name="SAPLocked 2 18 2 8" xfId="14173"/>
    <cellStyle name="SAPLocked 2 18 2 8 2" xfId="14174"/>
    <cellStyle name="SAPLocked 2 18 2 9" xfId="14175"/>
    <cellStyle name="SAPLocked 2 18 2 9 2" xfId="14176"/>
    <cellStyle name="SAPLocked 2 18 3" xfId="14177"/>
    <cellStyle name="SAPLocked 2 18 3 2" xfId="14178"/>
    <cellStyle name="SAPLocked 2 18 4" xfId="14179"/>
    <cellStyle name="SAPLocked 2 18 4 2" xfId="14180"/>
    <cellStyle name="SAPLocked 2 18 5" xfId="14181"/>
    <cellStyle name="SAPLocked 2 18 5 2" xfId="14182"/>
    <cellStyle name="SAPLocked 2 18 6" xfId="14183"/>
    <cellStyle name="SAPLocked 2 18 6 2" xfId="14184"/>
    <cellStyle name="SAPLocked 2 18 7" xfId="14185"/>
    <cellStyle name="SAPLocked 2 18 7 2" xfId="14186"/>
    <cellStyle name="SAPLocked 2 18 8" xfId="14187"/>
    <cellStyle name="SAPLocked 2 18 8 2" xfId="14188"/>
    <cellStyle name="SAPLocked 2 18 9" xfId="14189"/>
    <cellStyle name="SAPLocked 2 18 9 2" xfId="14190"/>
    <cellStyle name="SAPLocked 2 19" xfId="14191"/>
    <cellStyle name="SAPLocked 2 19 10" xfId="14192"/>
    <cellStyle name="SAPLocked 2 19 10 2" xfId="14193"/>
    <cellStyle name="SAPLocked 2 19 11" xfId="14194"/>
    <cellStyle name="SAPLocked 2 19 11 2" xfId="14195"/>
    <cellStyle name="SAPLocked 2 19 12" xfId="14196"/>
    <cellStyle name="SAPLocked 2 19 12 2" xfId="14197"/>
    <cellStyle name="SAPLocked 2 19 13" xfId="14198"/>
    <cellStyle name="SAPLocked 2 19 2" xfId="14199"/>
    <cellStyle name="SAPLocked 2 19 2 10" xfId="14200"/>
    <cellStyle name="SAPLocked 2 19 2 10 2" xfId="14201"/>
    <cellStyle name="SAPLocked 2 19 2 11" xfId="14202"/>
    <cellStyle name="SAPLocked 2 19 2 11 2" xfId="14203"/>
    <cellStyle name="SAPLocked 2 19 2 12" xfId="14204"/>
    <cellStyle name="SAPLocked 2 19 2 2" xfId="14205"/>
    <cellStyle name="SAPLocked 2 19 2 2 2" xfId="14206"/>
    <cellStyle name="SAPLocked 2 19 2 3" xfId="14207"/>
    <cellStyle name="SAPLocked 2 19 2 3 2" xfId="14208"/>
    <cellStyle name="SAPLocked 2 19 2 4" xfId="14209"/>
    <cellStyle name="SAPLocked 2 19 2 4 2" xfId="14210"/>
    <cellStyle name="SAPLocked 2 19 2 5" xfId="14211"/>
    <cellStyle name="SAPLocked 2 19 2 5 2" xfId="14212"/>
    <cellStyle name="SAPLocked 2 19 2 6" xfId="14213"/>
    <cellStyle name="SAPLocked 2 19 2 6 2" xfId="14214"/>
    <cellStyle name="SAPLocked 2 19 2 7" xfId="14215"/>
    <cellStyle name="SAPLocked 2 19 2 7 2" xfId="14216"/>
    <cellStyle name="SAPLocked 2 19 2 8" xfId="14217"/>
    <cellStyle name="SAPLocked 2 19 2 8 2" xfId="14218"/>
    <cellStyle name="SAPLocked 2 19 2 9" xfId="14219"/>
    <cellStyle name="SAPLocked 2 19 2 9 2" xfId="14220"/>
    <cellStyle name="SAPLocked 2 19 3" xfId="14221"/>
    <cellStyle name="SAPLocked 2 19 3 2" xfId="14222"/>
    <cellStyle name="SAPLocked 2 19 4" xfId="14223"/>
    <cellStyle name="SAPLocked 2 19 4 2" xfId="14224"/>
    <cellStyle name="SAPLocked 2 19 5" xfId="14225"/>
    <cellStyle name="SAPLocked 2 19 5 2" xfId="14226"/>
    <cellStyle name="SAPLocked 2 19 6" xfId="14227"/>
    <cellStyle name="SAPLocked 2 19 6 2" xfId="14228"/>
    <cellStyle name="SAPLocked 2 19 7" xfId="14229"/>
    <cellStyle name="SAPLocked 2 19 7 2" xfId="14230"/>
    <cellStyle name="SAPLocked 2 19 8" xfId="14231"/>
    <cellStyle name="SAPLocked 2 19 8 2" xfId="14232"/>
    <cellStyle name="SAPLocked 2 19 9" xfId="14233"/>
    <cellStyle name="SAPLocked 2 19 9 2" xfId="14234"/>
    <cellStyle name="SAPLocked 2 2" xfId="14235"/>
    <cellStyle name="SAPLocked 2 2 10" xfId="14236"/>
    <cellStyle name="SAPLocked 2 2 10 2" xfId="14237"/>
    <cellStyle name="SAPLocked 2 2 11" xfId="14238"/>
    <cellStyle name="SAPLocked 2 2 11 2" xfId="14239"/>
    <cellStyle name="SAPLocked 2 2 12" xfId="14240"/>
    <cellStyle name="SAPLocked 2 2 12 2" xfId="14241"/>
    <cellStyle name="SAPLocked 2 2 13" xfId="14242"/>
    <cellStyle name="SAPLocked 2 2 2" xfId="14243"/>
    <cellStyle name="SAPLocked 2 2 2 10" xfId="14244"/>
    <cellStyle name="SAPLocked 2 2 2 10 2" xfId="14245"/>
    <cellStyle name="SAPLocked 2 2 2 11" xfId="14246"/>
    <cellStyle name="SAPLocked 2 2 2 11 2" xfId="14247"/>
    <cellStyle name="SAPLocked 2 2 2 12" xfId="14248"/>
    <cellStyle name="SAPLocked 2 2 2 2" xfId="14249"/>
    <cellStyle name="SAPLocked 2 2 2 2 2" xfId="14250"/>
    <cellStyle name="SAPLocked 2 2 2 3" xfId="14251"/>
    <cellStyle name="SAPLocked 2 2 2 3 2" xfId="14252"/>
    <cellStyle name="SAPLocked 2 2 2 4" xfId="14253"/>
    <cellStyle name="SAPLocked 2 2 2 4 2" xfId="14254"/>
    <cellStyle name="SAPLocked 2 2 2 5" xfId="14255"/>
    <cellStyle name="SAPLocked 2 2 2 5 2" xfId="14256"/>
    <cellStyle name="SAPLocked 2 2 2 6" xfId="14257"/>
    <cellStyle name="SAPLocked 2 2 2 6 2" xfId="14258"/>
    <cellStyle name="SAPLocked 2 2 2 7" xfId="14259"/>
    <cellStyle name="SAPLocked 2 2 2 7 2" xfId="14260"/>
    <cellStyle name="SAPLocked 2 2 2 8" xfId="14261"/>
    <cellStyle name="SAPLocked 2 2 2 8 2" xfId="14262"/>
    <cellStyle name="SAPLocked 2 2 2 9" xfId="14263"/>
    <cellStyle name="SAPLocked 2 2 2 9 2" xfId="14264"/>
    <cellStyle name="SAPLocked 2 2 3" xfId="14265"/>
    <cellStyle name="SAPLocked 2 2 3 2" xfId="14266"/>
    <cellStyle name="SAPLocked 2 2 4" xfId="14267"/>
    <cellStyle name="SAPLocked 2 2 4 2" xfId="14268"/>
    <cellStyle name="SAPLocked 2 2 5" xfId="14269"/>
    <cellStyle name="SAPLocked 2 2 5 2" xfId="14270"/>
    <cellStyle name="SAPLocked 2 2 6" xfId="14271"/>
    <cellStyle name="SAPLocked 2 2 6 2" xfId="14272"/>
    <cellStyle name="SAPLocked 2 2 7" xfId="14273"/>
    <cellStyle name="SAPLocked 2 2 7 2" xfId="14274"/>
    <cellStyle name="SAPLocked 2 2 8" xfId="14275"/>
    <cellStyle name="SAPLocked 2 2 8 2" xfId="14276"/>
    <cellStyle name="SAPLocked 2 2 9" xfId="14277"/>
    <cellStyle name="SAPLocked 2 2 9 2" xfId="14278"/>
    <cellStyle name="SAPLocked 2 20" xfId="14279"/>
    <cellStyle name="SAPLocked 2 20 10" xfId="14280"/>
    <cellStyle name="SAPLocked 2 20 10 2" xfId="14281"/>
    <cellStyle name="SAPLocked 2 20 11" xfId="14282"/>
    <cellStyle name="SAPLocked 2 20 11 2" xfId="14283"/>
    <cellStyle name="SAPLocked 2 20 12" xfId="14284"/>
    <cellStyle name="SAPLocked 2 20 12 2" xfId="14285"/>
    <cellStyle name="SAPLocked 2 20 13" xfId="14286"/>
    <cellStyle name="SAPLocked 2 20 2" xfId="14287"/>
    <cellStyle name="SAPLocked 2 20 2 10" xfId="14288"/>
    <cellStyle name="SAPLocked 2 20 2 10 2" xfId="14289"/>
    <cellStyle name="SAPLocked 2 20 2 11" xfId="14290"/>
    <cellStyle name="SAPLocked 2 20 2 11 2" xfId="14291"/>
    <cellStyle name="SAPLocked 2 20 2 12" xfId="14292"/>
    <cellStyle name="SAPLocked 2 20 2 2" xfId="14293"/>
    <cellStyle name="SAPLocked 2 20 2 2 2" xfId="14294"/>
    <cellStyle name="SAPLocked 2 20 2 3" xfId="14295"/>
    <cellStyle name="SAPLocked 2 20 2 3 2" xfId="14296"/>
    <cellStyle name="SAPLocked 2 20 2 4" xfId="14297"/>
    <cellStyle name="SAPLocked 2 20 2 4 2" xfId="14298"/>
    <cellStyle name="SAPLocked 2 20 2 5" xfId="14299"/>
    <cellStyle name="SAPLocked 2 20 2 5 2" xfId="14300"/>
    <cellStyle name="SAPLocked 2 20 2 6" xfId="14301"/>
    <cellStyle name="SAPLocked 2 20 2 6 2" xfId="14302"/>
    <cellStyle name="SAPLocked 2 20 2 7" xfId="14303"/>
    <cellStyle name="SAPLocked 2 20 2 7 2" xfId="14304"/>
    <cellStyle name="SAPLocked 2 20 2 8" xfId="14305"/>
    <cellStyle name="SAPLocked 2 20 2 8 2" xfId="14306"/>
    <cellStyle name="SAPLocked 2 20 2 9" xfId="14307"/>
    <cellStyle name="SAPLocked 2 20 2 9 2" xfId="14308"/>
    <cellStyle name="SAPLocked 2 20 3" xfId="14309"/>
    <cellStyle name="SAPLocked 2 20 3 2" xfId="14310"/>
    <cellStyle name="SAPLocked 2 20 4" xfId="14311"/>
    <cellStyle name="SAPLocked 2 20 4 2" xfId="14312"/>
    <cellStyle name="SAPLocked 2 20 5" xfId="14313"/>
    <cellStyle name="SAPLocked 2 20 5 2" xfId="14314"/>
    <cellStyle name="SAPLocked 2 20 6" xfId="14315"/>
    <cellStyle name="SAPLocked 2 20 6 2" xfId="14316"/>
    <cellStyle name="SAPLocked 2 20 7" xfId="14317"/>
    <cellStyle name="SAPLocked 2 20 7 2" xfId="14318"/>
    <cellStyle name="SAPLocked 2 20 8" xfId="14319"/>
    <cellStyle name="SAPLocked 2 20 8 2" xfId="14320"/>
    <cellStyle name="SAPLocked 2 20 9" xfId="14321"/>
    <cellStyle name="SAPLocked 2 20 9 2" xfId="14322"/>
    <cellStyle name="SAPLocked 2 21" xfId="14323"/>
    <cellStyle name="SAPLocked 2 21 10" xfId="14324"/>
    <cellStyle name="SAPLocked 2 21 10 2" xfId="14325"/>
    <cellStyle name="SAPLocked 2 21 11" xfId="14326"/>
    <cellStyle name="SAPLocked 2 21 11 2" xfId="14327"/>
    <cellStyle name="SAPLocked 2 21 12" xfId="14328"/>
    <cellStyle name="SAPLocked 2 21 2" xfId="14329"/>
    <cellStyle name="SAPLocked 2 21 2 2" xfId="14330"/>
    <cellStyle name="SAPLocked 2 21 3" xfId="14331"/>
    <cellStyle name="SAPLocked 2 21 3 2" xfId="14332"/>
    <cellStyle name="SAPLocked 2 21 4" xfId="14333"/>
    <cellStyle name="SAPLocked 2 21 4 2" xfId="14334"/>
    <cellStyle name="SAPLocked 2 21 5" xfId="14335"/>
    <cellStyle name="SAPLocked 2 21 5 2" xfId="14336"/>
    <cellStyle name="SAPLocked 2 21 6" xfId="14337"/>
    <cellStyle name="SAPLocked 2 21 6 2" xfId="14338"/>
    <cellStyle name="SAPLocked 2 21 7" xfId="14339"/>
    <cellStyle name="SAPLocked 2 21 7 2" xfId="14340"/>
    <cellStyle name="SAPLocked 2 21 8" xfId="14341"/>
    <cellStyle name="SAPLocked 2 21 8 2" xfId="14342"/>
    <cellStyle name="SAPLocked 2 21 9" xfId="14343"/>
    <cellStyle name="SAPLocked 2 21 9 2" xfId="14344"/>
    <cellStyle name="SAPLocked 2 22" xfId="14345"/>
    <cellStyle name="SAPLocked 2 22 2" xfId="14346"/>
    <cellStyle name="SAPLocked 2 23" xfId="14347"/>
    <cellStyle name="SAPLocked 2 23 2" xfId="14348"/>
    <cellStyle name="SAPLocked 2 24" xfId="14349"/>
    <cellStyle name="SAPLocked 2 24 2" xfId="14350"/>
    <cellStyle name="SAPLocked 2 25" xfId="14351"/>
    <cellStyle name="SAPLocked 2 25 2" xfId="14352"/>
    <cellStyle name="SAPLocked 2 26" xfId="14353"/>
    <cellStyle name="SAPLocked 2 26 2" xfId="14354"/>
    <cellStyle name="SAPLocked 2 27" xfId="14355"/>
    <cellStyle name="SAPLocked 2 27 2" xfId="14356"/>
    <cellStyle name="SAPLocked 2 28" xfId="14357"/>
    <cellStyle name="SAPLocked 2 28 2" xfId="14358"/>
    <cellStyle name="SAPLocked 2 29" xfId="14359"/>
    <cellStyle name="SAPLocked 2 29 2" xfId="14360"/>
    <cellStyle name="SAPLocked 2 3" xfId="14361"/>
    <cellStyle name="SAPLocked 2 3 10" xfId="14362"/>
    <cellStyle name="SAPLocked 2 3 10 2" xfId="14363"/>
    <cellStyle name="SAPLocked 2 3 11" xfId="14364"/>
    <cellStyle name="SAPLocked 2 3 11 2" xfId="14365"/>
    <cellStyle name="SAPLocked 2 3 12" xfId="14366"/>
    <cellStyle name="SAPLocked 2 3 12 2" xfId="14367"/>
    <cellStyle name="SAPLocked 2 3 13" xfId="14368"/>
    <cellStyle name="SAPLocked 2 3 2" xfId="14369"/>
    <cellStyle name="SAPLocked 2 3 2 10" xfId="14370"/>
    <cellStyle name="SAPLocked 2 3 2 10 2" xfId="14371"/>
    <cellStyle name="SAPLocked 2 3 2 11" xfId="14372"/>
    <cellStyle name="SAPLocked 2 3 2 11 2" xfId="14373"/>
    <cellStyle name="SAPLocked 2 3 2 12" xfId="14374"/>
    <cellStyle name="SAPLocked 2 3 2 2" xfId="14375"/>
    <cellStyle name="SAPLocked 2 3 2 2 2" xfId="14376"/>
    <cellStyle name="SAPLocked 2 3 2 3" xfId="14377"/>
    <cellStyle name="SAPLocked 2 3 2 3 2" xfId="14378"/>
    <cellStyle name="SAPLocked 2 3 2 4" xfId="14379"/>
    <cellStyle name="SAPLocked 2 3 2 4 2" xfId="14380"/>
    <cellStyle name="SAPLocked 2 3 2 5" xfId="14381"/>
    <cellStyle name="SAPLocked 2 3 2 5 2" xfId="14382"/>
    <cellStyle name="SAPLocked 2 3 2 6" xfId="14383"/>
    <cellStyle name="SAPLocked 2 3 2 6 2" xfId="14384"/>
    <cellStyle name="SAPLocked 2 3 2 7" xfId="14385"/>
    <cellStyle name="SAPLocked 2 3 2 7 2" xfId="14386"/>
    <cellStyle name="SAPLocked 2 3 2 8" xfId="14387"/>
    <cellStyle name="SAPLocked 2 3 2 8 2" xfId="14388"/>
    <cellStyle name="SAPLocked 2 3 2 9" xfId="14389"/>
    <cellStyle name="SAPLocked 2 3 2 9 2" xfId="14390"/>
    <cellStyle name="SAPLocked 2 3 3" xfId="14391"/>
    <cellStyle name="SAPLocked 2 3 3 2" xfId="14392"/>
    <cellStyle name="SAPLocked 2 3 4" xfId="14393"/>
    <cellStyle name="SAPLocked 2 3 4 2" xfId="14394"/>
    <cellStyle name="SAPLocked 2 3 5" xfId="14395"/>
    <cellStyle name="SAPLocked 2 3 5 2" xfId="14396"/>
    <cellStyle name="SAPLocked 2 3 6" xfId="14397"/>
    <cellStyle name="SAPLocked 2 3 6 2" xfId="14398"/>
    <cellStyle name="SAPLocked 2 3 7" xfId="14399"/>
    <cellStyle name="SAPLocked 2 3 7 2" xfId="14400"/>
    <cellStyle name="SAPLocked 2 3 8" xfId="14401"/>
    <cellStyle name="SAPLocked 2 3 8 2" xfId="14402"/>
    <cellStyle name="SAPLocked 2 3 9" xfId="14403"/>
    <cellStyle name="SAPLocked 2 3 9 2" xfId="14404"/>
    <cellStyle name="SAPLocked 2 30" xfId="14405"/>
    <cellStyle name="SAPLocked 2 4" xfId="14406"/>
    <cellStyle name="SAPLocked 2 4 10" xfId="14407"/>
    <cellStyle name="SAPLocked 2 4 10 2" xfId="14408"/>
    <cellStyle name="SAPLocked 2 4 11" xfId="14409"/>
    <cellStyle name="SAPLocked 2 4 11 2" xfId="14410"/>
    <cellStyle name="SAPLocked 2 4 12" xfId="14411"/>
    <cellStyle name="SAPLocked 2 4 12 2" xfId="14412"/>
    <cellStyle name="SAPLocked 2 4 13" xfId="14413"/>
    <cellStyle name="SAPLocked 2 4 2" xfId="14414"/>
    <cellStyle name="SAPLocked 2 4 2 10" xfId="14415"/>
    <cellStyle name="SAPLocked 2 4 2 10 2" xfId="14416"/>
    <cellStyle name="SAPLocked 2 4 2 11" xfId="14417"/>
    <cellStyle name="SAPLocked 2 4 2 11 2" xfId="14418"/>
    <cellStyle name="SAPLocked 2 4 2 12" xfId="14419"/>
    <cellStyle name="SAPLocked 2 4 2 2" xfId="14420"/>
    <cellStyle name="SAPLocked 2 4 2 2 2" xfId="14421"/>
    <cellStyle name="SAPLocked 2 4 2 3" xfId="14422"/>
    <cellStyle name="SAPLocked 2 4 2 3 2" xfId="14423"/>
    <cellStyle name="SAPLocked 2 4 2 4" xfId="14424"/>
    <cellStyle name="SAPLocked 2 4 2 4 2" xfId="14425"/>
    <cellStyle name="SAPLocked 2 4 2 5" xfId="14426"/>
    <cellStyle name="SAPLocked 2 4 2 5 2" xfId="14427"/>
    <cellStyle name="SAPLocked 2 4 2 6" xfId="14428"/>
    <cellStyle name="SAPLocked 2 4 2 6 2" xfId="14429"/>
    <cellStyle name="SAPLocked 2 4 2 7" xfId="14430"/>
    <cellStyle name="SAPLocked 2 4 2 7 2" xfId="14431"/>
    <cellStyle name="SAPLocked 2 4 2 8" xfId="14432"/>
    <cellStyle name="SAPLocked 2 4 2 8 2" xfId="14433"/>
    <cellStyle name="SAPLocked 2 4 2 9" xfId="14434"/>
    <cellStyle name="SAPLocked 2 4 2 9 2" xfId="14435"/>
    <cellStyle name="SAPLocked 2 4 3" xfId="14436"/>
    <cellStyle name="SAPLocked 2 4 3 2" xfId="14437"/>
    <cellStyle name="SAPLocked 2 4 4" xfId="14438"/>
    <cellStyle name="SAPLocked 2 4 4 2" xfId="14439"/>
    <cellStyle name="SAPLocked 2 4 5" xfId="14440"/>
    <cellStyle name="SAPLocked 2 4 5 2" xfId="14441"/>
    <cellStyle name="SAPLocked 2 4 6" xfId="14442"/>
    <cellStyle name="SAPLocked 2 4 6 2" xfId="14443"/>
    <cellStyle name="SAPLocked 2 4 7" xfId="14444"/>
    <cellStyle name="SAPLocked 2 4 7 2" xfId="14445"/>
    <cellStyle name="SAPLocked 2 4 8" xfId="14446"/>
    <cellStyle name="SAPLocked 2 4 8 2" xfId="14447"/>
    <cellStyle name="SAPLocked 2 4 9" xfId="14448"/>
    <cellStyle name="SAPLocked 2 4 9 2" xfId="14449"/>
    <cellStyle name="SAPLocked 2 5" xfId="14450"/>
    <cellStyle name="SAPLocked 2 5 10" xfId="14451"/>
    <cellStyle name="SAPLocked 2 5 10 2" xfId="14452"/>
    <cellStyle name="SAPLocked 2 5 11" xfId="14453"/>
    <cellStyle name="SAPLocked 2 5 11 2" xfId="14454"/>
    <cellStyle name="SAPLocked 2 5 12" xfId="14455"/>
    <cellStyle name="SAPLocked 2 5 12 2" xfId="14456"/>
    <cellStyle name="SAPLocked 2 5 13" xfId="14457"/>
    <cellStyle name="SAPLocked 2 5 2" xfId="14458"/>
    <cellStyle name="SAPLocked 2 5 2 10" xfId="14459"/>
    <cellStyle name="SAPLocked 2 5 2 10 2" xfId="14460"/>
    <cellStyle name="SAPLocked 2 5 2 11" xfId="14461"/>
    <cellStyle name="SAPLocked 2 5 2 11 2" xfId="14462"/>
    <cellStyle name="SAPLocked 2 5 2 12" xfId="14463"/>
    <cellStyle name="SAPLocked 2 5 2 2" xfId="14464"/>
    <cellStyle name="SAPLocked 2 5 2 2 2" xfId="14465"/>
    <cellStyle name="SAPLocked 2 5 2 3" xfId="14466"/>
    <cellStyle name="SAPLocked 2 5 2 3 2" xfId="14467"/>
    <cellStyle name="SAPLocked 2 5 2 4" xfId="14468"/>
    <cellStyle name="SAPLocked 2 5 2 4 2" xfId="14469"/>
    <cellStyle name="SAPLocked 2 5 2 5" xfId="14470"/>
    <cellStyle name="SAPLocked 2 5 2 5 2" xfId="14471"/>
    <cellStyle name="SAPLocked 2 5 2 6" xfId="14472"/>
    <cellStyle name="SAPLocked 2 5 2 6 2" xfId="14473"/>
    <cellStyle name="SAPLocked 2 5 2 7" xfId="14474"/>
    <cellStyle name="SAPLocked 2 5 2 7 2" xfId="14475"/>
    <cellStyle name="SAPLocked 2 5 2 8" xfId="14476"/>
    <cellStyle name="SAPLocked 2 5 2 8 2" xfId="14477"/>
    <cellStyle name="SAPLocked 2 5 2 9" xfId="14478"/>
    <cellStyle name="SAPLocked 2 5 2 9 2" xfId="14479"/>
    <cellStyle name="SAPLocked 2 5 3" xfId="14480"/>
    <cellStyle name="SAPLocked 2 5 3 2" xfId="14481"/>
    <cellStyle name="SAPLocked 2 5 4" xfId="14482"/>
    <cellStyle name="SAPLocked 2 5 4 2" xfId="14483"/>
    <cellStyle name="SAPLocked 2 5 5" xfId="14484"/>
    <cellStyle name="SAPLocked 2 5 5 2" xfId="14485"/>
    <cellStyle name="SAPLocked 2 5 6" xfId="14486"/>
    <cellStyle name="SAPLocked 2 5 6 2" xfId="14487"/>
    <cellStyle name="SAPLocked 2 5 7" xfId="14488"/>
    <cellStyle name="SAPLocked 2 5 7 2" xfId="14489"/>
    <cellStyle name="SAPLocked 2 5 8" xfId="14490"/>
    <cellStyle name="SAPLocked 2 5 8 2" xfId="14491"/>
    <cellStyle name="SAPLocked 2 5 9" xfId="14492"/>
    <cellStyle name="SAPLocked 2 5 9 2" xfId="14493"/>
    <cellStyle name="SAPLocked 2 6" xfId="14494"/>
    <cellStyle name="SAPLocked 2 6 10" xfId="14495"/>
    <cellStyle name="SAPLocked 2 6 10 2" xfId="14496"/>
    <cellStyle name="SAPLocked 2 6 11" xfId="14497"/>
    <cellStyle name="SAPLocked 2 6 11 2" xfId="14498"/>
    <cellStyle name="SAPLocked 2 6 12" xfId="14499"/>
    <cellStyle name="SAPLocked 2 6 12 2" xfId="14500"/>
    <cellStyle name="SAPLocked 2 6 13" xfId="14501"/>
    <cellStyle name="SAPLocked 2 6 2" xfId="14502"/>
    <cellStyle name="SAPLocked 2 6 2 10" xfId="14503"/>
    <cellStyle name="SAPLocked 2 6 2 10 2" xfId="14504"/>
    <cellStyle name="SAPLocked 2 6 2 11" xfId="14505"/>
    <cellStyle name="SAPLocked 2 6 2 11 2" xfId="14506"/>
    <cellStyle name="SAPLocked 2 6 2 12" xfId="14507"/>
    <cellStyle name="SAPLocked 2 6 2 2" xfId="14508"/>
    <cellStyle name="SAPLocked 2 6 2 2 2" xfId="14509"/>
    <cellStyle name="SAPLocked 2 6 2 3" xfId="14510"/>
    <cellStyle name="SAPLocked 2 6 2 3 2" xfId="14511"/>
    <cellStyle name="SAPLocked 2 6 2 4" xfId="14512"/>
    <cellStyle name="SAPLocked 2 6 2 4 2" xfId="14513"/>
    <cellStyle name="SAPLocked 2 6 2 5" xfId="14514"/>
    <cellStyle name="SAPLocked 2 6 2 5 2" xfId="14515"/>
    <cellStyle name="SAPLocked 2 6 2 6" xfId="14516"/>
    <cellStyle name="SAPLocked 2 6 2 6 2" xfId="14517"/>
    <cellStyle name="SAPLocked 2 6 2 7" xfId="14518"/>
    <cellStyle name="SAPLocked 2 6 2 7 2" xfId="14519"/>
    <cellStyle name="SAPLocked 2 6 2 8" xfId="14520"/>
    <cellStyle name="SAPLocked 2 6 2 8 2" xfId="14521"/>
    <cellStyle name="SAPLocked 2 6 2 9" xfId="14522"/>
    <cellStyle name="SAPLocked 2 6 2 9 2" xfId="14523"/>
    <cellStyle name="SAPLocked 2 6 3" xfId="14524"/>
    <cellStyle name="SAPLocked 2 6 3 2" xfId="14525"/>
    <cellStyle name="SAPLocked 2 6 4" xfId="14526"/>
    <cellStyle name="SAPLocked 2 6 4 2" xfId="14527"/>
    <cellStyle name="SAPLocked 2 6 5" xfId="14528"/>
    <cellStyle name="SAPLocked 2 6 5 2" xfId="14529"/>
    <cellStyle name="SAPLocked 2 6 6" xfId="14530"/>
    <cellStyle name="SAPLocked 2 6 6 2" xfId="14531"/>
    <cellStyle name="SAPLocked 2 6 7" xfId="14532"/>
    <cellStyle name="SAPLocked 2 6 7 2" xfId="14533"/>
    <cellStyle name="SAPLocked 2 6 8" xfId="14534"/>
    <cellStyle name="SAPLocked 2 6 8 2" xfId="14535"/>
    <cellStyle name="SAPLocked 2 6 9" xfId="14536"/>
    <cellStyle name="SAPLocked 2 6 9 2" xfId="14537"/>
    <cellStyle name="SAPLocked 2 7" xfId="14538"/>
    <cellStyle name="SAPLocked 2 7 10" xfId="14539"/>
    <cellStyle name="SAPLocked 2 7 10 2" xfId="14540"/>
    <cellStyle name="SAPLocked 2 7 11" xfId="14541"/>
    <cellStyle name="SAPLocked 2 7 11 2" xfId="14542"/>
    <cellStyle name="SAPLocked 2 7 12" xfId="14543"/>
    <cellStyle name="SAPLocked 2 7 12 2" xfId="14544"/>
    <cellStyle name="SAPLocked 2 7 13" xfId="14545"/>
    <cellStyle name="SAPLocked 2 7 2" xfId="14546"/>
    <cellStyle name="SAPLocked 2 7 2 10" xfId="14547"/>
    <cellStyle name="SAPLocked 2 7 2 10 2" xfId="14548"/>
    <cellStyle name="SAPLocked 2 7 2 11" xfId="14549"/>
    <cellStyle name="SAPLocked 2 7 2 11 2" xfId="14550"/>
    <cellStyle name="SAPLocked 2 7 2 12" xfId="14551"/>
    <cellStyle name="SAPLocked 2 7 2 2" xfId="14552"/>
    <cellStyle name="SAPLocked 2 7 2 2 2" xfId="14553"/>
    <cellStyle name="SAPLocked 2 7 2 3" xfId="14554"/>
    <cellStyle name="SAPLocked 2 7 2 3 2" xfId="14555"/>
    <cellStyle name="SAPLocked 2 7 2 4" xfId="14556"/>
    <cellStyle name="SAPLocked 2 7 2 4 2" xfId="14557"/>
    <cellStyle name="SAPLocked 2 7 2 5" xfId="14558"/>
    <cellStyle name="SAPLocked 2 7 2 5 2" xfId="14559"/>
    <cellStyle name="SAPLocked 2 7 2 6" xfId="14560"/>
    <cellStyle name="SAPLocked 2 7 2 6 2" xfId="14561"/>
    <cellStyle name="SAPLocked 2 7 2 7" xfId="14562"/>
    <cellStyle name="SAPLocked 2 7 2 7 2" xfId="14563"/>
    <cellStyle name="SAPLocked 2 7 2 8" xfId="14564"/>
    <cellStyle name="SAPLocked 2 7 2 8 2" xfId="14565"/>
    <cellStyle name="SAPLocked 2 7 2 9" xfId="14566"/>
    <cellStyle name="SAPLocked 2 7 2 9 2" xfId="14567"/>
    <cellStyle name="SAPLocked 2 7 3" xfId="14568"/>
    <cellStyle name="SAPLocked 2 7 3 2" xfId="14569"/>
    <cellStyle name="SAPLocked 2 7 4" xfId="14570"/>
    <cellStyle name="SAPLocked 2 7 4 2" xfId="14571"/>
    <cellStyle name="SAPLocked 2 7 5" xfId="14572"/>
    <cellStyle name="SAPLocked 2 7 5 2" xfId="14573"/>
    <cellStyle name="SAPLocked 2 7 6" xfId="14574"/>
    <cellStyle name="SAPLocked 2 7 6 2" xfId="14575"/>
    <cellStyle name="SAPLocked 2 7 7" xfId="14576"/>
    <cellStyle name="SAPLocked 2 7 7 2" xfId="14577"/>
    <cellStyle name="SAPLocked 2 7 8" xfId="14578"/>
    <cellStyle name="SAPLocked 2 7 8 2" xfId="14579"/>
    <cellStyle name="SAPLocked 2 7 9" xfId="14580"/>
    <cellStyle name="SAPLocked 2 7 9 2" xfId="14581"/>
    <cellStyle name="SAPLocked 2 8" xfId="14582"/>
    <cellStyle name="SAPLocked 2 8 10" xfId="14583"/>
    <cellStyle name="SAPLocked 2 8 10 2" xfId="14584"/>
    <cellStyle name="SAPLocked 2 8 11" xfId="14585"/>
    <cellStyle name="SAPLocked 2 8 11 2" xfId="14586"/>
    <cellStyle name="SAPLocked 2 8 12" xfId="14587"/>
    <cellStyle name="SAPLocked 2 8 12 2" xfId="14588"/>
    <cellStyle name="SAPLocked 2 8 13" xfId="14589"/>
    <cellStyle name="SAPLocked 2 8 2" xfId="14590"/>
    <cellStyle name="SAPLocked 2 8 2 10" xfId="14591"/>
    <cellStyle name="SAPLocked 2 8 2 10 2" xfId="14592"/>
    <cellStyle name="SAPLocked 2 8 2 11" xfId="14593"/>
    <cellStyle name="SAPLocked 2 8 2 11 2" xfId="14594"/>
    <cellStyle name="SAPLocked 2 8 2 12" xfId="14595"/>
    <cellStyle name="SAPLocked 2 8 2 2" xfId="14596"/>
    <cellStyle name="SAPLocked 2 8 2 2 2" xfId="14597"/>
    <cellStyle name="SAPLocked 2 8 2 3" xfId="14598"/>
    <cellStyle name="SAPLocked 2 8 2 3 2" xfId="14599"/>
    <cellStyle name="SAPLocked 2 8 2 4" xfId="14600"/>
    <cellStyle name="SAPLocked 2 8 2 4 2" xfId="14601"/>
    <cellStyle name="SAPLocked 2 8 2 5" xfId="14602"/>
    <cellStyle name="SAPLocked 2 8 2 5 2" xfId="14603"/>
    <cellStyle name="SAPLocked 2 8 2 6" xfId="14604"/>
    <cellStyle name="SAPLocked 2 8 2 6 2" xfId="14605"/>
    <cellStyle name="SAPLocked 2 8 2 7" xfId="14606"/>
    <cellStyle name="SAPLocked 2 8 2 7 2" xfId="14607"/>
    <cellStyle name="SAPLocked 2 8 2 8" xfId="14608"/>
    <cellStyle name="SAPLocked 2 8 2 8 2" xfId="14609"/>
    <cellStyle name="SAPLocked 2 8 2 9" xfId="14610"/>
    <cellStyle name="SAPLocked 2 8 2 9 2" xfId="14611"/>
    <cellStyle name="SAPLocked 2 8 3" xfId="14612"/>
    <cellStyle name="SAPLocked 2 8 3 2" xfId="14613"/>
    <cellStyle name="SAPLocked 2 8 4" xfId="14614"/>
    <cellStyle name="SAPLocked 2 8 4 2" xfId="14615"/>
    <cellStyle name="SAPLocked 2 8 5" xfId="14616"/>
    <cellStyle name="SAPLocked 2 8 5 2" xfId="14617"/>
    <cellStyle name="SAPLocked 2 8 6" xfId="14618"/>
    <cellStyle name="SAPLocked 2 8 6 2" xfId="14619"/>
    <cellStyle name="SAPLocked 2 8 7" xfId="14620"/>
    <cellStyle name="SAPLocked 2 8 7 2" xfId="14621"/>
    <cellStyle name="SAPLocked 2 8 8" xfId="14622"/>
    <cellStyle name="SAPLocked 2 8 8 2" xfId="14623"/>
    <cellStyle name="SAPLocked 2 8 9" xfId="14624"/>
    <cellStyle name="SAPLocked 2 8 9 2" xfId="14625"/>
    <cellStyle name="SAPLocked 2 9" xfId="14626"/>
    <cellStyle name="SAPLocked 2 9 10" xfId="14627"/>
    <cellStyle name="SAPLocked 2 9 10 2" xfId="14628"/>
    <cellStyle name="SAPLocked 2 9 11" xfId="14629"/>
    <cellStyle name="SAPLocked 2 9 11 2" xfId="14630"/>
    <cellStyle name="SAPLocked 2 9 12" xfId="14631"/>
    <cellStyle name="SAPLocked 2 9 12 2" xfId="14632"/>
    <cellStyle name="SAPLocked 2 9 13" xfId="14633"/>
    <cellStyle name="SAPLocked 2 9 2" xfId="14634"/>
    <cellStyle name="SAPLocked 2 9 2 10" xfId="14635"/>
    <cellStyle name="SAPLocked 2 9 2 10 2" xfId="14636"/>
    <cellStyle name="SAPLocked 2 9 2 11" xfId="14637"/>
    <cellStyle name="SAPLocked 2 9 2 11 2" xfId="14638"/>
    <cellStyle name="SAPLocked 2 9 2 12" xfId="14639"/>
    <cellStyle name="SAPLocked 2 9 2 2" xfId="14640"/>
    <cellStyle name="SAPLocked 2 9 2 2 2" xfId="14641"/>
    <cellStyle name="SAPLocked 2 9 2 3" xfId="14642"/>
    <cellStyle name="SAPLocked 2 9 2 3 2" xfId="14643"/>
    <cellStyle name="SAPLocked 2 9 2 4" xfId="14644"/>
    <cellStyle name="SAPLocked 2 9 2 4 2" xfId="14645"/>
    <cellStyle name="SAPLocked 2 9 2 5" xfId="14646"/>
    <cellStyle name="SAPLocked 2 9 2 5 2" xfId="14647"/>
    <cellStyle name="SAPLocked 2 9 2 6" xfId="14648"/>
    <cellStyle name="SAPLocked 2 9 2 6 2" xfId="14649"/>
    <cellStyle name="SAPLocked 2 9 2 7" xfId="14650"/>
    <cellStyle name="SAPLocked 2 9 2 7 2" xfId="14651"/>
    <cellStyle name="SAPLocked 2 9 2 8" xfId="14652"/>
    <cellStyle name="SAPLocked 2 9 2 8 2" xfId="14653"/>
    <cellStyle name="SAPLocked 2 9 2 9" xfId="14654"/>
    <cellStyle name="SAPLocked 2 9 2 9 2" xfId="14655"/>
    <cellStyle name="SAPLocked 2 9 3" xfId="14656"/>
    <cellStyle name="SAPLocked 2 9 3 2" xfId="14657"/>
    <cellStyle name="SAPLocked 2 9 4" xfId="14658"/>
    <cellStyle name="SAPLocked 2 9 4 2" xfId="14659"/>
    <cellStyle name="SAPLocked 2 9 5" xfId="14660"/>
    <cellStyle name="SAPLocked 2 9 5 2" xfId="14661"/>
    <cellStyle name="SAPLocked 2 9 6" xfId="14662"/>
    <cellStyle name="SAPLocked 2 9 6 2" xfId="14663"/>
    <cellStyle name="SAPLocked 2 9 7" xfId="14664"/>
    <cellStyle name="SAPLocked 2 9 7 2" xfId="14665"/>
    <cellStyle name="SAPLocked 2 9 8" xfId="14666"/>
    <cellStyle name="SAPLocked 2 9 8 2" xfId="14667"/>
    <cellStyle name="SAPLocked 2 9 9" xfId="14668"/>
    <cellStyle name="SAPLocked 2 9 9 2" xfId="14669"/>
    <cellStyle name="SAPLocked 20" xfId="14670"/>
    <cellStyle name="SAPLocked 20 10" xfId="14671"/>
    <cellStyle name="SAPLocked 20 10 2" xfId="14672"/>
    <cellStyle name="SAPLocked 20 11" xfId="14673"/>
    <cellStyle name="SAPLocked 20 11 2" xfId="14674"/>
    <cellStyle name="SAPLocked 20 12" xfId="14675"/>
    <cellStyle name="SAPLocked 20 12 2" xfId="14676"/>
    <cellStyle name="SAPLocked 20 13" xfId="14677"/>
    <cellStyle name="SAPLocked 20 2" xfId="14678"/>
    <cellStyle name="SAPLocked 20 2 10" xfId="14679"/>
    <cellStyle name="SAPLocked 20 2 10 2" xfId="14680"/>
    <cellStyle name="SAPLocked 20 2 11" xfId="14681"/>
    <cellStyle name="SAPLocked 20 2 11 2" xfId="14682"/>
    <cellStyle name="SAPLocked 20 2 12" xfId="14683"/>
    <cellStyle name="SAPLocked 20 2 2" xfId="14684"/>
    <cellStyle name="SAPLocked 20 2 2 2" xfId="14685"/>
    <cellStyle name="SAPLocked 20 2 3" xfId="14686"/>
    <cellStyle name="SAPLocked 20 2 3 2" xfId="14687"/>
    <cellStyle name="SAPLocked 20 2 4" xfId="14688"/>
    <cellStyle name="SAPLocked 20 2 4 2" xfId="14689"/>
    <cellStyle name="SAPLocked 20 2 5" xfId="14690"/>
    <cellStyle name="SAPLocked 20 2 5 2" xfId="14691"/>
    <cellStyle name="SAPLocked 20 2 6" xfId="14692"/>
    <cellStyle name="SAPLocked 20 2 6 2" xfId="14693"/>
    <cellStyle name="SAPLocked 20 2 7" xfId="14694"/>
    <cellStyle name="SAPLocked 20 2 7 2" xfId="14695"/>
    <cellStyle name="SAPLocked 20 2 8" xfId="14696"/>
    <cellStyle name="SAPLocked 20 2 8 2" xfId="14697"/>
    <cellStyle name="SAPLocked 20 2 9" xfId="14698"/>
    <cellStyle name="SAPLocked 20 2 9 2" xfId="14699"/>
    <cellStyle name="SAPLocked 20 3" xfId="14700"/>
    <cellStyle name="SAPLocked 20 3 2" xfId="14701"/>
    <cellStyle name="SAPLocked 20 4" xfId="14702"/>
    <cellStyle name="SAPLocked 20 4 2" xfId="14703"/>
    <cellStyle name="SAPLocked 20 5" xfId="14704"/>
    <cellStyle name="SAPLocked 20 5 2" xfId="14705"/>
    <cellStyle name="SAPLocked 20 6" xfId="14706"/>
    <cellStyle name="SAPLocked 20 6 2" xfId="14707"/>
    <cellStyle name="SAPLocked 20 7" xfId="14708"/>
    <cellStyle name="SAPLocked 20 7 2" xfId="14709"/>
    <cellStyle name="SAPLocked 20 8" xfId="14710"/>
    <cellStyle name="SAPLocked 20 8 2" xfId="14711"/>
    <cellStyle name="SAPLocked 20 9" xfId="14712"/>
    <cellStyle name="SAPLocked 20 9 2" xfId="14713"/>
    <cellStyle name="SAPLocked 21" xfId="14714"/>
    <cellStyle name="SAPLocked 21 10" xfId="14715"/>
    <cellStyle name="SAPLocked 21 10 2" xfId="14716"/>
    <cellStyle name="SAPLocked 21 11" xfId="14717"/>
    <cellStyle name="SAPLocked 21 11 2" xfId="14718"/>
    <cellStyle name="SAPLocked 21 12" xfId="14719"/>
    <cellStyle name="SAPLocked 21 12 2" xfId="14720"/>
    <cellStyle name="SAPLocked 21 13" xfId="14721"/>
    <cellStyle name="SAPLocked 21 2" xfId="14722"/>
    <cellStyle name="SAPLocked 21 2 10" xfId="14723"/>
    <cellStyle name="SAPLocked 21 2 10 2" xfId="14724"/>
    <cellStyle name="SAPLocked 21 2 11" xfId="14725"/>
    <cellStyle name="SAPLocked 21 2 11 2" xfId="14726"/>
    <cellStyle name="SAPLocked 21 2 12" xfId="14727"/>
    <cellStyle name="SAPLocked 21 2 2" xfId="14728"/>
    <cellStyle name="SAPLocked 21 2 2 2" xfId="14729"/>
    <cellStyle name="SAPLocked 21 2 3" xfId="14730"/>
    <cellStyle name="SAPLocked 21 2 3 2" xfId="14731"/>
    <cellStyle name="SAPLocked 21 2 4" xfId="14732"/>
    <cellStyle name="SAPLocked 21 2 4 2" xfId="14733"/>
    <cellStyle name="SAPLocked 21 2 5" xfId="14734"/>
    <cellStyle name="SAPLocked 21 2 5 2" xfId="14735"/>
    <cellStyle name="SAPLocked 21 2 6" xfId="14736"/>
    <cellStyle name="SAPLocked 21 2 6 2" xfId="14737"/>
    <cellStyle name="SAPLocked 21 2 7" xfId="14738"/>
    <cellStyle name="SAPLocked 21 2 7 2" xfId="14739"/>
    <cellStyle name="SAPLocked 21 2 8" xfId="14740"/>
    <cellStyle name="SAPLocked 21 2 8 2" xfId="14741"/>
    <cellStyle name="SAPLocked 21 2 9" xfId="14742"/>
    <cellStyle name="SAPLocked 21 2 9 2" xfId="14743"/>
    <cellStyle name="SAPLocked 21 3" xfId="14744"/>
    <cellStyle name="SAPLocked 21 3 2" xfId="14745"/>
    <cellStyle name="SAPLocked 21 4" xfId="14746"/>
    <cellStyle name="SAPLocked 21 4 2" xfId="14747"/>
    <cellStyle name="SAPLocked 21 5" xfId="14748"/>
    <cellStyle name="SAPLocked 21 5 2" xfId="14749"/>
    <cellStyle name="SAPLocked 21 6" xfId="14750"/>
    <cellStyle name="SAPLocked 21 6 2" xfId="14751"/>
    <cellStyle name="SAPLocked 21 7" xfId="14752"/>
    <cellStyle name="SAPLocked 21 7 2" xfId="14753"/>
    <cellStyle name="SAPLocked 21 8" xfId="14754"/>
    <cellStyle name="SAPLocked 21 8 2" xfId="14755"/>
    <cellStyle name="SAPLocked 21 9" xfId="14756"/>
    <cellStyle name="SAPLocked 21 9 2" xfId="14757"/>
    <cellStyle name="SAPLocked 22" xfId="14758"/>
    <cellStyle name="SAPLocked 22 10" xfId="14759"/>
    <cellStyle name="SAPLocked 22 10 2" xfId="14760"/>
    <cellStyle name="SAPLocked 22 11" xfId="14761"/>
    <cellStyle name="SAPLocked 22 11 2" xfId="14762"/>
    <cellStyle name="SAPLocked 22 12" xfId="14763"/>
    <cellStyle name="SAPLocked 22 2" xfId="14764"/>
    <cellStyle name="SAPLocked 22 2 2" xfId="14765"/>
    <cellStyle name="SAPLocked 22 3" xfId="14766"/>
    <cellStyle name="SAPLocked 22 3 2" xfId="14767"/>
    <cellStyle name="SAPLocked 22 4" xfId="14768"/>
    <cellStyle name="SAPLocked 22 4 2" xfId="14769"/>
    <cellStyle name="SAPLocked 22 5" xfId="14770"/>
    <cellStyle name="SAPLocked 22 5 2" xfId="14771"/>
    <cellStyle name="SAPLocked 22 6" xfId="14772"/>
    <cellStyle name="SAPLocked 22 6 2" xfId="14773"/>
    <cellStyle name="SAPLocked 22 7" xfId="14774"/>
    <cellStyle name="SAPLocked 22 7 2" xfId="14775"/>
    <cellStyle name="SAPLocked 22 8" xfId="14776"/>
    <cellStyle name="SAPLocked 22 8 2" xfId="14777"/>
    <cellStyle name="SAPLocked 22 9" xfId="14778"/>
    <cellStyle name="SAPLocked 22 9 2" xfId="14779"/>
    <cellStyle name="SAPLocked 23" xfId="14780"/>
    <cellStyle name="SAPLocked 23 2" xfId="14781"/>
    <cellStyle name="SAPLocked 24" xfId="14782"/>
    <cellStyle name="SAPLocked 24 2" xfId="14783"/>
    <cellStyle name="SAPLocked 25" xfId="14784"/>
    <cellStyle name="SAPLocked 25 2" xfId="14785"/>
    <cellStyle name="SAPLocked 26" xfId="14786"/>
    <cellStyle name="SAPLocked 26 2" xfId="14787"/>
    <cellStyle name="SAPLocked 27" xfId="14788"/>
    <cellStyle name="SAPLocked 27 2" xfId="14789"/>
    <cellStyle name="SAPLocked 28" xfId="14790"/>
    <cellStyle name="SAPLocked 28 2" xfId="14791"/>
    <cellStyle name="SAPLocked 29" xfId="14792"/>
    <cellStyle name="SAPLocked 29 2" xfId="14793"/>
    <cellStyle name="SAPLocked 3" xfId="14794"/>
    <cellStyle name="SAPLocked 3 10" xfId="14795"/>
    <cellStyle name="SAPLocked 3 10 2" xfId="14796"/>
    <cellStyle name="SAPLocked 3 11" xfId="14797"/>
    <cellStyle name="SAPLocked 3 11 2" xfId="14798"/>
    <cellStyle name="SAPLocked 3 12" xfId="14799"/>
    <cellStyle name="SAPLocked 3 12 2" xfId="14800"/>
    <cellStyle name="SAPLocked 3 13" xfId="14801"/>
    <cellStyle name="SAPLocked 3 2" xfId="14802"/>
    <cellStyle name="SAPLocked 3 2 10" xfId="14803"/>
    <cellStyle name="SAPLocked 3 2 10 2" xfId="14804"/>
    <cellStyle name="SAPLocked 3 2 11" xfId="14805"/>
    <cellStyle name="SAPLocked 3 2 11 2" xfId="14806"/>
    <cellStyle name="SAPLocked 3 2 12" xfId="14807"/>
    <cellStyle name="SAPLocked 3 2 2" xfId="14808"/>
    <cellStyle name="SAPLocked 3 2 2 2" xfId="14809"/>
    <cellStyle name="SAPLocked 3 2 3" xfId="14810"/>
    <cellStyle name="SAPLocked 3 2 3 2" xfId="14811"/>
    <cellStyle name="SAPLocked 3 2 4" xfId="14812"/>
    <cellStyle name="SAPLocked 3 2 4 2" xfId="14813"/>
    <cellStyle name="SAPLocked 3 2 5" xfId="14814"/>
    <cellStyle name="SAPLocked 3 2 5 2" xfId="14815"/>
    <cellStyle name="SAPLocked 3 2 6" xfId="14816"/>
    <cellStyle name="SAPLocked 3 2 6 2" xfId="14817"/>
    <cellStyle name="SAPLocked 3 2 7" xfId="14818"/>
    <cellStyle name="SAPLocked 3 2 7 2" xfId="14819"/>
    <cellStyle name="SAPLocked 3 2 8" xfId="14820"/>
    <cellStyle name="SAPLocked 3 2 8 2" xfId="14821"/>
    <cellStyle name="SAPLocked 3 2 9" xfId="14822"/>
    <cellStyle name="SAPLocked 3 2 9 2" xfId="14823"/>
    <cellStyle name="SAPLocked 3 3" xfId="14824"/>
    <cellStyle name="SAPLocked 3 3 2" xfId="14825"/>
    <cellStyle name="SAPLocked 3 4" xfId="14826"/>
    <cellStyle name="SAPLocked 3 4 2" xfId="14827"/>
    <cellStyle name="SAPLocked 3 5" xfId="14828"/>
    <cellStyle name="SAPLocked 3 5 2" xfId="14829"/>
    <cellStyle name="SAPLocked 3 6" xfId="14830"/>
    <cellStyle name="SAPLocked 3 6 2" xfId="14831"/>
    <cellStyle name="SAPLocked 3 7" xfId="14832"/>
    <cellStyle name="SAPLocked 3 7 2" xfId="14833"/>
    <cellStyle name="SAPLocked 3 8" xfId="14834"/>
    <cellStyle name="SAPLocked 3 8 2" xfId="14835"/>
    <cellStyle name="SAPLocked 3 9" xfId="14836"/>
    <cellStyle name="SAPLocked 3 9 2" xfId="14837"/>
    <cellStyle name="SAPLocked 30" xfId="14838"/>
    <cellStyle name="SAPLocked 30 2" xfId="14839"/>
    <cellStyle name="SAPLocked 31" xfId="14840"/>
    <cellStyle name="SAPLocked 4" xfId="14841"/>
    <cellStyle name="SAPLocked 4 10" xfId="14842"/>
    <cellStyle name="SAPLocked 4 10 2" xfId="14843"/>
    <cellStyle name="SAPLocked 4 11" xfId="14844"/>
    <cellStyle name="SAPLocked 4 11 2" xfId="14845"/>
    <cellStyle name="SAPLocked 4 12" xfId="14846"/>
    <cellStyle name="SAPLocked 4 12 2" xfId="14847"/>
    <cellStyle name="SAPLocked 4 13" xfId="14848"/>
    <cellStyle name="SAPLocked 4 2" xfId="14849"/>
    <cellStyle name="SAPLocked 4 2 10" xfId="14850"/>
    <cellStyle name="SAPLocked 4 2 10 2" xfId="14851"/>
    <cellStyle name="SAPLocked 4 2 11" xfId="14852"/>
    <cellStyle name="SAPLocked 4 2 11 2" xfId="14853"/>
    <cellStyle name="SAPLocked 4 2 12" xfId="14854"/>
    <cellStyle name="SAPLocked 4 2 2" xfId="14855"/>
    <cellStyle name="SAPLocked 4 2 2 2" xfId="14856"/>
    <cellStyle name="SAPLocked 4 2 3" xfId="14857"/>
    <cellStyle name="SAPLocked 4 2 3 2" xfId="14858"/>
    <cellStyle name="SAPLocked 4 2 4" xfId="14859"/>
    <cellStyle name="SAPLocked 4 2 4 2" xfId="14860"/>
    <cellStyle name="SAPLocked 4 2 5" xfId="14861"/>
    <cellStyle name="SAPLocked 4 2 5 2" xfId="14862"/>
    <cellStyle name="SAPLocked 4 2 6" xfId="14863"/>
    <cellStyle name="SAPLocked 4 2 6 2" xfId="14864"/>
    <cellStyle name="SAPLocked 4 2 7" xfId="14865"/>
    <cellStyle name="SAPLocked 4 2 7 2" xfId="14866"/>
    <cellStyle name="SAPLocked 4 2 8" xfId="14867"/>
    <cellStyle name="SAPLocked 4 2 8 2" xfId="14868"/>
    <cellStyle name="SAPLocked 4 2 9" xfId="14869"/>
    <cellStyle name="SAPLocked 4 2 9 2" xfId="14870"/>
    <cellStyle name="SAPLocked 4 3" xfId="14871"/>
    <cellStyle name="SAPLocked 4 3 2" xfId="14872"/>
    <cellStyle name="SAPLocked 4 4" xfId="14873"/>
    <cellStyle name="SAPLocked 4 4 2" xfId="14874"/>
    <cellStyle name="SAPLocked 4 5" xfId="14875"/>
    <cellStyle name="SAPLocked 4 5 2" xfId="14876"/>
    <cellStyle name="SAPLocked 4 6" xfId="14877"/>
    <cellStyle name="SAPLocked 4 6 2" xfId="14878"/>
    <cellStyle name="SAPLocked 4 7" xfId="14879"/>
    <cellStyle name="SAPLocked 4 7 2" xfId="14880"/>
    <cellStyle name="SAPLocked 4 8" xfId="14881"/>
    <cellStyle name="SAPLocked 4 8 2" xfId="14882"/>
    <cellStyle name="SAPLocked 4 9" xfId="14883"/>
    <cellStyle name="SAPLocked 4 9 2" xfId="14884"/>
    <cellStyle name="SAPLocked 5" xfId="14885"/>
    <cellStyle name="SAPLocked 5 10" xfId="14886"/>
    <cellStyle name="SAPLocked 5 10 2" xfId="14887"/>
    <cellStyle name="SAPLocked 5 11" xfId="14888"/>
    <cellStyle name="SAPLocked 5 11 2" xfId="14889"/>
    <cellStyle name="SAPLocked 5 12" xfId="14890"/>
    <cellStyle name="SAPLocked 5 12 2" xfId="14891"/>
    <cellStyle name="SAPLocked 5 13" xfId="14892"/>
    <cellStyle name="SAPLocked 5 2" xfId="14893"/>
    <cellStyle name="SAPLocked 5 2 10" xfId="14894"/>
    <cellStyle name="SAPLocked 5 2 10 2" xfId="14895"/>
    <cellStyle name="SAPLocked 5 2 11" xfId="14896"/>
    <cellStyle name="SAPLocked 5 2 11 2" xfId="14897"/>
    <cellStyle name="SAPLocked 5 2 12" xfId="14898"/>
    <cellStyle name="SAPLocked 5 2 2" xfId="14899"/>
    <cellStyle name="SAPLocked 5 2 2 2" xfId="14900"/>
    <cellStyle name="SAPLocked 5 2 3" xfId="14901"/>
    <cellStyle name="SAPLocked 5 2 3 2" xfId="14902"/>
    <cellStyle name="SAPLocked 5 2 4" xfId="14903"/>
    <cellStyle name="SAPLocked 5 2 4 2" xfId="14904"/>
    <cellStyle name="SAPLocked 5 2 5" xfId="14905"/>
    <cellStyle name="SAPLocked 5 2 5 2" xfId="14906"/>
    <cellStyle name="SAPLocked 5 2 6" xfId="14907"/>
    <cellStyle name="SAPLocked 5 2 6 2" xfId="14908"/>
    <cellStyle name="SAPLocked 5 2 7" xfId="14909"/>
    <cellStyle name="SAPLocked 5 2 7 2" xfId="14910"/>
    <cellStyle name="SAPLocked 5 2 8" xfId="14911"/>
    <cellStyle name="SAPLocked 5 2 8 2" xfId="14912"/>
    <cellStyle name="SAPLocked 5 2 9" xfId="14913"/>
    <cellStyle name="SAPLocked 5 2 9 2" xfId="14914"/>
    <cellStyle name="SAPLocked 5 3" xfId="14915"/>
    <cellStyle name="SAPLocked 5 3 2" xfId="14916"/>
    <cellStyle name="SAPLocked 5 4" xfId="14917"/>
    <cellStyle name="SAPLocked 5 4 2" xfId="14918"/>
    <cellStyle name="SAPLocked 5 5" xfId="14919"/>
    <cellStyle name="SAPLocked 5 5 2" xfId="14920"/>
    <cellStyle name="SAPLocked 5 6" xfId="14921"/>
    <cellStyle name="SAPLocked 5 6 2" xfId="14922"/>
    <cellStyle name="SAPLocked 5 7" xfId="14923"/>
    <cellStyle name="SAPLocked 5 7 2" xfId="14924"/>
    <cellStyle name="SAPLocked 5 8" xfId="14925"/>
    <cellStyle name="SAPLocked 5 8 2" xfId="14926"/>
    <cellStyle name="SAPLocked 5 9" xfId="14927"/>
    <cellStyle name="SAPLocked 5 9 2" xfId="14928"/>
    <cellStyle name="SAPLocked 6" xfId="14929"/>
    <cellStyle name="SAPLocked 6 10" xfId="14930"/>
    <cellStyle name="SAPLocked 6 10 2" xfId="14931"/>
    <cellStyle name="SAPLocked 6 11" xfId="14932"/>
    <cellStyle name="SAPLocked 6 11 2" xfId="14933"/>
    <cellStyle name="SAPLocked 6 12" xfId="14934"/>
    <cellStyle name="SAPLocked 6 12 2" xfId="14935"/>
    <cellStyle name="SAPLocked 6 13" xfId="14936"/>
    <cellStyle name="SAPLocked 6 2" xfId="14937"/>
    <cellStyle name="SAPLocked 6 2 10" xfId="14938"/>
    <cellStyle name="SAPLocked 6 2 10 2" xfId="14939"/>
    <cellStyle name="SAPLocked 6 2 11" xfId="14940"/>
    <cellStyle name="SAPLocked 6 2 11 2" xfId="14941"/>
    <cellStyle name="SAPLocked 6 2 12" xfId="14942"/>
    <cellStyle name="SAPLocked 6 2 2" xfId="14943"/>
    <cellStyle name="SAPLocked 6 2 2 2" xfId="14944"/>
    <cellStyle name="SAPLocked 6 2 3" xfId="14945"/>
    <cellStyle name="SAPLocked 6 2 3 2" xfId="14946"/>
    <cellStyle name="SAPLocked 6 2 4" xfId="14947"/>
    <cellStyle name="SAPLocked 6 2 4 2" xfId="14948"/>
    <cellStyle name="SAPLocked 6 2 5" xfId="14949"/>
    <cellStyle name="SAPLocked 6 2 5 2" xfId="14950"/>
    <cellStyle name="SAPLocked 6 2 6" xfId="14951"/>
    <cellStyle name="SAPLocked 6 2 6 2" xfId="14952"/>
    <cellStyle name="SAPLocked 6 2 7" xfId="14953"/>
    <cellStyle name="SAPLocked 6 2 7 2" xfId="14954"/>
    <cellStyle name="SAPLocked 6 2 8" xfId="14955"/>
    <cellStyle name="SAPLocked 6 2 8 2" xfId="14956"/>
    <cellStyle name="SAPLocked 6 2 9" xfId="14957"/>
    <cellStyle name="SAPLocked 6 2 9 2" xfId="14958"/>
    <cellStyle name="SAPLocked 6 3" xfId="14959"/>
    <cellStyle name="SAPLocked 6 3 2" xfId="14960"/>
    <cellStyle name="SAPLocked 6 4" xfId="14961"/>
    <cellStyle name="SAPLocked 6 4 2" xfId="14962"/>
    <cellStyle name="SAPLocked 6 5" xfId="14963"/>
    <cellStyle name="SAPLocked 6 5 2" xfId="14964"/>
    <cellStyle name="SAPLocked 6 6" xfId="14965"/>
    <cellStyle name="SAPLocked 6 6 2" xfId="14966"/>
    <cellStyle name="SAPLocked 6 7" xfId="14967"/>
    <cellStyle name="SAPLocked 6 7 2" xfId="14968"/>
    <cellStyle name="SAPLocked 6 8" xfId="14969"/>
    <cellStyle name="SAPLocked 6 8 2" xfId="14970"/>
    <cellStyle name="SAPLocked 6 9" xfId="14971"/>
    <cellStyle name="SAPLocked 6 9 2" xfId="14972"/>
    <cellStyle name="SAPLocked 7" xfId="14973"/>
    <cellStyle name="SAPLocked 7 10" xfId="14974"/>
    <cellStyle name="SAPLocked 7 10 2" xfId="14975"/>
    <cellStyle name="SAPLocked 7 11" xfId="14976"/>
    <cellStyle name="SAPLocked 7 11 2" xfId="14977"/>
    <cellStyle name="SAPLocked 7 12" xfId="14978"/>
    <cellStyle name="SAPLocked 7 12 2" xfId="14979"/>
    <cellStyle name="SAPLocked 7 13" xfId="14980"/>
    <cellStyle name="SAPLocked 7 2" xfId="14981"/>
    <cellStyle name="SAPLocked 7 2 10" xfId="14982"/>
    <cellStyle name="SAPLocked 7 2 10 2" xfId="14983"/>
    <cellStyle name="SAPLocked 7 2 11" xfId="14984"/>
    <cellStyle name="SAPLocked 7 2 11 2" xfId="14985"/>
    <cellStyle name="SAPLocked 7 2 12" xfId="14986"/>
    <cellStyle name="SAPLocked 7 2 2" xfId="14987"/>
    <cellStyle name="SAPLocked 7 2 2 2" xfId="14988"/>
    <cellStyle name="SAPLocked 7 2 3" xfId="14989"/>
    <cellStyle name="SAPLocked 7 2 3 2" xfId="14990"/>
    <cellStyle name="SAPLocked 7 2 4" xfId="14991"/>
    <cellStyle name="SAPLocked 7 2 4 2" xfId="14992"/>
    <cellStyle name="SAPLocked 7 2 5" xfId="14993"/>
    <cellStyle name="SAPLocked 7 2 5 2" xfId="14994"/>
    <cellStyle name="SAPLocked 7 2 6" xfId="14995"/>
    <cellStyle name="SAPLocked 7 2 6 2" xfId="14996"/>
    <cellStyle name="SAPLocked 7 2 7" xfId="14997"/>
    <cellStyle name="SAPLocked 7 2 7 2" xfId="14998"/>
    <cellStyle name="SAPLocked 7 2 8" xfId="14999"/>
    <cellStyle name="SAPLocked 7 2 8 2" xfId="15000"/>
    <cellStyle name="SAPLocked 7 2 9" xfId="15001"/>
    <cellStyle name="SAPLocked 7 2 9 2" xfId="15002"/>
    <cellStyle name="SAPLocked 7 3" xfId="15003"/>
    <cellStyle name="SAPLocked 7 3 2" xfId="15004"/>
    <cellStyle name="SAPLocked 7 4" xfId="15005"/>
    <cellStyle name="SAPLocked 7 4 2" xfId="15006"/>
    <cellStyle name="SAPLocked 7 5" xfId="15007"/>
    <cellStyle name="SAPLocked 7 5 2" xfId="15008"/>
    <cellStyle name="SAPLocked 7 6" xfId="15009"/>
    <cellStyle name="SAPLocked 7 6 2" xfId="15010"/>
    <cellStyle name="SAPLocked 7 7" xfId="15011"/>
    <cellStyle name="SAPLocked 7 7 2" xfId="15012"/>
    <cellStyle name="SAPLocked 7 8" xfId="15013"/>
    <cellStyle name="SAPLocked 7 8 2" xfId="15014"/>
    <cellStyle name="SAPLocked 7 9" xfId="15015"/>
    <cellStyle name="SAPLocked 7 9 2" xfId="15016"/>
    <cellStyle name="SAPLocked 8" xfId="15017"/>
    <cellStyle name="SAPLocked 8 10" xfId="15018"/>
    <cellStyle name="SAPLocked 8 10 2" xfId="15019"/>
    <cellStyle name="SAPLocked 8 11" xfId="15020"/>
    <cellStyle name="SAPLocked 8 11 2" xfId="15021"/>
    <cellStyle name="SAPLocked 8 12" xfId="15022"/>
    <cellStyle name="SAPLocked 8 12 2" xfId="15023"/>
    <cellStyle name="SAPLocked 8 13" xfId="15024"/>
    <cellStyle name="SAPLocked 8 2" xfId="15025"/>
    <cellStyle name="SAPLocked 8 2 10" xfId="15026"/>
    <cellStyle name="SAPLocked 8 2 10 2" xfId="15027"/>
    <cellStyle name="SAPLocked 8 2 11" xfId="15028"/>
    <cellStyle name="SAPLocked 8 2 11 2" xfId="15029"/>
    <cellStyle name="SAPLocked 8 2 12" xfId="15030"/>
    <cellStyle name="SAPLocked 8 2 2" xfId="15031"/>
    <cellStyle name="SAPLocked 8 2 2 2" xfId="15032"/>
    <cellStyle name="SAPLocked 8 2 3" xfId="15033"/>
    <cellStyle name="SAPLocked 8 2 3 2" xfId="15034"/>
    <cellStyle name="SAPLocked 8 2 4" xfId="15035"/>
    <cellStyle name="SAPLocked 8 2 4 2" xfId="15036"/>
    <cellStyle name="SAPLocked 8 2 5" xfId="15037"/>
    <cellStyle name="SAPLocked 8 2 5 2" xfId="15038"/>
    <cellStyle name="SAPLocked 8 2 6" xfId="15039"/>
    <cellStyle name="SAPLocked 8 2 6 2" xfId="15040"/>
    <cellStyle name="SAPLocked 8 2 7" xfId="15041"/>
    <cellStyle name="SAPLocked 8 2 7 2" xfId="15042"/>
    <cellStyle name="SAPLocked 8 2 8" xfId="15043"/>
    <cellStyle name="SAPLocked 8 2 8 2" xfId="15044"/>
    <cellStyle name="SAPLocked 8 2 9" xfId="15045"/>
    <cellStyle name="SAPLocked 8 2 9 2" xfId="15046"/>
    <cellStyle name="SAPLocked 8 3" xfId="15047"/>
    <cellStyle name="SAPLocked 8 3 2" xfId="15048"/>
    <cellStyle name="SAPLocked 8 4" xfId="15049"/>
    <cellStyle name="SAPLocked 8 4 2" xfId="15050"/>
    <cellStyle name="SAPLocked 8 5" xfId="15051"/>
    <cellStyle name="SAPLocked 8 5 2" xfId="15052"/>
    <cellStyle name="SAPLocked 8 6" xfId="15053"/>
    <cellStyle name="SAPLocked 8 6 2" xfId="15054"/>
    <cellStyle name="SAPLocked 8 7" xfId="15055"/>
    <cellStyle name="SAPLocked 8 7 2" xfId="15056"/>
    <cellStyle name="SAPLocked 8 8" xfId="15057"/>
    <cellStyle name="SAPLocked 8 8 2" xfId="15058"/>
    <cellStyle name="SAPLocked 8 9" xfId="15059"/>
    <cellStyle name="SAPLocked 8 9 2" xfId="15060"/>
    <cellStyle name="SAPLocked 9" xfId="15061"/>
    <cellStyle name="SAPLocked 9 10" xfId="15062"/>
    <cellStyle name="SAPLocked 9 10 2" xfId="15063"/>
    <cellStyle name="SAPLocked 9 11" xfId="15064"/>
    <cellStyle name="SAPLocked 9 11 2" xfId="15065"/>
    <cellStyle name="SAPLocked 9 12" xfId="15066"/>
    <cellStyle name="SAPLocked 9 12 2" xfId="15067"/>
    <cellStyle name="SAPLocked 9 13" xfId="15068"/>
    <cellStyle name="SAPLocked 9 2" xfId="15069"/>
    <cellStyle name="SAPLocked 9 2 10" xfId="15070"/>
    <cellStyle name="SAPLocked 9 2 10 2" xfId="15071"/>
    <cellStyle name="SAPLocked 9 2 11" xfId="15072"/>
    <cellStyle name="SAPLocked 9 2 11 2" xfId="15073"/>
    <cellStyle name="SAPLocked 9 2 12" xfId="15074"/>
    <cellStyle name="SAPLocked 9 2 2" xfId="15075"/>
    <cellStyle name="SAPLocked 9 2 2 2" xfId="15076"/>
    <cellStyle name="SAPLocked 9 2 3" xfId="15077"/>
    <cellStyle name="SAPLocked 9 2 3 2" xfId="15078"/>
    <cellStyle name="SAPLocked 9 2 4" xfId="15079"/>
    <cellStyle name="SAPLocked 9 2 4 2" xfId="15080"/>
    <cellStyle name="SAPLocked 9 2 5" xfId="15081"/>
    <cellStyle name="SAPLocked 9 2 5 2" xfId="15082"/>
    <cellStyle name="SAPLocked 9 2 6" xfId="15083"/>
    <cellStyle name="SAPLocked 9 2 6 2" xfId="15084"/>
    <cellStyle name="SAPLocked 9 2 7" xfId="15085"/>
    <cellStyle name="SAPLocked 9 2 7 2" xfId="15086"/>
    <cellStyle name="SAPLocked 9 2 8" xfId="15087"/>
    <cellStyle name="SAPLocked 9 2 8 2" xfId="15088"/>
    <cellStyle name="SAPLocked 9 2 9" xfId="15089"/>
    <cellStyle name="SAPLocked 9 2 9 2" xfId="15090"/>
    <cellStyle name="SAPLocked 9 3" xfId="15091"/>
    <cellStyle name="SAPLocked 9 3 2" xfId="15092"/>
    <cellStyle name="SAPLocked 9 4" xfId="15093"/>
    <cellStyle name="SAPLocked 9 4 2" xfId="15094"/>
    <cellStyle name="SAPLocked 9 5" xfId="15095"/>
    <cellStyle name="SAPLocked 9 5 2" xfId="15096"/>
    <cellStyle name="SAPLocked 9 6" xfId="15097"/>
    <cellStyle name="SAPLocked 9 6 2" xfId="15098"/>
    <cellStyle name="SAPLocked 9 7" xfId="15099"/>
    <cellStyle name="SAPLocked 9 7 2" xfId="15100"/>
    <cellStyle name="SAPLocked 9 8" xfId="15101"/>
    <cellStyle name="SAPLocked 9 8 2" xfId="15102"/>
    <cellStyle name="SAPLocked 9 9" xfId="15103"/>
    <cellStyle name="SAPLocked 9 9 2" xfId="15104"/>
    <cellStyle name="SAPMemberCell" xfId="15105"/>
    <cellStyle name="SAPMemberTotalCell" xfId="15106"/>
    <cellStyle name="Standard_CORE_20040805_Movement types_Sets_V0.1_e" xfId="15107"/>
    <cellStyle name="STYL5 - Style5" xfId="45"/>
    <cellStyle name="STYL5 - Style5 2" xfId="15109"/>
    <cellStyle name="STYL5 - Style5 2 2" xfId="15110"/>
    <cellStyle name="STYL5 - Style5 3" xfId="15111"/>
    <cellStyle name="STYL5 - Style5 3 2" xfId="15112"/>
    <cellStyle name="STYL5 - Style5 4" xfId="15108"/>
    <cellStyle name="STYL6 - Style6" xfId="46"/>
    <cellStyle name="STYL6 - Style6 2" xfId="15114"/>
    <cellStyle name="STYL6 - Style6 2 2" xfId="15115"/>
    <cellStyle name="STYL6 - Style6 3" xfId="15116"/>
    <cellStyle name="STYL6 - Style6 3 2" xfId="15117"/>
    <cellStyle name="STYL6 - Style6 4" xfId="15113"/>
    <cellStyle name="STYLE1 - Style1" xfId="47"/>
    <cellStyle name="STYLE1 - Style1 2" xfId="15119"/>
    <cellStyle name="STYLE1 - Style1 2 2" xfId="15120"/>
    <cellStyle name="STYLE1 - Style1 3" xfId="15121"/>
    <cellStyle name="STYLE1 - Style1 3 2" xfId="15122"/>
    <cellStyle name="STYLE1 - Style1 4" xfId="15118"/>
    <cellStyle name="STYLE2 - Style2" xfId="48"/>
    <cellStyle name="STYLE2 - Style2 2" xfId="15124"/>
    <cellStyle name="STYLE2 - Style2 2 2" xfId="15125"/>
    <cellStyle name="STYLE2 - Style2 3" xfId="15126"/>
    <cellStyle name="STYLE2 - Style2 3 2" xfId="15127"/>
    <cellStyle name="STYLE2 - Style2 4" xfId="15123"/>
    <cellStyle name="STYLE3 - Style3" xfId="49"/>
    <cellStyle name="STYLE3 - Style3 2" xfId="15129"/>
    <cellStyle name="STYLE3 - Style3 2 2" xfId="15130"/>
    <cellStyle name="STYLE3 - Style3 3" xfId="15131"/>
    <cellStyle name="STYLE3 - Style3 3 2" xfId="15132"/>
    <cellStyle name="STYLE3 - Style3 4" xfId="15128"/>
    <cellStyle name="STYLE4 - Style4" xfId="50"/>
    <cellStyle name="STYLE4 - Style4 2" xfId="15134"/>
    <cellStyle name="STYLE4 - Style4 2 2" xfId="15135"/>
    <cellStyle name="STYLE4 - Style4 3" xfId="15136"/>
    <cellStyle name="STYLE4 - Style4 3 2" xfId="15137"/>
    <cellStyle name="STYLE4 - Style4 4" xfId="15133"/>
    <cellStyle name="Table  - Style5" xfId="15138"/>
    <cellStyle name="Text" xfId="15139"/>
    <cellStyle name="Title  - Style6" xfId="15140"/>
    <cellStyle name="Title 10" xfId="2038"/>
    <cellStyle name="Title 11" xfId="2039"/>
    <cellStyle name="Title 12" xfId="2040"/>
    <cellStyle name="Title 13" xfId="2041"/>
    <cellStyle name="Title 14" xfId="2042"/>
    <cellStyle name="Title 15" xfId="2043"/>
    <cellStyle name="Title 16" xfId="2044"/>
    <cellStyle name="Title 17" xfId="2045"/>
    <cellStyle name="Title 17 2" xfId="2046"/>
    <cellStyle name="Title 17 3" xfId="2047"/>
    <cellStyle name="Title 17 4" xfId="2048"/>
    <cellStyle name="Title 17 5" xfId="2049"/>
    <cellStyle name="Title 18" xfId="2050"/>
    <cellStyle name="Title 19" xfId="2051"/>
    <cellStyle name="Title 2" xfId="2052"/>
    <cellStyle name="Title 2 2" xfId="2053"/>
    <cellStyle name="Title 2 2 2" xfId="2054"/>
    <cellStyle name="Title 2 2 3" xfId="2055"/>
    <cellStyle name="Title 2 2 4" xfId="2056"/>
    <cellStyle name="Title 2 2 5" xfId="2057"/>
    <cellStyle name="Title 2 3" xfId="2058"/>
    <cellStyle name="Title 2 4" xfId="2059"/>
    <cellStyle name="Title 2 5" xfId="2060"/>
    <cellStyle name="Title 2 6" xfId="2061"/>
    <cellStyle name="Title 2 7" xfId="2062"/>
    <cellStyle name="Title 2 8" xfId="2063"/>
    <cellStyle name="Title 20" xfId="2064"/>
    <cellStyle name="Title 21" xfId="2065"/>
    <cellStyle name="Title 22" xfId="2066"/>
    <cellStyle name="Title 3" xfId="2067"/>
    <cellStyle name="Title 3 2" xfId="15141"/>
    <cellStyle name="Title 4" xfId="2068"/>
    <cellStyle name="Title 5" xfId="2069"/>
    <cellStyle name="Title 6" xfId="2070"/>
    <cellStyle name="Title 7" xfId="2071"/>
    <cellStyle name="Title 8" xfId="2072"/>
    <cellStyle name="Title 9" xfId="2073"/>
    <cellStyle name="Total" xfId="51" builtinId="25" customBuiltin="1"/>
    <cellStyle name="Total 10" xfId="2074"/>
    <cellStyle name="Total 11" xfId="2075"/>
    <cellStyle name="Total 12" xfId="2076"/>
    <cellStyle name="Total 13" xfId="2077"/>
    <cellStyle name="Total 14" xfId="2078"/>
    <cellStyle name="Total 15" xfId="2079"/>
    <cellStyle name="Total 16" xfId="2080"/>
    <cellStyle name="Total 17" xfId="2081"/>
    <cellStyle name="Total 17 2" xfId="15142"/>
    <cellStyle name="Total 17 3" xfId="15143"/>
    <cellStyle name="Total 17 4" xfId="15144"/>
    <cellStyle name="Total 18" xfId="2082"/>
    <cellStyle name="Total 19" xfId="2083"/>
    <cellStyle name="Total 2" xfId="2084"/>
    <cellStyle name="Total 2 2" xfId="2085"/>
    <cellStyle name="Total 2 2 2" xfId="2086"/>
    <cellStyle name="Total 2 2 2 2" xfId="2087"/>
    <cellStyle name="Total 2 2 2 3" xfId="2088"/>
    <cellStyle name="Total 2 2 2 4" xfId="2089"/>
    <cellStyle name="Total 2 2 2 5" xfId="2090"/>
    <cellStyle name="Total 2 2 3" xfId="2091"/>
    <cellStyle name="Total 2 2 4" xfId="2092"/>
    <cellStyle name="Total 2 2 5" xfId="2093"/>
    <cellStyle name="Total 2 3" xfId="2094"/>
    <cellStyle name="Total 2 3 2" xfId="15145"/>
    <cellStyle name="Total 2 4" xfId="2095"/>
    <cellStyle name="Total 2 4 2" xfId="15146"/>
    <cellStyle name="Total 2 5" xfId="2096"/>
    <cellStyle name="Total 2 5 2" xfId="15147"/>
    <cellStyle name="Total 2 6" xfId="2097"/>
    <cellStyle name="Total 2 6 2" xfId="15148"/>
    <cellStyle name="Total 2 7" xfId="2098"/>
    <cellStyle name="Total 2 7 2" xfId="15149"/>
    <cellStyle name="Total 2 8" xfId="2099"/>
    <cellStyle name="Total 2 9" xfId="2100"/>
    <cellStyle name="Total 20" xfId="2101"/>
    <cellStyle name="Total 21" xfId="2102"/>
    <cellStyle name="Total 22" xfId="2103"/>
    <cellStyle name="Total 23" xfId="2104"/>
    <cellStyle name="Total 24" xfId="2105"/>
    <cellStyle name="Total 3" xfId="2106"/>
    <cellStyle name="Total 3 2" xfId="15150"/>
    <cellStyle name="Total 3 2 2" xfId="15151"/>
    <cellStyle name="Total 3 3" xfId="15152"/>
    <cellStyle name="Total 4" xfId="2107"/>
    <cellStyle name="Total 4 2" xfId="15153"/>
    <cellStyle name="Total 5" xfId="2108"/>
    <cellStyle name="Total 6" xfId="2109"/>
    <cellStyle name="Total 7" xfId="2110"/>
    <cellStyle name="Total 8" xfId="2111"/>
    <cellStyle name="Total 9" xfId="2112"/>
    <cellStyle name="TotCol - Style7" xfId="15154"/>
    <cellStyle name="TotRow - Style8" xfId="15155"/>
    <cellStyle name="Undefiniert" xfId="15156"/>
    <cellStyle name="Undefiniert 2" xfId="15157"/>
    <cellStyle name="UploadThisRowValue" xfId="52"/>
    <cellStyle name="UploadThisRowValue 2" xfId="15159"/>
    <cellStyle name="UploadThisRowValue 2 2" xfId="15160"/>
    <cellStyle name="UploadThisRowValue 3" xfId="15161"/>
    <cellStyle name="UploadThisRowValue 4" xfId="15158"/>
    <cellStyle name="Warning Text 10" xfId="2113"/>
    <cellStyle name="Warning Text 11" xfId="2114"/>
    <cellStyle name="Warning Text 12" xfId="2115"/>
    <cellStyle name="Warning Text 13" xfId="2116"/>
    <cellStyle name="Warning Text 14" xfId="2117"/>
    <cellStyle name="Warning Text 15" xfId="2118"/>
    <cellStyle name="Warning Text 16" xfId="2119"/>
    <cellStyle name="Warning Text 17" xfId="2120"/>
    <cellStyle name="Warning Text 18" xfId="2121"/>
    <cellStyle name="Warning Text 19" xfId="2122"/>
    <cellStyle name="Warning Text 2" xfId="2123"/>
    <cellStyle name="Warning Text 2 2" xfId="2124"/>
    <cellStyle name="Warning Text 2 2 2" xfId="2125"/>
    <cellStyle name="Warning Text 2 2 2 2" xfId="2126"/>
    <cellStyle name="Warning Text 2 2 2 3" xfId="2127"/>
    <cellStyle name="Warning Text 2 2 2 4" xfId="2128"/>
    <cellStyle name="Warning Text 2 2 2 5" xfId="2129"/>
    <cellStyle name="Warning Text 2 2 3" xfId="2130"/>
    <cellStyle name="Warning Text 2 2 4" xfId="2131"/>
    <cellStyle name="Warning Text 2 2 5" xfId="2132"/>
    <cellStyle name="Warning Text 2 3" xfId="2133"/>
    <cellStyle name="Warning Text 2 4" xfId="2134"/>
    <cellStyle name="Warning Text 2 5" xfId="2135"/>
    <cellStyle name="Warning Text 2 6" xfId="2136"/>
    <cellStyle name="Warning Text 2 7" xfId="2137"/>
    <cellStyle name="Warning Text 2 8" xfId="2138"/>
    <cellStyle name="Warning Text 2 9" xfId="2139"/>
    <cellStyle name="Warning Text 20" xfId="2140"/>
    <cellStyle name="Warning Text 21" xfId="2141"/>
    <cellStyle name="Warning Text 22" xfId="2142"/>
    <cellStyle name="Warning Text 3" xfId="2143"/>
    <cellStyle name="Warning Text 3 2" xfId="15162"/>
    <cellStyle name="Warning Text 4" xfId="2144"/>
    <cellStyle name="Warning Text 4 2" xfId="15163"/>
    <cellStyle name="Warning Text 5" xfId="2145"/>
    <cellStyle name="Warning Text 6" xfId="2146"/>
    <cellStyle name="Warning Text 7" xfId="2147"/>
    <cellStyle name="Warning Text 8" xfId="2148"/>
    <cellStyle name="Warning Text 9" xfId="2149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DOWS\TEMP\1999\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5Plan\Utility%20Plan\Margin\100504%20Version%20of%20GM%202005%20Plan\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Documents%20and%20Settings\e011661\Local%20Settings\Temporary%20Internet%20Files\OLK29\Rate%20Case%20KU%2012mosJune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Financials\LG&amp;E\2008\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2012\Billing%20Determinants\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06Plan\Utility%20Plan\Supporting%20Schedules\Gross%20Margin\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onthly%20Reporting\Tax%20Report\LGE\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My%20Documents\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WINNT\Profiles\e004977\Temporary%20Internet%20Files\OLK2D\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Desktop\LGE%20Forecast%20Period%20Calendar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0"/>
  <sheetViews>
    <sheetView view="pageBreakPreview" zoomScale="75" zoomScaleNormal="85" zoomScaleSheetLayoutView="75" workbookViewId="0">
      <pane xSplit="4" ySplit="4" topLeftCell="E5" activePane="bottomRight" state="frozen"/>
      <selection activeCell="F767" sqref="F767"/>
      <selection pane="topRight" activeCell="F767" sqref="F767"/>
      <selection pane="bottomLeft" activeCell="F767" sqref="F767"/>
      <selection pane="bottomRight" activeCell="E5" sqref="E5"/>
    </sheetView>
  </sheetViews>
  <sheetFormatPr defaultColWidth="9.140625" defaultRowHeight="14.25"/>
  <cols>
    <col min="1" max="1" width="7.7109375" style="44" customWidth="1"/>
    <col min="2" max="2" width="55.85546875" style="44" customWidth="1"/>
    <col min="3" max="3" width="14.42578125" style="44" customWidth="1"/>
    <col min="4" max="4" width="12.42578125" style="44" customWidth="1"/>
    <col min="5" max="5" width="2.7109375" style="44" customWidth="1"/>
    <col min="6" max="6" width="17.5703125" style="60" customWidth="1"/>
    <col min="7" max="7" width="2.140625" style="44" customWidth="1"/>
    <col min="8" max="8" width="20.42578125" style="44" bestFit="1" customWidth="1"/>
    <col min="9" max="9" width="19" style="44" bestFit="1" customWidth="1"/>
    <col min="10" max="11" width="18" style="44" customWidth="1"/>
    <col min="12" max="12" width="21.85546875" style="44" hidden="1" customWidth="1"/>
    <col min="13" max="13" width="22.28515625" style="44" hidden="1" customWidth="1"/>
    <col min="14" max="14" width="18.7109375" style="44" bestFit="1" customWidth="1"/>
    <col min="15" max="16" width="18.7109375" style="44" hidden="1" customWidth="1"/>
    <col min="17" max="17" width="17.5703125" style="44" hidden="1" customWidth="1"/>
    <col min="18" max="18" width="17.5703125" style="44" customWidth="1"/>
    <col min="19" max="19" width="16.28515625" style="44" customWidth="1"/>
    <col min="20" max="20" width="17.85546875" style="44" customWidth="1"/>
    <col min="21" max="21" width="16.28515625" style="44" customWidth="1"/>
    <col min="22" max="22" width="16.7109375" style="44" customWidth="1"/>
    <col min="23" max="23" width="16.7109375" style="43" customWidth="1"/>
    <col min="24" max="25" width="16.85546875" style="44" customWidth="1"/>
    <col min="26" max="28" width="17.5703125" style="44" customWidth="1"/>
    <col min="29" max="29" width="17.85546875" style="44" customWidth="1"/>
    <col min="30" max="30" width="15" style="44" customWidth="1"/>
    <col min="31" max="31" width="18.28515625" style="44" bestFit="1" customWidth="1"/>
    <col min="32" max="32" width="18.28515625" style="44" customWidth="1"/>
    <col min="33" max="33" width="14.7109375" style="44" customWidth="1"/>
    <col min="34" max="35" width="17.5703125" style="44" bestFit="1" customWidth="1"/>
    <col min="36" max="36" width="15.140625" style="44" bestFit="1" customWidth="1"/>
    <col min="37" max="37" width="17.5703125" style="44" bestFit="1" customWidth="1"/>
    <col min="38" max="16384" width="9.140625" style="44"/>
  </cols>
  <sheetData>
    <row r="1" spans="1:37" ht="15" thickBot="1"/>
    <row r="2" spans="1:37" ht="15" hidden="1" thickBot="1">
      <c r="A2" s="43"/>
      <c r="B2" s="43"/>
      <c r="C2" s="43">
        <v>1</v>
      </c>
      <c r="D2" s="43">
        <f>C2+1</f>
        <v>2</v>
      </c>
      <c r="E2" s="43">
        <f t="shared" ref="E2:AG2" si="0">D2+1</f>
        <v>3</v>
      </c>
      <c r="F2" s="77">
        <f t="shared" si="0"/>
        <v>4</v>
      </c>
      <c r="G2" s="43">
        <f t="shared" si="0"/>
        <v>5</v>
      </c>
      <c r="H2" s="43">
        <f t="shared" si="0"/>
        <v>6</v>
      </c>
      <c r="I2" s="43">
        <f t="shared" si="0"/>
        <v>7</v>
      </c>
      <c r="J2" s="43">
        <f t="shared" si="0"/>
        <v>8</v>
      </c>
      <c r="K2" s="43">
        <f t="shared" si="0"/>
        <v>9</v>
      </c>
      <c r="L2" s="43">
        <f t="shared" si="0"/>
        <v>10</v>
      </c>
      <c r="M2" s="43">
        <f t="shared" si="0"/>
        <v>11</v>
      </c>
      <c r="N2" s="43">
        <f t="shared" si="0"/>
        <v>12</v>
      </c>
      <c r="O2" s="43">
        <f t="shared" si="0"/>
        <v>13</v>
      </c>
      <c r="P2" s="43">
        <f t="shared" si="0"/>
        <v>14</v>
      </c>
      <c r="Q2" s="43">
        <f t="shared" si="0"/>
        <v>15</v>
      </c>
      <c r="R2" s="43">
        <f t="shared" si="0"/>
        <v>16</v>
      </c>
      <c r="S2" s="43">
        <f t="shared" si="0"/>
        <v>17</v>
      </c>
      <c r="T2" s="43">
        <f t="shared" si="0"/>
        <v>18</v>
      </c>
      <c r="U2" s="43">
        <f t="shared" si="0"/>
        <v>19</v>
      </c>
      <c r="V2" s="43">
        <f t="shared" si="0"/>
        <v>20</v>
      </c>
      <c r="W2" s="43">
        <f t="shared" si="0"/>
        <v>21</v>
      </c>
      <c r="X2" s="43">
        <f t="shared" si="0"/>
        <v>22</v>
      </c>
      <c r="Y2" s="43">
        <f t="shared" si="0"/>
        <v>23</v>
      </c>
      <c r="Z2" s="43">
        <f t="shared" si="0"/>
        <v>24</v>
      </c>
      <c r="AA2" s="43">
        <f t="shared" si="0"/>
        <v>25</v>
      </c>
      <c r="AB2" s="43">
        <f t="shared" si="0"/>
        <v>26</v>
      </c>
      <c r="AC2" s="43">
        <f t="shared" si="0"/>
        <v>27</v>
      </c>
      <c r="AD2" s="43">
        <f t="shared" si="0"/>
        <v>28</v>
      </c>
      <c r="AE2" s="43">
        <f t="shared" si="0"/>
        <v>29</v>
      </c>
      <c r="AF2" s="43">
        <f t="shared" si="0"/>
        <v>30</v>
      </c>
      <c r="AG2" s="43">
        <f t="shared" si="0"/>
        <v>31</v>
      </c>
    </row>
    <row r="3" spans="1:37" ht="48" customHeight="1" thickBot="1">
      <c r="A3" s="45"/>
      <c r="B3" s="45"/>
      <c r="C3" s="46"/>
      <c r="D3" s="47" t="s">
        <v>921</v>
      </c>
      <c r="E3" s="46"/>
      <c r="F3" s="72" t="s">
        <v>922</v>
      </c>
      <c r="G3" s="46"/>
      <c r="H3" s="377" t="s">
        <v>345</v>
      </c>
      <c r="I3" s="378"/>
      <c r="J3" s="379"/>
      <c r="K3" s="50" t="s">
        <v>346</v>
      </c>
      <c r="L3" s="48"/>
      <c r="M3" s="49"/>
      <c r="N3" s="50" t="s">
        <v>175</v>
      </c>
      <c r="O3" s="344"/>
      <c r="P3" s="344"/>
      <c r="Q3" s="343" t="s">
        <v>348</v>
      </c>
      <c r="R3" s="50" t="s">
        <v>349</v>
      </c>
      <c r="S3" s="377" t="s">
        <v>356</v>
      </c>
      <c r="T3" s="378"/>
      <c r="U3" s="379"/>
      <c r="V3" s="375" t="s">
        <v>355</v>
      </c>
      <c r="W3" s="376"/>
      <c r="X3" s="375" t="s">
        <v>357</v>
      </c>
      <c r="Y3" s="376"/>
      <c r="Z3" s="50" t="s">
        <v>354</v>
      </c>
      <c r="AA3" s="50" t="s">
        <v>353</v>
      </c>
      <c r="AB3" s="50" t="s">
        <v>352</v>
      </c>
      <c r="AC3" s="50" t="s">
        <v>1025</v>
      </c>
      <c r="AD3" s="50" t="s">
        <v>351</v>
      </c>
      <c r="AE3" s="50" t="s">
        <v>350</v>
      </c>
      <c r="AF3" s="45"/>
      <c r="AG3" s="45"/>
    </row>
    <row r="4" spans="1:37" ht="15.75" thickBot="1">
      <c r="A4" s="51" t="s">
        <v>925</v>
      </c>
      <c r="B4" s="51"/>
      <c r="C4" s="52" t="s">
        <v>926</v>
      </c>
      <c r="D4" s="52" t="s">
        <v>927</v>
      </c>
      <c r="E4" s="53"/>
      <c r="F4" s="73" t="s">
        <v>928</v>
      </c>
      <c r="G4" s="54"/>
      <c r="H4" s="53" t="s">
        <v>183</v>
      </c>
      <c r="I4" s="53" t="s">
        <v>1253</v>
      </c>
      <c r="J4" s="53" t="s">
        <v>1254</v>
      </c>
      <c r="K4" s="53"/>
      <c r="L4" s="53"/>
      <c r="M4" s="53"/>
      <c r="N4" s="53" t="s">
        <v>929</v>
      </c>
      <c r="O4" s="53"/>
      <c r="P4" s="53"/>
      <c r="Q4" s="53" t="s">
        <v>347</v>
      </c>
      <c r="R4" s="53" t="s">
        <v>205</v>
      </c>
      <c r="S4" s="53" t="s">
        <v>347</v>
      </c>
      <c r="T4" s="53" t="s">
        <v>929</v>
      </c>
      <c r="U4" s="53" t="s">
        <v>931</v>
      </c>
      <c r="V4" s="53" t="s">
        <v>929</v>
      </c>
      <c r="W4" s="53" t="s">
        <v>931</v>
      </c>
      <c r="X4" s="53" t="s">
        <v>929</v>
      </c>
      <c r="Y4" s="53" t="s">
        <v>931</v>
      </c>
      <c r="Z4" s="53" t="s">
        <v>931</v>
      </c>
      <c r="AA4" s="53"/>
      <c r="AB4" s="53"/>
      <c r="AC4" s="53"/>
      <c r="AD4" s="53"/>
      <c r="AE4" s="53"/>
      <c r="AF4" s="53" t="s">
        <v>932</v>
      </c>
      <c r="AG4" s="55" t="s">
        <v>933</v>
      </c>
    </row>
    <row r="5" spans="1:37">
      <c r="F5" s="78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7"/>
      <c r="X5" s="56"/>
      <c r="Y5" s="56"/>
      <c r="Z5" s="56"/>
      <c r="AA5" s="56"/>
      <c r="AB5" s="56"/>
      <c r="AC5" s="56"/>
      <c r="AD5" s="56"/>
      <c r="AE5" s="56"/>
      <c r="AG5" s="58"/>
    </row>
    <row r="6" spans="1:37" ht="15">
      <c r="A6" s="217" t="s">
        <v>934</v>
      </c>
      <c r="F6" s="78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7"/>
      <c r="X6" s="56"/>
      <c r="Y6" s="56"/>
      <c r="Z6" s="56"/>
      <c r="AA6" s="56"/>
      <c r="AB6" s="56"/>
      <c r="AC6" s="56"/>
      <c r="AD6" s="56"/>
      <c r="AE6" s="56"/>
      <c r="AG6" s="58"/>
      <c r="AK6" s="241"/>
    </row>
    <row r="7" spans="1:37">
      <c r="A7" s="60"/>
      <c r="AG7" s="58"/>
      <c r="AH7" s="44" t="s">
        <v>1283</v>
      </c>
      <c r="AJ7" s="74">
        <v>0.7</v>
      </c>
    </row>
    <row r="8" spans="1:37" ht="15">
      <c r="A8" s="59" t="s">
        <v>1132</v>
      </c>
      <c r="B8" s="60"/>
      <c r="AG8" s="58"/>
      <c r="AJ8" s="237"/>
    </row>
    <row r="9" spans="1:37">
      <c r="A9" s="61">
        <v>301</v>
      </c>
      <c r="B9" s="60" t="s">
        <v>1135</v>
      </c>
      <c r="C9" s="44" t="s">
        <v>1136</v>
      </c>
      <c r="D9" s="44" t="s">
        <v>1163</v>
      </c>
      <c r="F9" s="76">
        <v>2240.2600000000002</v>
      </c>
      <c r="H9" s="63">
        <f t="shared" ref="H9:Q13" si="1">IF(VLOOKUP($D9,$C$6:$AE$653,H$2,)=0,0,((VLOOKUP($D9,$C$6:$AE$653,H$2,)/VLOOKUP($D9,$C$6:$AE$653,4,))*$F9))</f>
        <v>432.00964298566305</v>
      </c>
      <c r="I9" s="63">
        <f t="shared" si="1"/>
        <v>452.55744478522757</v>
      </c>
      <c r="J9" s="63">
        <f t="shared" si="1"/>
        <v>372.00069358041463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 t="shared" si="1"/>
        <v>241.01991756327914</v>
      </c>
      <c r="O9" s="63">
        <f t="shared" si="1"/>
        <v>0</v>
      </c>
      <c r="P9" s="63">
        <f t="shared" si="1"/>
        <v>0</v>
      </c>
      <c r="Q9" s="63">
        <f t="shared" si="1"/>
        <v>0</v>
      </c>
      <c r="R9" s="63">
        <f t="shared" ref="R9:AE13" si="2">IF(VLOOKUP($D9,$C$6:$AE$653,R$2,)=0,0,((VLOOKUP($D9,$C$6:$AE$653,R$2,)/VLOOKUP($D9,$C$6:$AE$653,4,))*$F9))</f>
        <v>83.210751696166724</v>
      </c>
      <c r="S9" s="63">
        <f t="shared" si="2"/>
        <v>0</v>
      </c>
      <c r="T9" s="63">
        <f t="shared" si="2"/>
        <v>142.29894446331681</v>
      </c>
      <c r="U9" s="63">
        <f t="shared" si="2"/>
        <v>226.45050854984552</v>
      </c>
      <c r="V9" s="63">
        <f t="shared" si="2"/>
        <v>39.118514594606545</v>
      </c>
      <c r="W9" s="63">
        <f t="shared" si="2"/>
        <v>59.446687975871285</v>
      </c>
      <c r="X9" s="63">
        <f t="shared" si="2"/>
        <v>54.07358946008582</v>
      </c>
      <c r="Y9" s="63">
        <f t="shared" si="2"/>
        <v>37.816492082904702</v>
      </c>
      <c r="Z9" s="63">
        <f t="shared" si="2"/>
        <v>18.780377047705514</v>
      </c>
      <c r="AA9" s="63">
        <f t="shared" si="2"/>
        <v>21.784712803141915</v>
      </c>
      <c r="AB9" s="63">
        <f t="shared" si="2"/>
        <v>59.691722411771039</v>
      </c>
      <c r="AC9" s="63">
        <f t="shared" si="2"/>
        <v>0</v>
      </c>
      <c r="AD9" s="63">
        <f t="shared" si="2"/>
        <v>0</v>
      </c>
      <c r="AE9" s="63">
        <f t="shared" si="2"/>
        <v>0</v>
      </c>
      <c r="AF9" s="63">
        <f>SUM(H9:AE9)</f>
        <v>2240.2599999999998</v>
      </c>
      <c r="AG9" s="58" t="str">
        <f>IF(ABS(AF9-F9)&lt;1,"ok","err")</f>
        <v>ok</v>
      </c>
      <c r="AH9" s="44" t="s">
        <v>1284</v>
      </c>
      <c r="AJ9" s="74">
        <v>0.3</v>
      </c>
    </row>
    <row r="10" spans="1:37">
      <c r="A10" s="61">
        <v>302</v>
      </c>
      <c r="B10" s="60" t="s">
        <v>1134</v>
      </c>
      <c r="C10" s="44" t="s">
        <v>1136</v>
      </c>
      <c r="D10" s="44" t="s">
        <v>1163</v>
      </c>
      <c r="F10" s="79"/>
      <c r="H10" s="63">
        <f t="shared" si="1"/>
        <v>0</v>
      </c>
      <c r="I10" s="63">
        <f t="shared" si="1"/>
        <v>0</v>
      </c>
      <c r="J10" s="63">
        <f t="shared" si="1"/>
        <v>0</v>
      </c>
      <c r="K10" s="63">
        <f t="shared" si="1"/>
        <v>0</v>
      </c>
      <c r="L10" s="63">
        <f t="shared" si="1"/>
        <v>0</v>
      </c>
      <c r="M10" s="63">
        <f t="shared" si="1"/>
        <v>0</v>
      </c>
      <c r="N10" s="63">
        <f t="shared" si="1"/>
        <v>0</v>
      </c>
      <c r="O10" s="63">
        <f t="shared" si="1"/>
        <v>0</v>
      </c>
      <c r="P10" s="63">
        <f t="shared" si="1"/>
        <v>0</v>
      </c>
      <c r="Q10" s="63">
        <f t="shared" si="1"/>
        <v>0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2"/>
        <v>0</v>
      </c>
      <c r="AB10" s="63">
        <f t="shared" si="2"/>
        <v>0</v>
      </c>
      <c r="AC10" s="63">
        <f t="shared" si="2"/>
        <v>0</v>
      </c>
      <c r="AD10" s="63">
        <f t="shared" si="2"/>
        <v>0</v>
      </c>
      <c r="AE10" s="63">
        <f t="shared" si="2"/>
        <v>0</v>
      </c>
      <c r="AF10" s="63">
        <f>SUM(H10:AE10)</f>
        <v>0</v>
      </c>
      <c r="AG10" s="58" t="str">
        <f>IF(ABS(AF10-F10)&lt;1,"ok","err")</f>
        <v>ok</v>
      </c>
    </row>
    <row r="11" spans="1:37">
      <c r="A11" s="61">
        <v>303</v>
      </c>
      <c r="B11" s="60" t="s">
        <v>915</v>
      </c>
      <c r="C11" s="44" t="s">
        <v>1137</v>
      </c>
      <c r="D11" s="44" t="s">
        <v>1163</v>
      </c>
      <c r="F11" s="79"/>
      <c r="H11" s="63">
        <f t="shared" si="1"/>
        <v>0</v>
      </c>
      <c r="I11" s="63">
        <f t="shared" si="1"/>
        <v>0</v>
      </c>
      <c r="J11" s="63">
        <f t="shared" si="1"/>
        <v>0</v>
      </c>
      <c r="K11" s="63">
        <f t="shared" si="1"/>
        <v>0</v>
      </c>
      <c r="L11" s="63">
        <f t="shared" si="1"/>
        <v>0</v>
      </c>
      <c r="M11" s="63">
        <f t="shared" si="1"/>
        <v>0</v>
      </c>
      <c r="N11" s="63">
        <f t="shared" si="1"/>
        <v>0</v>
      </c>
      <c r="O11" s="63">
        <f t="shared" si="1"/>
        <v>0</v>
      </c>
      <c r="P11" s="63">
        <f t="shared" si="1"/>
        <v>0</v>
      </c>
      <c r="Q11" s="63">
        <f t="shared" si="1"/>
        <v>0</v>
      </c>
      <c r="R11" s="63">
        <f t="shared" si="2"/>
        <v>0</v>
      </c>
      <c r="S11" s="63">
        <f t="shared" si="2"/>
        <v>0</v>
      </c>
      <c r="T11" s="63">
        <f t="shared" si="2"/>
        <v>0</v>
      </c>
      <c r="U11" s="63">
        <f t="shared" si="2"/>
        <v>0</v>
      </c>
      <c r="V11" s="63">
        <f t="shared" si="2"/>
        <v>0</v>
      </c>
      <c r="W11" s="63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2"/>
        <v>0</v>
      </c>
      <c r="AB11" s="63">
        <f t="shared" si="2"/>
        <v>0</v>
      </c>
      <c r="AC11" s="63">
        <f t="shared" si="2"/>
        <v>0</v>
      </c>
      <c r="AD11" s="63">
        <f t="shared" si="2"/>
        <v>0</v>
      </c>
      <c r="AE11" s="63">
        <f t="shared" si="2"/>
        <v>0</v>
      </c>
      <c r="AF11" s="63">
        <f>SUM(H11:AE11)</f>
        <v>0</v>
      </c>
      <c r="AG11" s="58" t="str">
        <f>IF(ABS(AF11-F11)&lt;1,"ok","err")</f>
        <v>ok</v>
      </c>
    </row>
    <row r="12" spans="1:37">
      <c r="A12" s="61">
        <v>301</v>
      </c>
      <c r="B12" s="60" t="s">
        <v>913</v>
      </c>
      <c r="C12" s="44" t="s">
        <v>1136</v>
      </c>
      <c r="D12" s="44" t="s">
        <v>1163</v>
      </c>
      <c r="F12" s="240"/>
      <c r="H12" s="63">
        <f t="shared" si="1"/>
        <v>0</v>
      </c>
      <c r="I12" s="63">
        <f t="shared" si="1"/>
        <v>0</v>
      </c>
      <c r="J12" s="63">
        <f t="shared" si="1"/>
        <v>0</v>
      </c>
      <c r="K12" s="63">
        <f t="shared" si="1"/>
        <v>0</v>
      </c>
      <c r="L12" s="63">
        <f t="shared" si="1"/>
        <v>0</v>
      </c>
      <c r="M12" s="63">
        <f t="shared" si="1"/>
        <v>0</v>
      </c>
      <c r="N12" s="63">
        <f t="shared" si="1"/>
        <v>0</v>
      </c>
      <c r="O12" s="63">
        <f t="shared" si="1"/>
        <v>0</v>
      </c>
      <c r="P12" s="63">
        <f t="shared" si="1"/>
        <v>0</v>
      </c>
      <c r="Q12" s="63">
        <f t="shared" si="1"/>
        <v>0</v>
      </c>
      <c r="R12" s="63">
        <f t="shared" si="2"/>
        <v>0</v>
      </c>
      <c r="S12" s="63">
        <f t="shared" si="2"/>
        <v>0</v>
      </c>
      <c r="T12" s="63">
        <f t="shared" si="2"/>
        <v>0</v>
      </c>
      <c r="U12" s="63">
        <f t="shared" si="2"/>
        <v>0</v>
      </c>
      <c r="V12" s="63">
        <f t="shared" si="2"/>
        <v>0</v>
      </c>
      <c r="W12" s="63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2"/>
        <v>0</v>
      </c>
      <c r="AB12" s="63">
        <f t="shared" si="2"/>
        <v>0</v>
      </c>
      <c r="AC12" s="63">
        <f t="shared" si="2"/>
        <v>0</v>
      </c>
      <c r="AD12" s="63">
        <f t="shared" si="2"/>
        <v>0</v>
      </c>
      <c r="AE12" s="63">
        <f t="shared" si="2"/>
        <v>0</v>
      </c>
      <c r="AF12" s="63">
        <f>SUM(H12:AE12)</f>
        <v>0</v>
      </c>
      <c r="AG12" s="58" t="str">
        <f>IF(ABS(AF12-F12)&lt;1,"ok","err")</f>
        <v>ok</v>
      </c>
    </row>
    <row r="13" spans="1:37">
      <c r="A13" s="61">
        <v>302</v>
      </c>
      <c r="B13" s="60" t="s">
        <v>914</v>
      </c>
      <c r="C13" s="44" t="s">
        <v>1136</v>
      </c>
      <c r="D13" s="44" t="s">
        <v>1163</v>
      </c>
      <c r="F13" s="79"/>
      <c r="H13" s="63">
        <f t="shared" si="1"/>
        <v>0</v>
      </c>
      <c r="I13" s="63">
        <f t="shared" si="1"/>
        <v>0</v>
      </c>
      <c r="J13" s="63">
        <f t="shared" si="1"/>
        <v>0</v>
      </c>
      <c r="K13" s="63">
        <f t="shared" si="1"/>
        <v>0</v>
      </c>
      <c r="L13" s="63">
        <f t="shared" si="1"/>
        <v>0</v>
      </c>
      <c r="M13" s="63">
        <f t="shared" si="1"/>
        <v>0</v>
      </c>
      <c r="N13" s="63">
        <f t="shared" si="1"/>
        <v>0</v>
      </c>
      <c r="O13" s="63">
        <f t="shared" si="1"/>
        <v>0</v>
      </c>
      <c r="P13" s="63">
        <f t="shared" si="1"/>
        <v>0</v>
      </c>
      <c r="Q13" s="63">
        <f t="shared" si="1"/>
        <v>0</v>
      </c>
      <c r="R13" s="63">
        <f t="shared" si="2"/>
        <v>0</v>
      </c>
      <c r="S13" s="63">
        <f t="shared" si="2"/>
        <v>0</v>
      </c>
      <c r="T13" s="63">
        <f t="shared" si="2"/>
        <v>0</v>
      </c>
      <c r="U13" s="63">
        <f t="shared" si="2"/>
        <v>0</v>
      </c>
      <c r="V13" s="63">
        <f t="shared" si="2"/>
        <v>0</v>
      </c>
      <c r="W13" s="63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2"/>
        <v>0</v>
      </c>
      <c r="AB13" s="63">
        <f t="shared" si="2"/>
        <v>0</v>
      </c>
      <c r="AC13" s="63">
        <f t="shared" si="2"/>
        <v>0</v>
      </c>
      <c r="AD13" s="63">
        <f t="shared" si="2"/>
        <v>0</v>
      </c>
      <c r="AE13" s="63">
        <f t="shared" si="2"/>
        <v>0</v>
      </c>
      <c r="AF13" s="63">
        <f>SUM(H13:AE13)</f>
        <v>0</v>
      </c>
      <c r="AG13" s="58" t="str">
        <f>IF(ABS(AF13-F13)&lt;1,"ok","err")</f>
        <v>ok</v>
      </c>
    </row>
    <row r="14" spans="1:37">
      <c r="A14" s="60"/>
      <c r="B14" s="60"/>
      <c r="AG14" s="58"/>
    </row>
    <row r="15" spans="1:37">
      <c r="A15" s="60"/>
      <c r="B15" s="60" t="s">
        <v>936</v>
      </c>
      <c r="C15" s="44" t="s">
        <v>937</v>
      </c>
      <c r="F15" s="80">
        <f>SUM(F9:F14)</f>
        <v>2240.2600000000002</v>
      </c>
      <c r="G15" s="64">
        <f>SUM(G9:G11)</f>
        <v>0</v>
      </c>
      <c r="H15" s="64">
        <f>SUM(H9:H13)</f>
        <v>432.00964298566305</v>
      </c>
      <c r="I15" s="64">
        <f>SUM(I9:I13)</f>
        <v>452.55744478522757</v>
      </c>
      <c r="J15" s="64">
        <f t="shared" ref="J15:AE15" si="3">SUM(J9:J13)</f>
        <v>372.00069358041463</v>
      </c>
      <c r="K15" s="64">
        <f t="shared" si="3"/>
        <v>0</v>
      </c>
      <c r="L15" s="64">
        <f t="shared" si="3"/>
        <v>0</v>
      </c>
      <c r="M15" s="64">
        <f t="shared" si="3"/>
        <v>0</v>
      </c>
      <c r="N15" s="64">
        <f t="shared" si="3"/>
        <v>241.01991756327914</v>
      </c>
      <c r="O15" s="64">
        <f t="shared" si="3"/>
        <v>0</v>
      </c>
      <c r="P15" s="64">
        <f t="shared" si="3"/>
        <v>0</v>
      </c>
      <c r="Q15" s="64">
        <f t="shared" si="3"/>
        <v>0</v>
      </c>
      <c r="R15" s="64">
        <f t="shared" si="3"/>
        <v>83.210751696166724</v>
      </c>
      <c r="S15" s="64">
        <f t="shared" si="3"/>
        <v>0</v>
      </c>
      <c r="T15" s="64">
        <f t="shared" si="3"/>
        <v>142.29894446331681</v>
      </c>
      <c r="U15" s="64">
        <f t="shared" si="3"/>
        <v>226.45050854984552</v>
      </c>
      <c r="V15" s="64">
        <f t="shared" si="3"/>
        <v>39.118514594606545</v>
      </c>
      <c r="W15" s="64">
        <f t="shared" si="3"/>
        <v>59.446687975871285</v>
      </c>
      <c r="X15" s="64">
        <f t="shared" si="3"/>
        <v>54.07358946008582</v>
      </c>
      <c r="Y15" s="64">
        <f t="shared" si="3"/>
        <v>37.816492082904702</v>
      </c>
      <c r="Z15" s="64">
        <f t="shared" si="3"/>
        <v>18.780377047705514</v>
      </c>
      <c r="AA15" s="64">
        <f t="shared" si="3"/>
        <v>21.784712803141915</v>
      </c>
      <c r="AB15" s="64">
        <f t="shared" si="3"/>
        <v>59.691722411771039</v>
      </c>
      <c r="AC15" s="64">
        <f t="shared" si="3"/>
        <v>0</v>
      </c>
      <c r="AD15" s="64">
        <f t="shared" si="3"/>
        <v>0</v>
      </c>
      <c r="AE15" s="64">
        <f t="shared" si="3"/>
        <v>0</v>
      </c>
      <c r="AF15" s="63">
        <f>SUM(H15:AE15)</f>
        <v>2240.2599999999998</v>
      </c>
      <c r="AG15" s="58" t="str">
        <f>IF(ABS(AF15-F15)&lt;1,"ok","err")</f>
        <v>ok</v>
      </c>
    </row>
    <row r="16" spans="1:37">
      <c r="A16" s="60"/>
      <c r="B16" s="60"/>
      <c r="F16" s="8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3"/>
      <c r="AG16" s="58"/>
    </row>
    <row r="17" spans="1:33" ht="15">
      <c r="A17" s="59" t="s">
        <v>194</v>
      </c>
      <c r="B17" s="60"/>
      <c r="W17" s="44"/>
      <c r="AG17" s="58"/>
    </row>
    <row r="18" spans="1:33">
      <c r="A18" s="60"/>
      <c r="B18" s="60"/>
      <c r="F18" s="80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3"/>
      <c r="AG18" s="58"/>
    </row>
    <row r="19" spans="1:33">
      <c r="A19" s="60"/>
      <c r="B19" s="60" t="s">
        <v>195</v>
      </c>
      <c r="C19" s="44" t="s">
        <v>196</v>
      </c>
      <c r="D19" s="44" t="s">
        <v>638</v>
      </c>
      <c r="F19" s="80">
        <v>1762102620.8707695</v>
      </c>
      <c r="G19" s="64"/>
      <c r="H19" s="63">
        <f t="shared" ref="H19:AE19" si="4">IF(VLOOKUP($D19,$C$6:$AE$653,H$2,)=0,0,((VLOOKUP($D19,$C$6:$AE$653,H$2,)/VLOOKUP($D19,$C$6:$AE$653,4,))*$F19))</f>
        <v>605813180.5097245</v>
      </c>
      <c r="I19" s="63">
        <f t="shared" si="4"/>
        <v>634627651.11886954</v>
      </c>
      <c r="J19" s="63">
        <f t="shared" si="4"/>
        <v>521661789.24217552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3">
        <f t="shared" si="4"/>
        <v>0</v>
      </c>
      <c r="U19" s="63">
        <f t="shared" si="4"/>
        <v>0</v>
      </c>
      <c r="V19" s="63">
        <f t="shared" si="4"/>
        <v>0</v>
      </c>
      <c r="W19" s="63">
        <f t="shared" si="4"/>
        <v>0</v>
      </c>
      <c r="X19" s="63">
        <f t="shared" si="4"/>
        <v>0</v>
      </c>
      <c r="Y19" s="63">
        <f t="shared" si="4"/>
        <v>0</v>
      </c>
      <c r="Z19" s="63">
        <f t="shared" si="4"/>
        <v>0</v>
      </c>
      <c r="AA19" s="63">
        <f t="shared" si="4"/>
        <v>0</v>
      </c>
      <c r="AB19" s="63">
        <f t="shared" si="4"/>
        <v>0</v>
      </c>
      <c r="AC19" s="63">
        <f t="shared" si="4"/>
        <v>0</v>
      </c>
      <c r="AD19" s="63">
        <f t="shared" si="4"/>
        <v>0</v>
      </c>
      <c r="AE19" s="63">
        <f t="shared" si="4"/>
        <v>0</v>
      </c>
      <c r="AF19" s="63">
        <f>SUM(H19:AE19)</f>
        <v>1762102620.8707695</v>
      </c>
      <c r="AG19" s="58" t="str">
        <f>IF(ABS(AF19-F19)&lt;1,"ok","err")</f>
        <v>ok</v>
      </c>
    </row>
    <row r="20" spans="1:33">
      <c r="A20" s="60"/>
      <c r="B20" s="60"/>
      <c r="AG20" s="58"/>
    </row>
    <row r="21" spans="1:33" ht="15">
      <c r="A21" s="59" t="s">
        <v>302</v>
      </c>
      <c r="B21" s="60"/>
      <c r="W21" s="44"/>
      <c r="AG21" s="58"/>
    </row>
    <row r="22" spans="1:33">
      <c r="A22" s="60"/>
      <c r="B22" s="60"/>
      <c r="F22" s="80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3"/>
      <c r="AG22" s="58"/>
    </row>
    <row r="23" spans="1:33">
      <c r="A23" s="60"/>
      <c r="B23" s="60" t="s">
        <v>303</v>
      </c>
      <c r="C23" s="44" t="s">
        <v>304</v>
      </c>
      <c r="D23" s="44" t="s">
        <v>638</v>
      </c>
      <c r="F23" s="80">
        <v>146463607.74692306</v>
      </c>
      <c r="G23" s="64"/>
      <c r="H23" s="63">
        <f t="shared" ref="H23:AE23" si="5">IF(VLOOKUP($D23,$C$6:$AE$653,H$2,)=0,0,((VLOOKUP($D23,$C$6:$AE$653,H$2,)/VLOOKUP($D23,$C$6:$AE$653,4,))*$F23))</f>
        <v>50354379.470955625</v>
      </c>
      <c r="I23" s="63">
        <f t="shared" si="5"/>
        <v>52749399.642168783</v>
      </c>
      <c r="J23" s="63">
        <f t="shared" si="5"/>
        <v>43359828.633798651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63">
        <f t="shared" si="5"/>
        <v>0</v>
      </c>
      <c r="Q23" s="63">
        <f t="shared" si="5"/>
        <v>0</v>
      </c>
      <c r="R23" s="63">
        <f t="shared" si="5"/>
        <v>0</v>
      </c>
      <c r="S23" s="63">
        <f t="shared" si="5"/>
        <v>0</v>
      </c>
      <c r="T23" s="63">
        <f t="shared" si="5"/>
        <v>0</v>
      </c>
      <c r="U23" s="63">
        <f t="shared" si="5"/>
        <v>0</v>
      </c>
      <c r="V23" s="63">
        <f t="shared" si="5"/>
        <v>0</v>
      </c>
      <c r="W23" s="63">
        <f t="shared" si="5"/>
        <v>0</v>
      </c>
      <c r="X23" s="63">
        <f t="shared" si="5"/>
        <v>0</v>
      </c>
      <c r="Y23" s="63">
        <f t="shared" si="5"/>
        <v>0</v>
      </c>
      <c r="Z23" s="63">
        <f t="shared" si="5"/>
        <v>0</v>
      </c>
      <c r="AA23" s="63">
        <f t="shared" si="5"/>
        <v>0</v>
      </c>
      <c r="AB23" s="63">
        <f t="shared" si="5"/>
        <v>0</v>
      </c>
      <c r="AC23" s="63">
        <f t="shared" si="5"/>
        <v>0</v>
      </c>
      <c r="AD23" s="63">
        <f t="shared" si="5"/>
        <v>0</v>
      </c>
      <c r="AE23" s="63">
        <f t="shared" si="5"/>
        <v>0</v>
      </c>
      <c r="AF23" s="63">
        <f>SUM(H23:AE23)</f>
        <v>146463607.74692306</v>
      </c>
      <c r="AG23" s="58" t="str">
        <f>IF(ABS(AF23-F23)&lt;1,"ok","err")</f>
        <v>ok</v>
      </c>
    </row>
    <row r="24" spans="1:33">
      <c r="A24" s="60"/>
      <c r="B24" s="60"/>
      <c r="AG24" s="58"/>
    </row>
    <row r="25" spans="1:33" ht="15">
      <c r="A25" s="59" t="s">
        <v>197</v>
      </c>
      <c r="B25" s="60"/>
      <c r="W25" s="44"/>
      <c r="AG25" s="58"/>
    </row>
    <row r="26" spans="1:33">
      <c r="A26" s="60"/>
      <c r="B26" s="60"/>
      <c r="F26" s="80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3"/>
      <c r="AG26" s="58"/>
    </row>
    <row r="27" spans="1:33">
      <c r="A27" s="60"/>
      <c r="B27" s="60" t="s">
        <v>198</v>
      </c>
      <c r="C27" s="44" t="s">
        <v>199</v>
      </c>
      <c r="D27" s="44" t="s">
        <v>638</v>
      </c>
      <c r="F27" s="80">
        <v>396983699.15923077</v>
      </c>
      <c r="G27" s="64"/>
      <c r="H27" s="63">
        <f t="shared" ref="H27:AE27" si="6">IF(VLOOKUP($D27,$C$6:$AE$653,H$2,)=0,0,((VLOOKUP($D27,$C$6:$AE$653,H$2,)/VLOOKUP($D27,$C$6:$AE$653,4,))*$F27))</f>
        <v>136483513.81449255</v>
      </c>
      <c r="I27" s="63">
        <f t="shared" si="6"/>
        <v>142975119.35224533</v>
      </c>
      <c r="J27" s="63">
        <f t="shared" si="6"/>
        <v>117525065.99249288</v>
      </c>
      <c r="K27" s="63">
        <f t="shared" si="6"/>
        <v>0</v>
      </c>
      <c r="L27" s="63">
        <f t="shared" si="6"/>
        <v>0</v>
      </c>
      <c r="M27" s="63">
        <f t="shared" si="6"/>
        <v>0</v>
      </c>
      <c r="N27" s="63">
        <f t="shared" si="6"/>
        <v>0</v>
      </c>
      <c r="O27" s="63">
        <f t="shared" si="6"/>
        <v>0</v>
      </c>
      <c r="P27" s="63">
        <f t="shared" si="6"/>
        <v>0</v>
      </c>
      <c r="Q27" s="63">
        <f t="shared" si="6"/>
        <v>0</v>
      </c>
      <c r="R27" s="63">
        <f t="shared" si="6"/>
        <v>0</v>
      </c>
      <c r="S27" s="63">
        <f t="shared" si="6"/>
        <v>0</v>
      </c>
      <c r="T27" s="63">
        <f t="shared" si="6"/>
        <v>0</v>
      </c>
      <c r="U27" s="63">
        <f t="shared" si="6"/>
        <v>0</v>
      </c>
      <c r="V27" s="63">
        <f t="shared" si="6"/>
        <v>0</v>
      </c>
      <c r="W27" s="63">
        <f t="shared" si="6"/>
        <v>0</v>
      </c>
      <c r="X27" s="63">
        <f t="shared" si="6"/>
        <v>0</v>
      </c>
      <c r="Y27" s="63">
        <f t="shared" si="6"/>
        <v>0</v>
      </c>
      <c r="Z27" s="63">
        <f t="shared" si="6"/>
        <v>0</v>
      </c>
      <c r="AA27" s="63">
        <f t="shared" si="6"/>
        <v>0</v>
      </c>
      <c r="AB27" s="63">
        <f t="shared" si="6"/>
        <v>0</v>
      </c>
      <c r="AC27" s="63">
        <f t="shared" si="6"/>
        <v>0</v>
      </c>
      <c r="AD27" s="63">
        <f t="shared" si="6"/>
        <v>0</v>
      </c>
      <c r="AE27" s="63">
        <f t="shared" si="6"/>
        <v>0</v>
      </c>
      <c r="AF27" s="63">
        <f>SUM(H27:AE27)</f>
        <v>396983699.15923083</v>
      </c>
      <c r="AG27" s="58" t="str">
        <f>IF(ABS(AF27-F27)&lt;1,"ok","err")</f>
        <v>ok</v>
      </c>
    </row>
    <row r="28" spans="1:33">
      <c r="A28" s="60"/>
      <c r="B28" s="60"/>
      <c r="AG28" s="58"/>
    </row>
    <row r="29" spans="1:33" ht="15">
      <c r="A29" s="60"/>
      <c r="B29" s="65" t="s">
        <v>200</v>
      </c>
      <c r="C29" s="44" t="s">
        <v>201</v>
      </c>
      <c r="F29" s="80">
        <f>SUM(F19:F28)</f>
        <v>2305549927.7769232</v>
      </c>
      <c r="G29" s="64"/>
      <c r="H29" s="64">
        <f t="shared" ref="H29:Q29" si="7">H19+H23+H27</f>
        <v>792651073.79517269</v>
      </c>
      <c r="I29" s="64">
        <f t="shared" si="7"/>
        <v>830352170.11328363</v>
      </c>
      <c r="J29" s="64">
        <f t="shared" si="7"/>
        <v>682546683.86846709</v>
      </c>
      <c r="K29" s="64">
        <f t="shared" si="7"/>
        <v>0</v>
      </c>
      <c r="L29" s="64">
        <f t="shared" si="7"/>
        <v>0</v>
      </c>
      <c r="M29" s="64">
        <f t="shared" si="7"/>
        <v>0</v>
      </c>
      <c r="N29" s="64">
        <f t="shared" si="7"/>
        <v>0</v>
      </c>
      <c r="O29" s="64">
        <f t="shared" si="7"/>
        <v>0</v>
      </c>
      <c r="P29" s="64">
        <f t="shared" si="7"/>
        <v>0</v>
      </c>
      <c r="Q29" s="64">
        <f t="shared" si="7"/>
        <v>0</v>
      </c>
      <c r="R29" s="64"/>
      <c r="S29" s="64">
        <f>S19+S23+S27</f>
        <v>0</v>
      </c>
      <c r="T29" s="64">
        <f>T19+T23+T27</f>
        <v>0</v>
      </c>
      <c r="U29" s="64"/>
      <c r="V29" s="64"/>
      <c r="W29" s="64"/>
      <c r="X29" s="64">
        <f>X19+X23+X27</f>
        <v>0</v>
      </c>
      <c r="Y29" s="64">
        <f>Y19+Y23+Y27</f>
        <v>0</v>
      </c>
      <c r="Z29" s="64"/>
      <c r="AA29" s="64"/>
      <c r="AB29" s="64">
        <f>AB19+AB23+AB27</f>
        <v>0</v>
      </c>
      <c r="AC29" s="64">
        <f>AC19+AC23+AC27</f>
        <v>0</v>
      </c>
      <c r="AD29" s="64">
        <f>AD19+AD23+AD27</f>
        <v>0</v>
      </c>
      <c r="AE29" s="64">
        <f>AE19+AE23+AE27</f>
        <v>0</v>
      </c>
      <c r="AF29" s="63">
        <f>SUM(H29:AE29)</f>
        <v>2305549927.7769232</v>
      </c>
      <c r="AG29" s="58" t="str">
        <f>IF(ABS(AF29-F29)&lt;1,"ok","err")</f>
        <v>ok</v>
      </c>
    </row>
    <row r="30" spans="1:33">
      <c r="A30" s="60"/>
      <c r="B30" s="60"/>
      <c r="AG30" s="58"/>
    </row>
    <row r="31" spans="1:33" ht="15">
      <c r="A31" s="59" t="s">
        <v>1130</v>
      </c>
      <c r="B31" s="60"/>
      <c r="W31" s="44"/>
      <c r="AG31" s="58"/>
    </row>
    <row r="32" spans="1:33">
      <c r="A32" s="60"/>
      <c r="B32" s="60"/>
      <c r="W32" s="44"/>
      <c r="AF32" s="63"/>
      <c r="AG32" s="58"/>
    </row>
    <row r="33" spans="1:33">
      <c r="A33" s="60"/>
      <c r="B33" s="60" t="s">
        <v>1133</v>
      </c>
      <c r="C33" s="44" t="s">
        <v>1161</v>
      </c>
      <c r="D33" s="44" t="s">
        <v>1162</v>
      </c>
      <c r="F33" s="80">
        <v>442223222.47769213</v>
      </c>
      <c r="G33" s="64"/>
      <c r="H33" s="63">
        <f t="shared" ref="H33:AE33" si="8">IF(VLOOKUP($D33,$C$6:$AE$653,H$2,)=0,0,((VLOOKUP($D33,$C$6:$AE$653,H$2,)/VLOOKUP($D33,$C$6:$AE$653,4,))*$F33))</f>
        <v>0</v>
      </c>
      <c r="I33" s="63">
        <f t="shared" si="8"/>
        <v>0</v>
      </c>
      <c r="J33" s="63">
        <f t="shared" si="8"/>
        <v>0</v>
      </c>
      <c r="K33" s="63">
        <f t="shared" si="8"/>
        <v>0</v>
      </c>
      <c r="L33" s="63">
        <f t="shared" si="8"/>
        <v>0</v>
      </c>
      <c r="M33" s="63">
        <f t="shared" si="8"/>
        <v>0</v>
      </c>
      <c r="N33" s="63">
        <f t="shared" si="8"/>
        <v>442223222.47769213</v>
      </c>
      <c r="O33" s="63">
        <f t="shared" si="8"/>
        <v>0</v>
      </c>
      <c r="P33" s="63">
        <f t="shared" si="8"/>
        <v>0</v>
      </c>
      <c r="Q33" s="63">
        <f t="shared" si="8"/>
        <v>0</v>
      </c>
      <c r="R33" s="63">
        <f t="shared" si="8"/>
        <v>0</v>
      </c>
      <c r="S33" s="63">
        <f t="shared" si="8"/>
        <v>0</v>
      </c>
      <c r="T33" s="63">
        <f t="shared" si="8"/>
        <v>0</v>
      </c>
      <c r="U33" s="63">
        <f t="shared" si="8"/>
        <v>0</v>
      </c>
      <c r="V33" s="63">
        <f t="shared" si="8"/>
        <v>0</v>
      </c>
      <c r="W33" s="63">
        <f t="shared" si="8"/>
        <v>0</v>
      </c>
      <c r="X33" s="63">
        <f t="shared" si="8"/>
        <v>0</v>
      </c>
      <c r="Y33" s="63">
        <f t="shared" si="8"/>
        <v>0</v>
      </c>
      <c r="Z33" s="63">
        <f t="shared" si="8"/>
        <v>0</v>
      </c>
      <c r="AA33" s="63">
        <f t="shared" si="8"/>
        <v>0</v>
      </c>
      <c r="AB33" s="63">
        <f t="shared" si="8"/>
        <v>0</v>
      </c>
      <c r="AC33" s="63">
        <f t="shared" si="8"/>
        <v>0</v>
      </c>
      <c r="AD33" s="63">
        <f t="shared" si="8"/>
        <v>0</v>
      </c>
      <c r="AE33" s="63">
        <f t="shared" si="8"/>
        <v>0</v>
      </c>
      <c r="AF33" s="63">
        <f>SUM(H33:AE33)</f>
        <v>442223222.47769213</v>
      </c>
      <c r="AG33" s="58" t="str">
        <f>IF(ABS(AF33-F33)&lt;1,"ok","err")</f>
        <v>ok</v>
      </c>
    </row>
    <row r="34" spans="1:33">
      <c r="A34" s="60"/>
      <c r="B34" s="60"/>
      <c r="F34" s="80"/>
      <c r="G34" s="64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58"/>
    </row>
    <row r="35" spans="1:33" ht="15">
      <c r="A35" s="60"/>
      <c r="B35" s="65" t="s">
        <v>1133</v>
      </c>
      <c r="C35" s="44" t="s">
        <v>1349</v>
      </c>
      <c r="F35" s="80">
        <f>SUM(F33:F33)</f>
        <v>442223222.47769213</v>
      </c>
      <c r="G35" s="64"/>
      <c r="H35" s="80">
        <f>SUM(H33:H33)</f>
        <v>0</v>
      </c>
      <c r="I35" s="80">
        <f>SUM(I33:I33)</f>
        <v>0</v>
      </c>
      <c r="J35" s="80">
        <f>SUM(J33:J33)</f>
        <v>0</v>
      </c>
      <c r="K35" s="80">
        <f>SUM(K33:K33)</f>
        <v>0</v>
      </c>
      <c r="L35" s="64">
        <f>L24+L28+L33</f>
        <v>0</v>
      </c>
      <c r="M35" s="64">
        <f>M24+M28+M33</f>
        <v>0</v>
      </c>
      <c r="N35" s="80">
        <f>SUM(N33:N33)</f>
        <v>442223222.47769213</v>
      </c>
      <c r="O35" s="80">
        <f>SUM(O33:O33)</f>
        <v>0</v>
      </c>
      <c r="P35" s="80">
        <f>SUM(P33:P33)</f>
        <v>0</v>
      </c>
      <c r="Q35" s="64">
        <f>Q24+Q28+Q33</f>
        <v>0</v>
      </c>
      <c r="R35" s="80">
        <f t="shared" ref="R35:AE35" si="9">SUM(R33:R33)</f>
        <v>0</v>
      </c>
      <c r="S35" s="80">
        <f t="shared" si="9"/>
        <v>0</v>
      </c>
      <c r="T35" s="80">
        <f t="shared" si="9"/>
        <v>0</v>
      </c>
      <c r="U35" s="80">
        <f t="shared" si="9"/>
        <v>0</v>
      </c>
      <c r="V35" s="80">
        <f t="shared" si="9"/>
        <v>0</v>
      </c>
      <c r="W35" s="80">
        <f t="shared" si="9"/>
        <v>0</v>
      </c>
      <c r="X35" s="80">
        <f t="shared" si="9"/>
        <v>0</v>
      </c>
      <c r="Y35" s="80">
        <f t="shared" si="9"/>
        <v>0</v>
      </c>
      <c r="Z35" s="80">
        <f t="shared" si="9"/>
        <v>0</v>
      </c>
      <c r="AA35" s="80">
        <f t="shared" si="9"/>
        <v>0</v>
      </c>
      <c r="AB35" s="80">
        <f t="shared" si="9"/>
        <v>0</v>
      </c>
      <c r="AC35" s="80">
        <f t="shared" si="9"/>
        <v>0</v>
      </c>
      <c r="AD35" s="80">
        <f t="shared" si="9"/>
        <v>0</v>
      </c>
      <c r="AE35" s="80">
        <f t="shared" si="9"/>
        <v>0</v>
      </c>
      <c r="AF35" s="63">
        <f>SUM(H35:AE35)</f>
        <v>442223222.47769213</v>
      </c>
      <c r="AG35" s="58" t="str">
        <f>IF(ABS(AF35-F35)&lt;1,"ok","err")</f>
        <v>ok</v>
      </c>
    </row>
    <row r="36" spans="1:33">
      <c r="A36" s="60"/>
      <c r="B36" s="60"/>
      <c r="W36" s="44"/>
      <c r="AG36" s="58"/>
    </row>
    <row r="37" spans="1:33" ht="15">
      <c r="A37" s="59" t="s">
        <v>938</v>
      </c>
      <c r="B37" s="60"/>
      <c r="W37" s="44"/>
      <c r="AG37" s="58"/>
    </row>
    <row r="38" spans="1:33">
      <c r="A38" s="272"/>
      <c r="B38" s="42" t="s">
        <v>305</v>
      </c>
      <c r="C38" s="44" t="s">
        <v>939</v>
      </c>
      <c r="D38" s="44" t="s">
        <v>940</v>
      </c>
      <c r="F38" s="76">
        <f>4477292+8074953+140122800</f>
        <v>152675045</v>
      </c>
      <c r="H38" s="63">
        <f t="shared" ref="H38:Q46" si="10">IF(VLOOKUP($D38,$C$6:$AE$653,H$2,)=0,0,((VLOOKUP($D38,$C$6:$AE$653,H$2,)/VLOOKUP($D38,$C$6:$AE$653,4,))*$F38))</f>
        <v>0</v>
      </c>
      <c r="I38" s="63">
        <f t="shared" si="10"/>
        <v>0</v>
      </c>
      <c r="J38" s="63">
        <f t="shared" si="10"/>
        <v>0</v>
      </c>
      <c r="K38" s="63">
        <f t="shared" si="10"/>
        <v>0</v>
      </c>
      <c r="L38" s="63">
        <f t="shared" si="10"/>
        <v>0</v>
      </c>
      <c r="M38" s="63">
        <f t="shared" si="10"/>
        <v>0</v>
      </c>
      <c r="N38" s="63">
        <f t="shared" si="10"/>
        <v>0</v>
      </c>
      <c r="O38" s="63">
        <f t="shared" si="10"/>
        <v>0</v>
      </c>
      <c r="P38" s="63">
        <f t="shared" si="10"/>
        <v>0</v>
      </c>
      <c r="Q38" s="63">
        <f t="shared" si="10"/>
        <v>0</v>
      </c>
      <c r="R38" s="63">
        <f t="shared" ref="R38:AE46" si="11">IF(VLOOKUP($D38,$C$6:$AE$653,R$2,)=0,0,((VLOOKUP($D38,$C$6:$AE$653,R$2,)/VLOOKUP($D38,$C$6:$AE$653,4,))*$F38))</f>
        <v>152675045</v>
      </c>
      <c r="S38" s="63">
        <f t="shared" si="11"/>
        <v>0</v>
      </c>
      <c r="T38" s="63">
        <f t="shared" si="11"/>
        <v>0</v>
      </c>
      <c r="U38" s="63">
        <f t="shared" si="11"/>
        <v>0</v>
      </c>
      <c r="V38" s="63">
        <f t="shared" si="11"/>
        <v>0</v>
      </c>
      <c r="W38" s="63">
        <f t="shared" si="11"/>
        <v>0</v>
      </c>
      <c r="X38" s="63">
        <f t="shared" si="11"/>
        <v>0</v>
      </c>
      <c r="Y38" s="63">
        <f t="shared" si="11"/>
        <v>0</v>
      </c>
      <c r="Z38" s="63">
        <f t="shared" si="11"/>
        <v>0</v>
      </c>
      <c r="AA38" s="63">
        <f t="shared" si="11"/>
        <v>0</v>
      </c>
      <c r="AB38" s="63">
        <f t="shared" si="11"/>
        <v>0</v>
      </c>
      <c r="AC38" s="63">
        <f t="shared" si="11"/>
        <v>0</v>
      </c>
      <c r="AD38" s="63">
        <f t="shared" si="11"/>
        <v>0</v>
      </c>
      <c r="AE38" s="63">
        <f t="shared" si="11"/>
        <v>0</v>
      </c>
      <c r="AF38" s="63">
        <f t="shared" ref="AF38:AF45" si="12">SUM(H38:AE38)</f>
        <v>152675045</v>
      </c>
      <c r="AG38" s="58" t="str">
        <f t="shared" ref="AG38:AG46" si="13">IF(ABS(AF38-F38)&lt;1,"ok","err")</f>
        <v>ok</v>
      </c>
    </row>
    <row r="39" spans="1:33">
      <c r="A39" s="272"/>
      <c r="B39" s="42" t="s">
        <v>306</v>
      </c>
      <c r="C39" s="44" t="s">
        <v>942</v>
      </c>
      <c r="D39" s="44" t="s">
        <v>943</v>
      </c>
      <c r="F39" s="79">
        <f>213293280+314946460</f>
        <v>528239740</v>
      </c>
      <c r="H39" s="63">
        <f t="shared" si="10"/>
        <v>0</v>
      </c>
      <c r="I39" s="63">
        <f t="shared" si="10"/>
        <v>0</v>
      </c>
      <c r="J39" s="63">
        <f t="shared" si="10"/>
        <v>0</v>
      </c>
      <c r="K39" s="63">
        <f t="shared" si="10"/>
        <v>0</v>
      </c>
      <c r="L39" s="63">
        <f t="shared" si="10"/>
        <v>0</v>
      </c>
      <c r="M39" s="63">
        <f t="shared" si="10"/>
        <v>0</v>
      </c>
      <c r="N39" s="63">
        <f t="shared" si="10"/>
        <v>0</v>
      </c>
      <c r="O39" s="63">
        <f t="shared" si="10"/>
        <v>0</v>
      </c>
      <c r="P39" s="63">
        <f t="shared" si="10"/>
        <v>0</v>
      </c>
      <c r="Q39" s="63">
        <f t="shared" si="10"/>
        <v>0</v>
      </c>
      <c r="R39" s="63">
        <f t="shared" si="11"/>
        <v>0</v>
      </c>
      <c r="S39" s="63">
        <f t="shared" si="11"/>
        <v>0</v>
      </c>
      <c r="T39" s="63">
        <f t="shared" si="11"/>
        <v>157757520.01082921</v>
      </c>
      <c r="U39" s="63">
        <f t="shared" si="11"/>
        <v>228808321.72117078</v>
      </c>
      <c r="V39" s="63">
        <f t="shared" si="11"/>
        <v>57817117.883170806</v>
      </c>
      <c r="W39" s="63">
        <f t="shared" si="11"/>
        <v>83856780.384829193</v>
      </c>
      <c r="X39" s="63">
        <f t="shared" si="11"/>
        <v>0</v>
      </c>
      <c r="Y39" s="63">
        <f t="shared" si="11"/>
        <v>0</v>
      </c>
      <c r="Z39" s="63">
        <f t="shared" si="11"/>
        <v>0</v>
      </c>
      <c r="AA39" s="63">
        <f t="shared" si="11"/>
        <v>0</v>
      </c>
      <c r="AB39" s="63">
        <f t="shared" si="11"/>
        <v>0</v>
      </c>
      <c r="AC39" s="63">
        <f t="shared" si="11"/>
        <v>0</v>
      </c>
      <c r="AD39" s="63">
        <f t="shared" si="11"/>
        <v>0</v>
      </c>
      <c r="AE39" s="63">
        <f t="shared" si="11"/>
        <v>0</v>
      </c>
      <c r="AF39" s="63">
        <f t="shared" si="12"/>
        <v>528239740</v>
      </c>
      <c r="AG39" s="58" t="str">
        <f t="shared" si="13"/>
        <v>ok</v>
      </c>
    </row>
    <row r="40" spans="1:33">
      <c r="A40" s="272"/>
      <c r="B40" s="42" t="s">
        <v>307</v>
      </c>
      <c r="C40" s="44" t="s">
        <v>945</v>
      </c>
      <c r="D40" s="44" t="s">
        <v>944</v>
      </c>
      <c r="F40" s="79">
        <f>103722363+225466590</f>
        <v>329188953</v>
      </c>
      <c r="H40" s="63">
        <f t="shared" si="10"/>
        <v>0</v>
      </c>
      <c r="I40" s="63">
        <f t="shared" si="10"/>
        <v>0</v>
      </c>
      <c r="J40" s="63">
        <f t="shared" si="10"/>
        <v>0</v>
      </c>
      <c r="K40" s="63">
        <f t="shared" si="10"/>
        <v>0</v>
      </c>
      <c r="L40" s="63">
        <f t="shared" si="10"/>
        <v>0</v>
      </c>
      <c r="M40" s="63">
        <f t="shared" si="10"/>
        <v>0</v>
      </c>
      <c r="N40" s="63">
        <f t="shared" si="10"/>
        <v>0</v>
      </c>
      <c r="O40" s="63">
        <f t="shared" si="10"/>
        <v>0</v>
      </c>
      <c r="P40" s="63">
        <f t="shared" si="10"/>
        <v>0</v>
      </c>
      <c r="Q40" s="63">
        <f t="shared" si="10"/>
        <v>0</v>
      </c>
      <c r="R40" s="63">
        <f t="shared" si="11"/>
        <v>0</v>
      </c>
      <c r="S40" s="63">
        <f t="shared" si="11"/>
        <v>0</v>
      </c>
      <c r="T40" s="63">
        <f t="shared" si="11"/>
        <v>103332511.10338591</v>
      </c>
      <c r="U40" s="63">
        <f t="shared" si="11"/>
        <v>186682956.48961413</v>
      </c>
      <c r="V40" s="63">
        <f t="shared" si="11"/>
        <v>13957512.850514099</v>
      </c>
      <c r="W40" s="63">
        <f t="shared" si="11"/>
        <v>25215972.556485899</v>
      </c>
      <c r="X40" s="63">
        <f t="shared" si="11"/>
        <v>0</v>
      </c>
      <c r="Y40" s="63">
        <f t="shared" si="11"/>
        <v>0</v>
      </c>
      <c r="Z40" s="63">
        <f t="shared" si="11"/>
        <v>0</v>
      </c>
      <c r="AA40" s="63">
        <f t="shared" si="11"/>
        <v>0</v>
      </c>
      <c r="AB40" s="63">
        <f t="shared" si="11"/>
        <v>0</v>
      </c>
      <c r="AC40" s="63">
        <f t="shared" si="11"/>
        <v>0</v>
      </c>
      <c r="AD40" s="63">
        <f t="shared" si="11"/>
        <v>0</v>
      </c>
      <c r="AE40" s="63">
        <f t="shared" si="11"/>
        <v>0</v>
      </c>
      <c r="AF40" s="63">
        <f t="shared" si="12"/>
        <v>329188953.00000006</v>
      </c>
      <c r="AG40" s="58" t="str">
        <f t="shared" si="13"/>
        <v>ok</v>
      </c>
    </row>
    <row r="41" spans="1:33">
      <c r="A41" s="272"/>
      <c r="B41" s="42" t="s">
        <v>1357</v>
      </c>
      <c r="C41" s="44" t="s">
        <v>946</v>
      </c>
      <c r="D41" s="44" t="s">
        <v>947</v>
      </c>
      <c r="F41" s="79">
        <v>168599875</v>
      </c>
      <c r="H41" s="63">
        <f t="shared" si="10"/>
        <v>0</v>
      </c>
      <c r="I41" s="63">
        <f t="shared" si="10"/>
        <v>0</v>
      </c>
      <c r="J41" s="63">
        <f t="shared" si="10"/>
        <v>0</v>
      </c>
      <c r="K41" s="63">
        <f t="shared" si="10"/>
        <v>0</v>
      </c>
      <c r="L41" s="63">
        <f t="shared" si="10"/>
        <v>0</v>
      </c>
      <c r="M41" s="63">
        <f t="shared" si="10"/>
        <v>0</v>
      </c>
      <c r="N41" s="63">
        <f t="shared" si="10"/>
        <v>0</v>
      </c>
      <c r="O41" s="63">
        <f t="shared" si="10"/>
        <v>0</v>
      </c>
      <c r="P41" s="63">
        <f t="shared" si="10"/>
        <v>0</v>
      </c>
      <c r="Q41" s="63">
        <f t="shared" si="10"/>
        <v>0</v>
      </c>
      <c r="R41" s="63">
        <f t="shared" si="11"/>
        <v>0</v>
      </c>
      <c r="S41" s="63">
        <f t="shared" si="11"/>
        <v>0</v>
      </c>
      <c r="T41" s="63">
        <f t="shared" si="11"/>
        <v>0</v>
      </c>
      <c r="U41" s="63">
        <f t="shared" si="11"/>
        <v>0</v>
      </c>
      <c r="V41" s="63">
        <f t="shared" si="11"/>
        <v>0</v>
      </c>
      <c r="W41" s="63">
        <f t="shared" si="11"/>
        <v>0</v>
      </c>
      <c r="X41" s="63">
        <f t="shared" si="11"/>
        <v>99214194.510280386</v>
      </c>
      <c r="Y41" s="63">
        <f t="shared" si="11"/>
        <v>69385680.489719614</v>
      </c>
      <c r="Z41" s="63">
        <f t="shared" si="11"/>
        <v>0</v>
      </c>
      <c r="AA41" s="63">
        <f t="shared" si="11"/>
        <v>0</v>
      </c>
      <c r="AB41" s="63">
        <f t="shared" si="11"/>
        <v>0</v>
      </c>
      <c r="AC41" s="63">
        <f t="shared" si="11"/>
        <v>0</v>
      </c>
      <c r="AD41" s="63">
        <f t="shared" si="11"/>
        <v>0</v>
      </c>
      <c r="AE41" s="63">
        <f t="shared" si="11"/>
        <v>0</v>
      </c>
      <c r="AF41" s="63">
        <f t="shared" si="12"/>
        <v>168599875</v>
      </c>
      <c r="AG41" s="58" t="str">
        <f t="shared" si="13"/>
        <v>ok</v>
      </c>
    </row>
    <row r="42" spans="1:33">
      <c r="A42" s="272"/>
      <c r="B42" s="42" t="s">
        <v>308</v>
      </c>
      <c r="C42" s="44" t="s">
        <v>948</v>
      </c>
      <c r="D42" s="44" t="s">
        <v>949</v>
      </c>
      <c r="F42" s="79">
        <v>34458226.280000001</v>
      </c>
      <c r="H42" s="63">
        <f t="shared" si="10"/>
        <v>0</v>
      </c>
      <c r="I42" s="63">
        <f t="shared" si="10"/>
        <v>0</v>
      </c>
      <c r="J42" s="63">
        <f t="shared" si="10"/>
        <v>0</v>
      </c>
      <c r="K42" s="63">
        <f t="shared" si="10"/>
        <v>0</v>
      </c>
      <c r="L42" s="63">
        <f t="shared" si="10"/>
        <v>0</v>
      </c>
      <c r="M42" s="63">
        <f t="shared" si="10"/>
        <v>0</v>
      </c>
      <c r="N42" s="63">
        <f t="shared" si="10"/>
        <v>0</v>
      </c>
      <c r="O42" s="63">
        <f t="shared" si="10"/>
        <v>0</v>
      </c>
      <c r="P42" s="63">
        <f t="shared" si="10"/>
        <v>0</v>
      </c>
      <c r="Q42" s="63">
        <f t="shared" si="10"/>
        <v>0</v>
      </c>
      <c r="R42" s="63">
        <f t="shared" si="11"/>
        <v>0</v>
      </c>
      <c r="S42" s="63">
        <f t="shared" si="11"/>
        <v>0</v>
      </c>
      <c r="T42" s="63">
        <f t="shared" si="11"/>
        <v>0</v>
      </c>
      <c r="U42" s="63">
        <f t="shared" si="11"/>
        <v>0</v>
      </c>
      <c r="V42" s="63">
        <f t="shared" si="11"/>
        <v>0</v>
      </c>
      <c r="W42" s="63">
        <f t="shared" si="11"/>
        <v>0</v>
      </c>
      <c r="X42" s="63">
        <f t="shared" si="11"/>
        <v>0</v>
      </c>
      <c r="Y42" s="63">
        <f t="shared" si="11"/>
        <v>0</v>
      </c>
      <c r="Z42" s="63">
        <f t="shared" si="11"/>
        <v>34458226.280000001</v>
      </c>
      <c r="AA42" s="63">
        <f t="shared" si="11"/>
        <v>0</v>
      </c>
      <c r="AB42" s="63">
        <f t="shared" si="11"/>
        <v>0</v>
      </c>
      <c r="AC42" s="63">
        <f t="shared" si="11"/>
        <v>0</v>
      </c>
      <c r="AD42" s="63">
        <f t="shared" si="11"/>
        <v>0</v>
      </c>
      <c r="AE42" s="63">
        <f t="shared" si="11"/>
        <v>0</v>
      </c>
      <c r="AF42" s="63">
        <f t="shared" si="12"/>
        <v>34458226.280000001</v>
      </c>
      <c r="AG42" s="58" t="str">
        <f t="shared" si="13"/>
        <v>ok</v>
      </c>
    </row>
    <row r="43" spans="1:33">
      <c r="A43" s="272"/>
      <c r="B43" s="42" t="s">
        <v>309</v>
      </c>
      <c r="C43" s="44" t="s">
        <v>950</v>
      </c>
      <c r="D43" s="44" t="s">
        <v>951</v>
      </c>
      <c r="F43" s="79">
        <v>39970580</v>
      </c>
      <c r="H43" s="63">
        <f t="shared" si="10"/>
        <v>0</v>
      </c>
      <c r="I43" s="63">
        <f t="shared" si="10"/>
        <v>0</v>
      </c>
      <c r="J43" s="63">
        <f t="shared" si="10"/>
        <v>0</v>
      </c>
      <c r="K43" s="63">
        <f t="shared" si="10"/>
        <v>0</v>
      </c>
      <c r="L43" s="63">
        <f t="shared" si="10"/>
        <v>0</v>
      </c>
      <c r="M43" s="63">
        <f t="shared" si="10"/>
        <v>0</v>
      </c>
      <c r="N43" s="63">
        <f t="shared" si="10"/>
        <v>0</v>
      </c>
      <c r="O43" s="63">
        <f t="shared" si="10"/>
        <v>0</v>
      </c>
      <c r="P43" s="63">
        <f t="shared" si="10"/>
        <v>0</v>
      </c>
      <c r="Q43" s="63">
        <f t="shared" si="10"/>
        <v>0</v>
      </c>
      <c r="R43" s="63">
        <f t="shared" si="11"/>
        <v>0</v>
      </c>
      <c r="S43" s="63">
        <f t="shared" si="11"/>
        <v>0</v>
      </c>
      <c r="T43" s="63">
        <f t="shared" si="11"/>
        <v>0</v>
      </c>
      <c r="U43" s="63">
        <f t="shared" si="11"/>
        <v>0</v>
      </c>
      <c r="V43" s="63">
        <f t="shared" si="11"/>
        <v>0</v>
      </c>
      <c r="W43" s="63">
        <f t="shared" si="11"/>
        <v>0</v>
      </c>
      <c r="X43" s="63">
        <f t="shared" si="11"/>
        <v>0</v>
      </c>
      <c r="Y43" s="63">
        <f t="shared" si="11"/>
        <v>0</v>
      </c>
      <c r="Z43" s="63">
        <f t="shared" si="11"/>
        <v>0</v>
      </c>
      <c r="AA43" s="63">
        <f t="shared" si="11"/>
        <v>39970580</v>
      </c>
      <c r="AB43" s="63">
        <f t="shared" si="11"/>
        <v>0</v>
      </c>
      <c r="AC43" s="63">
        <f t="shared" si="11"/>
        <v>0</v>
      </c>
      <c r="AD43" s="63">
        <f t="shared" si="11"/>
        <v>0</v>
      </c>
      <c r="AE43" s="63">
        <f t="shared" si="11"/>
        <v>0</v>
      </c>
      <c r="AF43" s="63">
        <f t="shared" si="12"/>
        <v>39970580</v>
      </c>
      <c r="AG43" s="58" t="str">
        <f t="shared" si="13"/>
        <v>ok</v>
      </c>
    </row>
    <row r="44" spans="1:33">
      <c r="A44" s="272"/>
      <c r="B44" s="42" t="s">
        <v>310</v>
      </c>
      <c r="C44" s="44" t="s">
        <v>952</v>
      </c>
      <c r="D44" s="44" t="s">
        <v>954</v>
      </c>
      <c r="F44" s="79"/>
      <c r="H44" s="63">
        <f t="shared" si="10"/>
        <v>0</v>
      </c>
      <c r="I44" s="63">
        <f t="shared" si="10"/>
        <v>0</v>
      </c>
      <c r="J44" s="63">
        <f t="shared" si="10"/>
        <v>0</v>
      </c>
      <c r="K44" s="63">
        <f t="shared" si="10"/>
        <v>0</v>
      </c>
      <c r="L44" s="63">
        <f t="shared" si="10"/>
        <v>0</v>
      </c>
      <c r="M44" s="63">
        <f t="shared" si="10"/>
        <v>0</v>
      </c>
      <c r="N44" s="63">
        <f t="shared" si="10"/>
        <v>0</v>
      </c>
      <c r="O44" s="63">
        <f t="shared" si="10"/>
        <v>0</v>
      </c>
      <c r="P44" s="63">
        <f t="shared" si="10"/>
        <v>0</v>
      </c>
      <c r="Q44" s="63">
        <f t="shared" si="10"/>
        <v>0</v>
      </c>
      <c r="R44" s="63">
        <f t="shared" si="11"/>
        <v>0</v>
      </c>
      <c r="S44" s="63">
        <f t="shared" si="11"/>
        <v>0</v>
      </c>
      <c r="T44" s="63">
        <f t="shared" si="11"/>
        <v>0</v>
      </c>
      <c r="U44" s="63">
        <f t="shared" si="11"/>
        <v>0</v>
      </c>
      <c r="V44" s="63">
        <f t="shared" si="11"/>
        <v>0</v>
      </c>
      <c r="W44" s="63">
        <f t="shared" si="11"/>
        <v>0</v>
      </c>
      <c r="X44" s="63">
        <f t="shared" si="11"/>
        <v>0</v>
      </c>
      <c r="Y44" s="63">
        <f t="shared" si="11"/>
        <v>0</v>
      </c>
      <c r="Z44" s="63">
        <f t="shared" si="11"/>
        <v>0</v>
      </c>
      <c r="AA44" s="63">
        <f t="shared" si="11"/>
        <v>0</v>
      </c>
      <c r="AB44" s="63">
        <f t="shared" si="11"/>
        <v>0</v>
      </c>
      <c r="AC44" s="63">
        <f t="shared" si="11"/>
        <v>0</v>
      </c>
      <c r="AD44" s="63">
        <f t="shared" si="11"/>
        <v>0</v>
      </c>
      <c r="AE44" s="63">
        <f t="shared" si="11"/>
        <v>0</v>
      </c>
      <c r="AF44" s="63">
        <f t="shared" si="12"/>
        <v>0</v>
      </c>
      <c r="AG44" s="58" t="str">
        <f t="shared" si="13"/>
        <v>ok</v>
      </c>
    </row>
    <row r="45" spans="1:33">
      <c r="A45" s="272"/>
      <c r="B45" s="42" t="s">
        <v>311</v>
      </c>
      <c r="C45" s="44" t="s">
        <v>953</v>
      </c>
      <c r="D45" s="44" t="s">
        <v>954</v>
      </c>
      <c r="F45" s="79">
        <v>109522342</v>
      </c>
      <c r="H45" s="63">
        <f t="shared" si="10"/>
        <v>0</v>
      </c>
      <c r="I45" s="63">
        <f t="shared" si="10"/>
        <v>0</v>
      </c>
      <c r="J45" s="63">
        <f t="shared" si="10"/>
        <v>0</v>
      </c>
      <c r="K45" s="63">
        <f t="shared" si="10"/>
        <v>0</v>
      </c>
      <c r="L45" s="63">
        <f t="shared" si="10"/>
        <v>0</v>
      </c>
      <c r="M45" s="63">
        <f t="shared" si="10"/>
        <v>0</v>
      </c>
      <c r="N45" s="63">
        <f t="shared" si="10"/>
        <v>0</v>
      </c>
      <c r="O45" s="63">
        <f t="shared" si="10"/>
        <v>0</v>
      </c>
      <c r="P45" s="63">
        <f t="shared" si="10"/>
        <v>0</v>
      </c>
      <c r="Q45" s="63">
        <f t="shared" si="10"/>
        <v>0</v>
      </c>
      <c r="R45" s="63">
        <f t="shared" si="11"/>
        <v>0</v>
      </c>
      <c r="S45" s="63">
        <f t="shared" si="11"/>
        <v>0</v>
      </c>
      <c r="T45" s="63">
        <f t="shared" si="11"/>
        <v>0</v>
      </c>
      <c r="U45" s="63">
        <f t="shared" si="11"/>
        <v>0</v>
      </c>
      <c r="V45" s="63">
        <f t="shared" si="11"/>
        <v>0</v>
      </c>
      <c r="W45" s="63">
        <f t="shared" si="11"/>
        <v>0</v>
      </c>
      <c r="X45" s="63">
        <f t="shared" si="11"/>
        <v>0</v>
      </c>
      <c r="Y45" s="63">
        <f t="shared" si="11"/>
        <v>0</v>
      </c>
      <c r="Z45" s="63">
        <f t="shared" si="11"/>
        <v>0</v>
      </c>
      <c r="AA45" s="63">
        <f t="shared" si="11"/>
        <v>0</v>
      </c>
      <c r="AB45" s="63">
        <f t="shared" si="11"/>
        <v>109522342</v>
      </c>
      <c r="AC45" s="63">
        <f t="shared" si="11"/>
        <v>0</v>
      </c>
      <c r="AD45" s="63">
        <f t="shared" si="11"/>
        <v>0</v>
      </c>
      <c r="AE45" s="63">
        <f t="shared" si="11"/>
        <v>0</v>
      </c>
      <c r="AF45" s="63">
        <f t="shared" si="12"/>
        <v>109522342</v>
      </c>
      <c r="AG45" s="58" t="str">
        <f t="shared" si="13"/>
        <v>ok</v>
      </c>
    </row>
    <row r="46" spans="1:33">
      <c r="A46" s="272"/>
      <c r="B46" s="42" t="s">
        <v>912</v>
      </c>
      <c r="C46" s="60" t="s">
        <v>1299</v>
      </c>
      <c r="D46" s="60" t="s">
        <v>943</v>
      </c>
      <c r="F46" s="79">
        <v>0</v>
      </c>
      <c r="H46" s="63">
        <f t="shared" si="10"/>
        <v>0</v>
      </c>
      <c r="I46" s="63">
        <f t="shared" si="10"/>
        <v>0</v>
      </c>
      <c r="J46" s="63">
        <f t="shared" si="10"/>
        <v>0</v>
      </c>
      <c r="K46" s="63">
        <f t="shared" si="10"/>
        <v>0</v>
      </c>
      <c r="L46" s="63">
        <f t="shared" si="10"/>
        <v>0</v>
      </c>
      <c r="M46" s="63">
        <f t="shared" si="10"/>
        <v>0</v>
      </c>
      <c r="N46" s="63">
        <f t="shared" si="10"/>
        <v>0</v>
      </c>
      <c r="O46" s="63">
        <f t="shared" si="10"/>
        <v>0</v>
      </c>
      <c r="P46" s="63">
        <f t="shared" si="10"/>
        <v>0</v>
      </c>
      <c r="Q46" s="63">
        <f t="shared" si="10"/>
        <v>0</v>
      </c>
      <c r="R46" s="63">
        <f t="shared" si="11"/>
        <v>0</v>
      </c>
      <c r="S46" s="63">
        <f t="shared" si="11"/>
        <v>0</v>
      </c>
      <c r="T46" s="63">
        <f t="shared" si="11"/>
        <v>0</v>
      </c>
      <c r="U46" s="63">
        <f t="shared" si="11"/>
        <v>0</v>
      </c>
      <c r="V46" s="63">
        <f t="shared" si="11"/>
        <v>0</v>
      </c>
      <c r="W46" s="63">
        <f t="shared" si="11"/>
        <v>0</v>
      </c>
      <c r="X46" s="63">
        <f t="shared" si="11"/>
        <v>0</v>
      </c>
      <c r="Y46" s="63">
        <f t="shared" si="11"/>
        <v>0</v>
      </c>
      <c r="Z46" s="63">
        <f t="shared" si="11"/>
        <v>0</v>
      </c>
      <c r="AA46" s="63">
        <f t="shared" si="11"/>
        <v>0</v>
      </c>
      <c r="AB46" s="63">
        <f t="shared" si="11"/>
        <v>0</v>
      </c>
      <c r="AC46" s="63">
        <f t="shared" si="11"/>
        <v>0</v>
      </c>
      <c r="AD46" s="63">
        <f t="shared" si="11"/>
        <v>0</v>
      </c>
      <c r="AE46" s="63">
        <f t="shared" si="11"/>
        <v>0</v>
      </c>
      <c r="AF46" s="63">
        <f>SUM(H46:AE46)</f>
        <v>0</v>
      </c>
      <c r="AG46" s="58" t="str">
        <f t="shared" si="13"/>
        <v>ok</v>
      </c>
    </row>
    <row r="47" spans="1:33">
      <c r="A47" s="60"/>
      <c r="B47" s="60"/>
      <c r="W47" s="44"/>
      <c r="AF47" s="63"/>
      <c r="AG47" s="58"/>
    </row>
    <row r="48" spans="1:33" ht="15">
      <c r="A48" s="60"/>
      <c r="B48" s="65" t="s">
        <v>955</v>
      </c>
      <c r="C48" s="44" t="s">
        <v>935</v>
      </c>
      <c r="F48" s="76">
        <f>SUM(F38:F47)</f>
        <v>1362654761.28</v>
      </c>
      <c r="G48" s="66"/>
      <c r="H48" s="62">
        <f t="shared" ref="H48:M48" si="14">SUM(H38:H47)</f>
        <v>0</v>
      </c>
      <c r="I48" s="62">
        <f t="shared" si="14"/>
        <v>0</v>
      </c>
      <c r="J48" s="62">
        <f t="shared" si="14"/>
        <v>0</v>
      </c>
      <c r="K48" s="62">
        <f t="shared" si="14"/>
        <v>0</v>
      </c>
      <c r="L48" s="62">
        <f t="shared" si="14"/>
        <v>0</v>
      </c>
      <c r="M48" s="62">
        <f t="shared" si="14"/>
        <v>0</v>
      </c>
      <c r="N48" s="62">
        <f>SUM(N38:N47)</f>
        <v>0</v>
      </c>
      <c r="O48" s="62">
        <f>SUM(O38:O47)</f>
        <v>0</v>
      </c>
      <c r="P48" s="62">
        <f>SUM(P38:P47)</f>
        <v>0</v>
      </c>
      <c r="Q48" s="62">
        <f t="shared" ref="Q48:AE48" si="15">SUM(Q38:Q47)</f>
        <v>0</v>
      </c>
      <c r="R48" s="62">
        <f t="shared" si="15"/>
        <v>152675045</v>
      </c>
      <c r="S48" s="62">
        <f t="shared" si="15"/>
        <v>0</v>
      </c>
      <c r="T48" s="62">
        <f t="shared" si="15"/>
        <v>261090031.11421514</v>
      </c>
      <c r="U48" s="62">
        <f>SUM(U38:U47)</f>
        <v>415491278.21078491</v>
      </c>
      <c r="V48" s="62">
        <f>SUM(V38:V47)</f>
        <v>71774630.733684897</v>
      </c>
      <c r="W48" s="62">
        <f>SUM(W38:W47)</f>
        <v>109072752.94131508</v>
      </c>
      <c r="X48" s="62">
        <f t="shared" si="15"/>
        <v>99214194.510280386</v>
      </c>
      <c r="Y48" s="62">
        <f t="shared" si="15"/>
        <v>69385680.489719614</v>
      </c>
      <c r="Z48" s="62">
        <f>SUM(Z38:Z47)</f>
        <v>34458226.280000001</v>
      </c>
      <c r="AA48" s="62">
        <f>SUM(AA38:AA47)</f>
        <v>39970580</v>
      </c>
      <c r="AB48" s="62">
        <f t="shared" si="15"/>
        <v>109522342</v>
      </c>
      <c r="AC48" s="62">
        <f t="shared" si="15"/>
        <v>0</v>
      </c>
      <c r="AD48" s="62">
        <f t="shared" si="15"/>
        <v>0</v>
      </c>
      <c r="AE48" s="62">
        <f t="shared" si="15"/>
        <v>0</v>
      </c>
      <c r="AF48" s="63">
        <f>SUM(H48:AE48)</f>
        <v>1362654761.28</v>
      </c>
      <c r="AG48" s="58" t="str">
        <f>IF(ABS(AF48-F48)&lt;1,"ok","err")</f>
        <v>ok</v>
      </c>
    </row>
    <row r="49" spans="1:33">
      <c r="A49" s="60"/>
      <c r="B49" s="60"/>
      <c r="W49" s="44"/>
      <c r="AG49" s="58"/>
    </row>
    <row r="50" spans="1:33" ht="15">
      <c r="A50" s="60"/>
      <c r="B50" s="65" t="s">
        <v>884</v>
      </c>
      <c r="C50" s="44" t="s">
        <v>1163</v>
      </c>
      <c r="F50" s="80">
        <f>F29+F35+F48</f>
        <v>4110427911.5346155</v>
      </c>
      <c r="G50" s="64"/>
      <c r="H50" s="80">
        <f>H29+H35+H48</f>
        <v>792651073.79517269</v>
      </c>
      <c r="I50" s="80">
        <f>I29+I35+I48</f>
        <v>830352170.11328363</v>
      </c>
      <c r="J50" s="80">
        <f>J29+J35+J48</f>
        <v>682546683.86846709</v>
      </c>
      <c r="K50" s="80">
        <f>K29+K35+K48</f>
        <v>0</v>
      </c>
      <c r="L50" s="64">
        <f>L29+L33+L48</f>
        <v>0</v>
      </c>
      <c r="M50" s="64">
        <f>M29+M33+M48</f>
        <v>0</v>
      </c>
      <c r="N50" s="80">
        <f>N29+N35+N48</f>
        <v>442223222.47769213</v>
      </c>
      <c r="O50" s="80">
        <f>O29+O35+O48</f>
        <v>0</v>
      </c>
      <c r="P50" s="80">
        <f>P29+P35+P48</f>
        <v>0</v>
      </c>
      <c r="Q50" s="64">
        <f>Q29+Q33+Q48</f>
        <v>0</v>
      </c>
      <c r="R50" s="80">
        <f t="shared" ref="R50:AE50" si="16">R29+R35+R48</f>
        <v>152675045</v>
      </c>
      <c r="S50" s="80">
        <f t="shared" si="16"/>
        <v>0</v>
      </c>
      <c r="T50" s="80">
        <f t="shared" si="16"/>
        <v>261090031.11421514</v>
      </c>
      <c r="U50" s="80">
        <f t="shared" si="16"/>
        <v>415491278.21078491</v>
      </c>
      <c r="V50" s="80">
        <f t="shared" si="16"/>
        <v>71774630.733684897</v>
      </c>
      <c r="W50" s="80">
        <f t="shared" si="16"/>
        <v>109072752.94131508</v>
      </c>
      <c r="X50" s="80">
        <f t="shared" si="16"/>
        <v>99214194.510280386</v>
      </c>
      <c r="Y50" s="80">
        <f t="shared" si="16"/>
        <v>69385680.489719614</v>
      </c>
      <c r="Z50" s="80">
        <f t="shared" si="16"/>
        <v>34458226.280000001</v>
      </c>
      <c r="AA50" s="80">
        <f t="shared" si="16"/>
        <v>39970580</v>
      </c>
      <c r="AB50" s="80">
        <f t="shared" si="16"/>
        <v>109522342</v>
      </c>
      <c r="AC50" s="80">
        <f t="shared" si="16"/>
        <v>0</v>
      </c>
      <c r="AD50" s="80">
        <f t="shared" si="16"/>
        <v>0</v>
      </c>
      <c r="AE50" s="80">
        <f t="shared" si="16"/>
        <v>0</v>
      </c>
      <c r="AF50" s="63">
        <f>SUM(H50:AE50)</f>
        <v>4110427911.534616</v>
      </c>
      <c r="AG50" s="58" t="str">
        <f>IF(ABS(AF50-F50)&lt;1,"ok","err")</f>
        <v>ok</v>
      </c>
    </row>
    <row r="51" spans="1:33">
      <c r="A51" s="60"/>
      <c r="B51" s="60"/>
      <c r="W51" s="44"/>
      <c r="AG51" s="58"/>
    </row>
    <row r="52" spans="1:33">
      <c r="A52" s="60"/>
      <c r="B52" s="60"/>
      <c r="F52" s="80"/>
      <c r="W52" s="44"/>
      <c r="AG52" s="58"/>
    </row>
    <row r="53" spans="1:33">
      <c r="A53" s="60"/>
      <c r="B53" s="60"/>
      <c r="F53" s="80"/>
      <c r="W53" s="44"/>
      <c r="AG53" s="58"/>
    </row>
    <row r="54" spans="1:33">
      <c r="A54" s="60"/>
      <c r="B54" s="60"/>
      <c r="W54" s="44"/>
      <c r="AG54" s="58"/>
    </row>
    <row r="55" spans="1:33">
      <c r="A55" s="60"/>
      <c r="B55" s="60"/>
      <c r="W55" s="44"/>
      <c r="AG55" s="58"/>
    </row>
    <row r="56" spans="1:33" ht="15">
      <c r="A56" s="59" t="s">
        <v>1140</v>
      </c>
      <c r="B56" s="60"/>
      <c r="W56" s="44"/>
      <c r="AG56" s="58"/>
    </row>
    <row r="57" spans="1:33">
      <c r="A57" s="60"/>
      <c r="B57" s="60"/>
      <c r="F57" s="80"/>
      <c r="W57" s="44"/>
      <c r="AG57" s="58"/>
    </row>
    <row r="58" spans="1:33" ht="15">
      <c r="A58" s="59" t="s">
        <v>956</v>
      </c>
      <c r="B58" s="60"/>
      <c r="F58" s="80"/>
      <c r="W58" s="44"/>
      <c r="AG58" s="58"/>
    </row>
    <row r="59" spans="1:33">
      <c r="A59" s="60"/>
      <c r="B59" s="60"/>
      <c r="W59" s="44"/>
      <c r="AF59" s="63"/>
      <c r="AG59" s="58"/>
    </row>
    <row r="60" spans="1:33">
      <c r="A60" s="60"/>
      <c r="B60" s="60" t="s">
        <v>957</v>
      </c>
      <c r="C60" s="44" t="s">
        <v>958</v>
      </c>
      <c r="D60" s="44" t="s">
        <v>1163</v>
      </c>
      <c r="F60" s="76">
        <f>15832612</f>
        <v>15832612</v>
      </c>
      <c r="G60" s="62"/>
      <c r="H60" s="63">
        <f t="shared" ref="H60:AE60" si="17">IF(VLOOKUP($D60,$C$6:$AE$653,H$2,)=0,0,((VLOOKUP($D60,$C$6:$AE$653,H$2,)/VLOOKUP($D60,$C$6:$AE$653,4,))*$F60))</f>
        <v>3053146.0891372086</v>
      </c>
      <c r="I60" s="63">
        <f t="shared" si="17"/>
        <v>3198363.7751849922</v>
      </c>
      <c r="J60" s="63">
        <f t="shared" si="17"/>
        <v>2629044.2382534151</v>
      </c>
      <c r="K60" s="63">
        <f t="shared" si="17"/>
        <v>0</v>
      </c>
      <c r="L60" s="63">
        <f t="shared" si="17"/>
        <v>0</v>
      </c>
      <c r="M60" s="63">
        <f t="shared" si="17"/>
        <v>0</v>
      </c>
      <c r="N60" s="63">
        <f t="shared" si="17"/>
        <v>1703362.4842881558</v>
      </c>
      <c r="O60" s="63">
        <f t="shared" si="17"/>
        <v>0</v>
      </c>
      <c r="P60" s="63">
        <f t="shared" si="17"/>
        <v>0</v>
      </c>
      <c r="Q60" s="63">
        <f t="shared" si="17"/>
        <v>0</v>
      </c>
      <c r="R60" s="63">
        <f t="shared" si="17"/>
        <v>588076.18126188451</v>
      </c>
      <c r="S60" s="63">
        <f t="shared" si="17"/>
        <v>0</v>
      </c>
      <c r="T60" s="63">
        <f t="shared" si="17"/>
        <v>1005670.7595088263</v>
      </c>
      <c r="U60" s="63">
        <f t="shared" si="17"/>
        <v>1600395.9536269838</v>
      </c>
      <c r="V60" s="63">
        <f t="shared" si="17"/>
        <v>276462.67111529136</v>
      </c>
      <c r="W60" s="63">
        <f t="shared" si="17"/>
        <v>420128.17503639549</v>
      </c>
      <c r="X60" s="63">
        <f t="shared" si="17"/>
        <v>382154.82192639617</v>
      </c>
      <c r="Y60" s="63">
        <f t="shared" si="17"/>
        <v>267260.87434034527</v>
      </c>
      <c r="Z60" s="63">
        <f t="shared" si="17"/>
        <v>132726.74734630217</v>
      </c>
      <c r="AA60" s="63">
        <f t="shared" si="17"/>
        <v>153959.31960735729</v>
      </c>
      <c r="AB60" s="63">
        <f t="shared" si="17"/>
        <v>421859.90936644626</v>
      </c>
      <c r="AC60" s="63">
        <f t="shared" si="17"/>
        <v>0</v>
      </c>
      <c r="AD60" s="63">
        <f t="shared" si="17"/>
        <v>0</v>
      </c>
      <c r="AE60" s="63">
        <f t="shared" si="17"/>
        <v>0</v>
      </c>
      <c r="AF60" s="63">
        <f>SUM(H60:AE60)</f>
        <v>15832612</v>
      </c>
      <c r="AG60" s="58" t="str">
        <f>IF(ABS(AF60-F60)&lt;1,"ok","err")</f>
        <v>ok</v>
      </c>
    </row>
    <row r="61" spans="1:33">
      <c r="A61" s="60"/>
      <c r="B61" s="60"/>
      <c r="F61" s="80"/>
      <c r="O61" s="63"/>
      <c r="P61" s="63"/>
      <c r="W61" s="44"/>
      <c r="AF61" s="63"/>
      <c r="AG61" s="58"/>
    </row>
    <row r="62" spans="1:33">
      <c r="A62" s="60"/>
      <c r="B62" s="60" t="s">
        <v>202</v>
      </c>
      <c r="C62" s="44" t="s">
        <v>203</v>
      </c>
      <c r="D62" s="44" t="s">
        <v>1163</v>
      </c>
      <c r="F62" s="76">
        <f>202237020</f>
        <v>202237020</v>
      </c>
      <c r="H62" s="63">
        <f t="shared" ref="H62:Q67" si="18">IF(VLOOKUP($D62,$C$6:$AE$653,H$2,)=0,0,((VLOOKUP($D62,$C$6:$AE$653,H$2,)/VLOOKUP($D62,$C$6:$AE$653,4,))*$F62))</f>
        <v>38999197.775563724</v>
      </c>
      <c r="I62" s="63">
        <f t="shared" si="18"/>
        <v>40854128.097711407</v>
      </c>
      <c r="J62" s="63">
        <f t="shared" si="18"/>
        <v>33581955.535355799</v>
      </c>
      <c r="K62" s="63">
        <f t="shared" si="18"/>
        <v>0</v>
      </c>
      <c r="L62" s="63">
        <f t="shared" si="18"/>
        <v>0</v>
      </c>
      <c r="M62" s="63">
        <f t="shared" si="18"/>
        <v>0</v>
      </c>
      <c r="N62" s="63">
        <f t="shared" si="18"/>
        <v>21757809.311706334</v>
      </c>
      <c r="O62" s="63">
        <f t="shared" si="18"/>
        <v>0</v>
      </c>
      <c r="P62" s="63">
        <f t="shared" si="18"/>
        <v>0</v>
      </c>
      <c r="Q62" s="63">
        <f t="shared" si="18"/>
        <v>0</v>
      </c>
      <c r="R62" s="63">
        <f t="shared" ref="R62:AE67" si="19">IF(VLOOKUP($D62,$C$6:$AE$653,R$2,)=0,0,((VLOOKUP($D62,$C$6:$AE$653,R$2,)/VLOOKUP($D62,$C$6:$AE$653,4,))*$F62))</f>
        <v>7511759.5524594029</v>
      </c>
      <c r="S62" s="63">
        <f t="shared" si="19"/>
        <v>0</v>
      </c>
      <c r="T62" s="63">
        <f t="shared" si="19"/>
        <v>12845881.494740205</v>
      </c>
      <c r="U62" s="63">
        <f t="shared" si="19"/>
        <v>20442571.856215473</v>
      </c>
      <c r="V62" s="63">
        <f t="shared" si="19"/>
        <v>3531381.097926015</v>
      </c>
      <c r="W62" s="63">
        <f t="shared" si="19"/>
        <v>5366484.7049494432</v>
      </c>
      <c r="X62" s="63">
        <f t="shared" si="19"/>
        <v>4881434.1161789987</v>
      </c>
      <c r="Y62" s="63">
        <f t="shared" si="19"/>
        <v>3413842.4404757656</v>
      </c>
      <c r="Z62" s="63">
        <f t="shared" si="19"/>
        <v>1695377.9867534842</v>
      </c>
      <c r="AA62" s="63">
        <f t="shared" si="19"/>
        <v>1966591.1094530397</v>
      </c>
      <c r="AB62" s="63">
        <f t="shared" si="19"/>
        <v>5388604.920510917</v>
      </c>
      <c r="AC62" s="63">
        <f t="shared" si="19"/>
        <v>0</v>
      </c>
      <c r="AD62" s="63">
        <f t="shared" si="19"/>
        <v>0</v>
      </c>
      <c r="AE62" s="63">
        <f t="shared" si="19"/>
        <v>0</v>
      </c>
      <c r="AF62" s="63">
        <f t="shared" ref="AF62:AF67" si="20">SUM(H62:AE62)</f>
        <v>202237020.00000003</v>
      </c>
      <c r="AG62" s="58" t="str">
        <f t="shared" ref="AG62:AG67" si="21">IF(ABS(AF62-F62)&lt;1,"ok","err")</f>
        <v>ok</v>
      </c>
    </row>
    <row r="63" spans="1:33">
      <c r="A63" s="61">
        <v>106</v>
      </c>
      <c r="B63" s="60" t="s">
        <v>1138</v>
      </c>
      <c r="C63" s="44" t="s">
        <v>1139</v>
      </c>
      <c r="D63" s="44" t="s">
        <v>1163</v>
      </c>
      <c r="F63" s="79">
        <v>0</v>
      </c>
      <c r="H63" s="63">
        <f t="shared" si="18"/>
        <v>0</v>
      </c>
      <c r="I63" s="63">
        <f t="shared" si="18"/>
        <v>0</v>
      </c>
      <c r="J63" s="63">
        <f t="shared" si="18"/>
        <v>0</v>
      </c>
      <c r="K63" s="63">
        <f t="shared" si="18"/>
        <v>0</v>
      </c>
      <c r="L63" s="63">
        <f t="shared" si="18"/>
        <v>0</v>
      </c>
      <c r="M63" s="63">
        <f t="shared" si="18"/>
        <v>0</v>
      </c>
      <c r="N63" s="63">
        <f t="shared" si="18"/>
        <v>0</v>
      </c>
      <c r="O63" s="63">
        <f t="shared" si="18"/>
        <v>0</v>
      </c>
      <c r="P63" s="63">
        <f t="shared" si="18"/>
        <v>0</v>
      </c>
      <c r="Q63" s="63">
        <f t="shared" si="18"/>
        <v>0</v>
      </c>
      <c r="R63" s="63">
        <f t="shared" si="19"/>
        <v>0</v>
      </c>
      <c r="S63" s="63">
        <f t="shared" si="19"/>
        <v>0</v>
      </c>
      <c r="T63" s="63">
        <f t="shared" si="19"/>
        <v>0</v>
      </c>
      <c r="U63" s="63">
        <f t="shared" si="19"/>
        <v>0</v>
      </c>
      <c r="V63" s="63">
        <f t="shared" si="19"/>
        <v>0</v>
      </c>
      <c r="W63" s="63">
        <f t="shared" si="19"/>
        <v>0</v>
      </c>
      <c r="X63" s="63">
        <f t="shared" si="19"/>
        <v>0</v>
      </c>
      <c r="Y63" s="63">
        <f t="shared" si="19"/>
        <v>0</v>
      </c>
      <c r="Z63" s="63">
        <f t="shared" si="19"/>
        <v>0</v>
      </c>
      <c r="AA63" s="63">
        <f t="shared" si="19"/>
        <v>0</v>
      </c>
      <c r="AB63" s="63">
        <f t="shared" si="19"/>
        <v>0</v>
      </c>
      <c r="AC63" s="63">
        <f t="shared" si="19"/>
        <v>0</v>
      </c>
      <c r="AD63" s="63">
        <f t="shared" si="19"/>
        <v>0</v>
      </c>
      <c r="AE63" s="63">
        <f t="shared" si="19"/>
        <v>0</v>
      </c>
      <c r="AF63" s="63">
        <f t="shared" si="20"/>
        <v>0</v>
      </c>
      <c r="AG63" s="58" t="str">
        <f t="shared" si="21"/>
        <v>ok</v>
      </c>
    </row>
    <row r="64" spans="1:33">
      <c r="A64" s="61">
        <v>105</v>
      </c>
      <c r="B64" s="60" t="s">
        <v>1286</v>
      </c>
      <c r="C64" s="44" t="s">
        <v>140</v>
      </c>
      <c r="D64" s="44" t="s">
        <v>935</v>
      </c>
      <c r="F64" s="79">
        <f>3126750-211410</f>
        <v>2915340</v>
      </c>
      <c r="H64" s="63">
        <f t="shared" si="18"/>
        <v>0</v>
      </c>
      <c r="I64" s="63">
        <f t="shared" si="18"/>
        <v>0</v>
      </c>
      <c r="J64" s="63">
        <f t="shared" si="18"/>
        <v>0</v>
      </c>
      <c r="K64" s="63">
        <f t="shared" si="18"/>
        <v>0</v>
      </c>
      <c r="L64" s="63">
        <f t="shared" si="18"/>
        <v>0</v>
      </c>
      <c r="M64" s="63">
        <f t="shared" si="18"/>
        <v>0</v>
      </c>
      <c r="N64" s="63">
        <f t="shared" si="18"/>
        <v>0</v>
      </c>
      <c r="O64" s="63">
        <f t="shared" si="18"/>
        <v>0</v>
      </c>
      <c r="P64" s="63">
        <f t="shared" si="18"/>
        <v>0</v>
      </c>
      <c r="Q64" s="63">
        <f t="shared" si="18"/>
        <v>0</v>
      </c>
      <c r="R64" s="63">
        <f t="shared" si="19"/>
        <v>326641.55172525049</v>
      </c>
      <c r="S64" s="63">
        <f t="shared" si="19"/>
        <v>0</v>
      </c>
      <c r="T64" s="63">
        <f t="shared" si="19"/>
        <v>558590.6518196289</v>
      </c>
      <c r="U64" s="63">
        <f t="shared" si="19"/>
        <v>888925.33709800802</v>
      </c>
      <c r="V64" s="63">
        <f t="shared" si="19"/>
        <v>153558.6693775508</v>
      </c>
      <c r="W64" s="63">
        <f t="shared" si="19"/>
        <v>233356.3633251003</v>
      </c>
      <c r="X64" s="63">
        <f t="shared" si="19"/>
        <v>212264.41065079634</v>
      </c>
      <c r="Y64" s="63">
        <f t="shared" si="19"/>
        <v>148447.61527775842</v>
      </c>
      <c r="Z64" s="63">
        <f t="shared" si="19"/>
        <v>73721.861367710793</v>
      </c>
      <c r="AA64" s="63">
        <f t="shared" si="19"/>
        <v>85515.299992597109</v>
      </c>
      <c r="AB64" s="63">
        <f t="shared" si="19"/>
        <v>234318.23936559886</v>
      </c>
      <c r="AC64" s="63">
        <f t="shared" si="19"/>
        <v>0</v>
      </c>
      <c r="AD64" s="63">
        <f t="shared" si="19"/>
        <v>0</v>
      </c>
      <c r="AE64" s="63">
        <f t="shared" si="19"/>
        <v>0</v>
      </c>
      <c r="AF64" s="63">
        <f t="shared" si="20"/>
        <v>2915339.9999999995</v>
      </c>
      <c r="AG64" s="58" t="str">
        <f t="shared" si="21"/>
        <v>ok</v>
      </c>
    </row>
    <row r="65" spans="1:33">
      <c r="A65" s="61">
        <v>105</v>
      </c>
      <c r="B65" s="60" t="s">
        <v>1287</v>
      </c>
      <c r="C65" s="44" t="s">
        <v>140</v>
      </c>
      <c r="D65" s="44" t="s">
        <v>638</v>
      </c>
      <c r="F65" s="79">
        <f>211410</f>
        <v>211410</v>
      </c>
      <c r="H65" s="63">
        <f t="shared" si="18"/>
        <v>72683.033879304188</v>
      </c>
      <c r="I65" s="63">
        <f t="shared" si="18"/>
        <v>76140.078411971117</v>
      </c>
      <c r="J65" s="63">
        <f t="shared" si="18"/>
        <v>62586.887708724687</v>
      </c>
      <c r="K65" s="63">
        <f t="shared" si="18"/>
        <v>0</v>
      </c>
      <c r="L65" s="63">
        <f t="shared" si="18"/>
        <v>0</v>
      </c>
      <c r="M65" s="63">
        <f t="shared" si="18"/>
        <v>0</v>
      </c>
      <c r="N65" s="63">
        <f t="shared" si="18"/>
        <v>0</v>
      </c>
      <c r="O65" s="63">
        <f t="shared" si="18"/>
        <v>0</v>
      </c>
      <c r="P65" s="63">
        <f t="shared" si="18"/>
        <v>0</v>
      </c>
      <c r="Q65" s="63">
        <f t="shared" si="18"/>
        <v>0</v>
      </c>
      <c r="R65" s="63">
        <f t="shared" si="19"/>
        <v>0</v>
      </c>
      <c r="S65" s="63">
        <f t="shared" si="19"/>
        <v>0</v>
      </c>
      <c r="T65" s="63">
        <f t="shared" si="19"/>
        <v>0</v>
      </c>
      <c r="U65" s="63">
        <f t="shared" si="19"/>
        <v>0</v>
      </c>
      <c r="V65" s="63">
        <f t="shared" si="19"/>
        <v>0</v>
      </c>
      <c r="W65" s="63">
        <f t="shared" si="19"/>
        <v>0</v>
      </c>
      <c r="X65" s="63">
        <f t="shared" si="19"/>
        <v>0</v>
      </c>
      <c r="Y65" s="63">
        <f t="shared" si="19"/>
        <v>0</v>
      </c>
      <c r="Z65" s="63">
        <f t="shared" si="19"/>
        <v>0</v>
      </c>
      <c r="AA65" s="63">
        <f t="shared" si="19"/>
        <v>0</v>
      </c>
      <c r="AB65" s="63">
        <f t="shared" si="19"/>
        <v>0</v>
      </c>
      <c r="AC65" s="63">
        <f t="shared" si="19"/>
        <v>0</v>
      </c>
      <c r="AD65" s="63">
        <f t="shared" si="19"/>
        <v>0</v>
      </c>
      <c r="AE65" s="63">
        <f t="shared" si="19"/>
        <v>0</v>
      </c>
      <c r="AF65" s="63">
        <f t="shared" si="20"/>
        <v>211409.99999999997</v>
      </c>
      <c r="AG65" s="58" t="str">
        <f t="shared" si="21"/>
        <v>ok</v>
      </c>
    </row>
    <row r="66" spans="1:33">
      <c r="A66" s="60"/>
      <c r="B66" s="60" t="s">
        <v>755</v>
      </c>
      <c r="D66" s="44" t="s">
        <v>638</v>
      </c>
      <c r="F66" s="79">
        <v>0</v>
      </c>
      <c r="H66" s="44">
        <f t="shared" si="18"/>
        <v>0</v>
      </c>
      <c r="I66" s="44">
        <f t="shared" si="18"/>
        <v>0</v>
      </c>
      <c r="J66" s="44">
        <f t="shared" si="18"/>
        <v>0</v>
      </c>
      <c r="K66" s="44">
        <f t="shared" si="18"/>
        <v>0</v>
      </c>
      <c r="L66" s="44">
        <f t="shared" si="18"/>
        <v>0</v>
      </c>
      <c r="M66" s="44">
        <f t="shared" si="18"/>
        <v>0</v>
      </c>
      <c r="N66" s="44">
        <f t="shared" si="18"/>
        <v>0</v>
      </c>
      <c r="O66" s="63">
        <f t="shared" si="18"/>
        <v>0</v>
      </c>
      <c r="P66" s="63">
        <f t="shared" si="18"/>
        <v>0</v>
      </c>
      <c r="Q66" s="44">
        <f t="shared" si="18"/>
        <v>0</v>
      </c>
      <c r="R66" s="44">
        <f t="shared" si="19"/>
        <v>0</v>
      </c>
      <c r="S66" s="44">
        <f t="shared" si="19"/>
        <v>0</v>
      </c>
      <c r="T66" s="44">
        <f t="shared" si="19"/>
        <v>0</v>
      </c>
      <c r="U66" s="44">
        <f t="shared" si="19"/>
        <v>0</v>
      </c>
      <c r="V66" s="44">
        <f t="shared" si="19"/>
        <v>0</v>
      </c>
      <c r="W66" s="44">
        <f t="shared" si="19"/>
        <v>0</v>
      </c>
      <c r="X66" s="44">
        <f t="shared" si="19"/>
        <v>0</v>
      </c>
      <c r="Y66" s="44">
        <f t="shared" si="19"/>
        <v>0</v>
      </c>
      <c r="Z66" s="44">
        <f t="shared" si="19"/>
        <v>0</v>
      </c>
      <c r="AA66" s="44">
        <f t="shared" si="19"/>
        <v>0</v>
      </c>
      <c r="AB66" s="44">
        <f t="shared" si="19"/>
        <v>0</v>
      </c>
      <c r="AC66" s="44">
        <f t="shared" si="19"/>
        <v>0</v>
      </c>
      <c r="AD66" s="44">
        <f t="shared" si="19"/>
        <v>0</v>
      </c>
      <c r="AE66" s="44">
        <f t="shared" si="19"/>
        <v>0</v>
      </c>
      <c r="AF66" s="63">
        <f t="shared" si="20"/>
        <v>0</v>
      </c>
      <c r="AG66" s="58" t="str">
        <f t="shared" si="21"/>
        <v>ok</v>
      </c>
    </row>
    <row r="67" spans="1:33">
      <c r="A67" s="61"/>
      <c r="B67" s="60" t="s">
        <v>23</v>
      </c>
      <c r="D67" s="44" t="s">
        <v>935</v>
      </c>
      <c r="F67" s="76">
        <v>0</v>
      </c>
      <c r="H67" s="63">
        <f t="shared" si="18"/>
        <v>0</v>
      </c>
      <c r="I67" s="63">
        <f t="shared" si="18"/>
        <v>0</v>
      </c>
      <c r="J67" s="63">
        <f t="shared" si="18"/>
        <v>0</v>
      </c>
      <c r="K67" s="63">
        <f t="shared" si="18"/>
        <v>0</v>
      </c>
      <c r="L67" s="63">
        <f t="shared" si="18"/>
        <v>0</v>
      </c>
      <c r="M67" s="63">
        <f t="shared" si="18"/>
        <v>0</v>
      </c>
      <c r="N67" s="63">
        <f t="shared" si="18"/>
        <v>0</v>
      </c>
      <c r="O67" s="63">
        <f t="shared" si="18"/>
        <v>0</v>
      </c>
      <c r="P67" s="63">
        <f t="shared" si="18"/>
        <v>0</v>
      </c>
      <c r="Q67" s="63">
        <f t="shared" si="18"/>
        <v>0</v>
      </c>
      <c r="R67" s="63">
        <f t="shared" si="19"/>
        <v>0</v>
      </c>
      <c r="S67" s="63">
        <f t="shared" si="19"/>
        <v>0</v>
      </c>
      <c r="T67" s="63">
        <f t="shared" si="19"/>
        <v>0</v>
      </c>
      <c r="U67" s="63">
        <f t="shared" si="19"/>
        <v>0</v>
      </c>
      <c r="V67" s="63">
        <f t="shared" si="19"/>
        <v>0</v>
      </c>
      <c r="W67" s="63">
        <f t="shared" si="19"/>
        <v>0</v>
      </c>
      <c r="X67" s="63">
        <f t="shared" si="19"/>
        <v>0</v>
      </c>
      <c r="Y67" s="63">
        <f t="shared" si="19"/>
        <v>0</v>
      </c>
      <c r="Z67" s="63">
        <f t="shared" si="19"/>
        <v>0</v>
      </c>
      <c r="AA67" s="63">
        <f t="shared" si="19"/>
        <v>0</v>
      </c>
      <c r="AB67" s="63">
        <f t="shared" si="19"/>
        <v>0</v>
      </c>
      <c r="AC67" s="63">
        <f t="shared" si="19"/>
        <v>0</v>
      </c>
      <c r="AD67" s="63">
        <f t="shared" si="19"/>
        <v>0</v>
      </c>
      <c r="AE67" s="63">
        <f t="shared" si="19"/>
        <v>0</v>
      </c>
      <c r="AF67" s="63">
        <f t="shared" si="20"/>
        <v>0</v>
      </c>
      <c r="AG67" s="58" t="str">
        <f t="shared" si="21"/>
        <v>ok</v>
      </c>
    </row>
    <row r="68" spans="1:33">
      <c r="A68" s="60"/>
      <c r="B68" s="60"/>
      <c r="W68" s="44"/>
      <c r="AF68" s="63"/>
      <c r="AG68" s="58"/>
    </row>
    <row r="69" spans="1:33" s="60" customFormat="1">
      <c r="B69" s="60" t="s">
        <v>959</v>
      </c>
      <c r="C69" s="60" t="s">
        <v>960</v>
      </c>
      <c r="F69" s="80">
        <f>F15+SUM(F50:F67)</f>
        <v>4331626533.7946157</v>
      </c>
      <c r="G69" s="80"/>
      <c r="H69" s="80">
        <f t="shared" ref="H69:AE69" si="22">H15+SUM(H50:H67)</f>
        <v>834776532.70339584</v>
      </c>
      <c r="I69" s="80">
        <f t="shared" si="22"/>
        <v>874481254.62203681</v>
      </c>
      <c r="J69" s="80">
        <f t="shared" si="22"/>
        <v>718820642.53047872</v>
      </c>
      <c r="K69" s="80">
        <f t="shared" si="22"/>
        <v>0</v>
      </c>
      <c r="L69" s="80">
        <f t="shared" si="22"/>
        <v>0</v>
      </c>
      <c r="M69" s="80">
        <f t="shared" si="22"/>
        <v>0</v>
      </c>
      <c r="N69" s="80">
        <f t="shared" si="22"/>
        <v>465684635.2936042</v>
      </c>
      <c r="O69" s="80">
        <f t="shared" si="22"/>
        <v>0</v>
      </c>
      <c r="P69" s="80">
        <f t="shared" si="22"/>
        <v>0</v>
      </c>
      <c r="Q69" s="80">
        <f t="shared" si="22"/>
        <v>0</v>
      </c>
      <c r="R69" s="80">
        <f t="shared" si="22"/>
        <v>161101605.49619821</v>
      </c>
      <c r="S69" s="80">
        <f t="shared" si="22"/>
        <v>0</v>
      </c>
      <c r="T69" s="80">
        <f t="shared" si="22"/>
        <v>275500316.31922829</v>
      </c>
      <c r="U69" s="80">
        <f t="shared" si="22"/>
        <v>438423397.80823392</v>
      </c>
      <c r="V69" s="80">
        <f t="shared" si="22"/>
        <v>75736072.29061836</v>
      </c>
      <c r="W69" s="80">
        <f t="shared" si="22"/>
        <v>115092781.63131401</v>
      </c>
      <c r="X69" s="80">
        <f t="shared" si="22"/>
        <v>104690101.93262604</v>
      </c>
      <c r="Y69" s="80">
        <f t="shared" si="22"/>
        <v>73215269.23630555</v>
      </c>
      <c r="Z69" s="80">
        <f t="shared" si="22"/>
        <v>36360071.655844547</v>
      </c>
      <c r="AA69" s="80">
        <f t="shared" si="22"/>
        <v>42176667.513765797</v>
      </c>
      <c r="AB69" s="80">
        <f t="shared" si="22"/>
        <v>115567184.76096536</v>
      </c>
      <c r="AC69" s="80">
        <f t="shared" si="22"/>
        <v>0</v>
      </c>
      <c r="AD69" s="80">
        <f t="shared" si="22"/>
        <v>0</v>
      </c>
      <c r="AE69" s="80">
        <f t="shared" si="22"/>
        <v>0</v>
      </c>
      <c r="AF69" s="80">
        <f>SUM(H69:AE69)</f>
        <v>4331626533.7946157</v>
      </c>
      <c r="AG69" s="93" t="str">
        <f>IF(ABS(AF69-F69)&lt;1,"ok","err")</f>
        <v>ok</v>
      </c>
    </row>
    <row r="70" spans="1:33">
      <c r="A70" s="60"/>
      <c r="B70" s="60"/>
      <c r="AG70" s="58"/>
    </row>
    <row r="71" spans="1:33" ht="15">
      <c r="A71" s="59"/>
      <c r="B71" s="60"/>
      <c r="AG71" s="58"/>
    </row>
    <row r="72" spans="1:33" ht="15">
      <c r="A72" s="59" t="s">
        <v>961</v>
      </c>
      <c r="B72" s="60"/>
      <c r="AG72" s="58"/>
    </row>
    <row r="73" spans="1:33" ht="15">
      <c r="A73" s="59"/>
      <c r="B73" s="60"/>
      <c r="AG73" s="58"/>
    </row>
    <row r="74" spans="1:33">
      <c r="A74" s="60"/>
      <c r="B74" s="60" t="s">
        <v>319</v>
      </c>
      <c r="C74" s="44" t="s">
        <v>123</v>
      </c>
      <c r="D74" s="44" t="s">
        <v>638</v>
      </c>
      <c r="F74" s="76">
        <v>67084847.629999995</v>
      </c>
      <c r="H74" s="63">
        <f t="shared" ref="H74:Q77" si="23">IF(VLOOKUP($D74,$C$6:$AE$653,H$2,)=0,0,((VLOOKUP($D74,$C$6:$AE$653,H$2,)/VLOOKUP($D74,$C$6:$AE$653,4,))*$F74))</f>
        <v>23063858.157510284</v>
      </c>
      <c r="I74" s="63">
        <f t="shared" si="23"/>
        <v>24160851.231272571</v>
      </c>
      <c r="J74" s="63">
        <f t="shared" si="23"/>
        <v>19860138.24121714</v>
      </c>
      <c r="K74" s="63">
        <f t="shared" si="23"/>
        <v>0</v>
      </c>
      <c r="L74" s="63">
        <f t="shared" si="23"/>
        <v>0</v>
      </c>
      <c r="M74" s="63">
        <f t="shared" si="23"/>
        <v>0</v>
      </c>
      <c r="N74" s="63">
        <f t="shared" si="23"/>
        <v>0</v>
      </c>
      <c r="O74" s="63">
        <f t="shared" si="23"/>
        <v>0</v>
      </c>
      <c r="P74" s="63">
        <f t="shared" si="23"/>
        <v>0</v>
      </c>
      <c r="Q74" s="63">
        <f t="shared" si="23"/>
        <v>0</v>
      </c>
      <c r="R74" s="63">
        <f t="shared" ref="R74:AE77" si="24">IF(VLOOKUP($D74,$C$6:$AE$653,R$2,)=0,0,((VLOOKUP($D74,$C$6:$AE$653,R$2,)/VLOOKUP($D74,$C$6:$AE$653,4,))*$F74))</f>
        <v>0</v>
      </c>
      <c r="S74" s="63">
        <f t="shared" si="24"/>
        <v>0</v>
      </c>
      <c r="T74" s="63">
        <f t="shared" si="24"/>
        <v>0</v>
      </c>
      <c r="U74" s="63">
        <f t="shared" si="24"/>
        <v>0</v>
      </c>
      <c r="V74" s="63">
        <f t="shared" si="24"/>
        <v>0</v>
      </c>
      <c r="W74" s="63">
        <f t="shared" si="24"/>
        <v>0</v>
      </c>
      <c r="X74" s="63">
        <f t="shared" si="24"/>
        <v>0</v>
      </c>
      <c r="Y74" s="63">
        <f t="shared" si="24"/>
        <v>0</v>
      </c>
      <c r="Z74" s="63">
        <f t="shared" si="24"/>
        <v>0</v>
      </c>
      <c r="AA74" s="63">
        <f t="shared" si="24"/>
        <v>0</v>
      </c>
      <c r="AB74" s="63">
        <f t="shared" si="24"/>
        <v>0</v>
      </c>
      <c r="AC74" s="63">
        <f t="shared" si="24"/>
        <v>0</v>
      </c>
      <c r="AD74" s="63">
        <f t="shared" si="24"/>
        <v>0</v>
      </c>
      <c r="AE74" s="63">
        <f t="shared" si="24"/>
        <v>0</v>
      </c>
      <c r="AF74" s="63">
        <f>SUM(H74:AE74)</f>
        <v>67084847.629999995</v>
      </c>
      <c r="AG74" s="58" t="str">
        <f>IF(ABS(AF74-F74)&lt;1,"ok","err")</f>
        <v>ok</v>
      </c>
    </row>
    <row r="75" spans="1:33">
      <c r="A75" s="60"/>
      <c r="B75" s="60" t="s">
        <v>24</v>
      </c>
      <c r="C75" s="44" t="s">
        <v>124</v>
      </c>
      <c r="D75" s="44" t="s">
        <v>1162</v>
      </c>
      <c r="F75" s="79">
        <v>6861293.7046153834</v>
      </c>
      <c r="H75" s="63">
        <f t="shared" si="23"/>
        <v>0</v>
      </c>
      <c r="I75" s="63">
        <f t="shared" si="23"/>
        <v>0</v>
      </c>
      <c r="J75" s="63">
        <f t="shared" si="23"/>
        <v>0</v>
      </c>
      <c r="K75" s="63">
        <f t="shared" si="23"/>
        <v>0</v>
      </c>
      <c r="L75" s="63">
        <f t="shared" si="23"/>
        <v>0</v>
      </c>
      <c r="M75" s="63">
        <f t="shared" si="23"/>
        <v>0</v>
      </c>
      <c r="N75" s="63">
        <f t="shared" si="23"/>
        <v>6861293.7046153834</v>
      </c>
      <c r="O75" s="63">
        <f t="shared" si="23"/>
        <v>0</v>
      </c>
      <c r="P75" s="63">
        <f t="shared" si="23"/>
        <v>0</v>
      </c>
      <c r="Q75" s="63">
        <f t="shared" si="23"/>
        <v>0</v>
      </c>
      <c r="R75" s="63">
        <f t="shared" si="24"/>
        <v>0</v>
      </c>
      <c r="S75" s="63">
        <f t="shared" si="24"/>
        <v>0</v>
      </c>
      <c r="T75" s="63">
        <f t="shared" si="24"/>
        <v>0</v>
      </c>
      <c r="U75" s="63">
        <f t="shared" si="24"/>
        <v>0</v>
      </c>
      <c r="V75" s="63">
        <f t="shared" si="24"/>
        <v>0</v>
      </c>
      <c r="W75" s="63">
        <f t="shared" si="24"/>
        <v>0</v>
      </c>
      <c r="X75" s="63">
        <f t="shared" si="24"/>
        <v>0</v>
      </c>
      <c r="Y75" s="63">
        <f t="shared" si="24"/>
        <v>0</v>
      </c>
      <c r="Z75" s="63">
        <f t="shared" si="24"/>
        <v>0</v>
      </c>
      <c r="AA75" s="63">
        <f t="shared" si="24"/>
        <v>0</v>
      </c>
      <c r="AB75" s="63">
        <f t="shared" si="24"/>
        <v>0</v>
      </c>
      <c r="AC75" s="63">
        <f t="shared" si="24"/>
        <v>0</v>
      </c>
      <c r="AD75" s="63">
        <f t="shared" si="24"/>
        <v>0</v>
      </c>
      <c r="AE75" s="63">
        <f t="shared" si="24"/>
        <v>0</v>
      </c>
      <c r="AF75" s="63">
        <f>SUM(H75:AE75)</f>
        <v>6861293.7046153834</v>
      </c>
      <c r="AG75" s="58" t="str">
        <f>IF(ABS(AF75-F75)&lt;1,"ok","err")</f>
        <v>ok</v>
      </c>
    </row>
    <row r="76" spans="1:33">
      <c r="A76" s="60"/>
      <c r="B76" s="60" t="s">
        <v>1285</v>
      </c>
      <c r="C76" s="44" t="s">
        <v>125</v>
      </c>
      <c r="D76" s="44" t="s">
        <v>935</v>
      </c>
      <c r="F76" s="79">
        <v>30927920.5776923</v>
      </c>
      <c r="H76" s="63">
        <f t="shared" si="23"/>
        <v>0</v>
      </c>
      <c r="I76" s="63">
        <f t="shared" si="23"/>
        <v>0</v>
      </c>
      <c r="J76" s="63">
        <f t="shared" si="23"/>
        <v>0</v>
      </c>
      <c r="K76" s="63">
        <f t="shared" si="23"/>
        <v>0</v>
      </c>
      <c r="L76" s="63">
        <f t="shared" si="23"/>
        <v>0</v>
      </c>
      <c r="M76" s="63">
        <f t="shared" si="23"/>
        <v>0</v>
      </c>
      <c r="N76" s="63">
        <f t="shared" si="23"/>
        <v>0</v>
      </c>
      <c r="O76" s="63">
        <f t="shared" si="23"/>
        <v>0</v>
      </c>
      <c r="P76" s="63">
        <f t="shared" si="23"/>
        <v>0</v>
      </c>
      <c r="Q76" s="63">
        <f t="shared" si="23"/>
        <v>0</v>
      </c>
      <c r="R76" s="63">
        <f t="shared" si="24"/>
        <v>3465236.9772077077</v>
      </c>
      <c r="S76" s="63">
        <f t="shared" si="24"/>
        <v>0</v>
      </c>
      <c r="T76" s="63">
        <f t="shared" si="24"/>
        <v>5925911.6655068891</v>
      </c>
      <c r="U76" s="63">
        <f t="shared" si="24"/>
        <v>9430327.929252008</v>
      </c>
      <c r="V76" s="63">
        <f t="shared" si="24"/>
        <v>1629055.3865158102</v>
      </c>
      <c r="W76" s="63">
        <f t="shared" si="24"/>
        <v>2475603.8991053565</v>
      </c>
      <c r="X76" s="63">
        <f t="shared" si="24"/>
        <v>2251846.0399399363</v>
      </c>
      <c r="Y76" s="63">
        <f t="shared" si="24"/>
        <v>1574833.8290759688</v>
      </c>
      <c r="Z76" s="63">
        <f t="shared" si="24"/>
        <v>782091.92520261847</v>
      </c>
      <c r="AA76" s="63">
        <f t="shared" si="24"/>
        <v>907204.78789732046</v>
      </c>
      <c r="AB76" s="63">
        <f t="shared" si="24"/>
        <v>2485808.1379886856</v>
      </c>
      <c r="AC76" s="63">
        <f t="shared" si="24"/>
        <v>0</v>
      </c>
      <c r="AD76" s="63">
        <f t="shared" si="24"/>
        <v>0</v>
      </c>
      <c r="AE76" s="63">
        <f t="shared" si="24"/>
        <v>0</v>
      </c>
      <c r="AF76" s="63">
        <f>SUM(H76:AE76)</f>
        <v>30927920.5776923</v>
      </c>
      <c r="AG76" s="58" t="str">
        <f>IF(ABS(AF76-F76)&lt;1,"ok","err")</f>
        <v>ok</v>
      </c>
    </row>
    <row r="77" spans="1:33">
      <c r="A77" s="60"/>
      <c r="B77" s="60" t="s">
        <v>1320</v>
      </c>
      <c r="C77" s="44" t="s">
        <v>126</v>
      </c>
      <c r="D77" s="44" t="s">
        <v>1163</v>
      </c>
      <c r="F77" s="79">
        <f>454671+18212996</f>
        <v>18667667</v>
      </c>
      <c r="H77" s="63">
        <f t="shared" si="23"/>
        <v>3599855.4435847811</v>
      </c>
      <c r="I77" s="63">
        <f t="shared" si="23"/>
        <v>3771076.4275671188</v>
      </c>
      <c r="J77" s="63">
        <f t="shared" si="23"/>
        <v>3099812.1073126411</v>
      </c>
      <c r="K77" s="63">
        <f t="shared" si="23"/>
        <v>0</v>
      </c>
      <c r="L77" s="63">
        <f t="shared" si="23"/>
        <v>0</v>
      </c>
      <c r="M77" s="63">
        <f t="shared" si="23"/>
        <v>0</v>
      </c>
      <c r="N77" s="63">
        <f t="shared" si="23"/>
        <v>2008373.8322510538</v>
      </c>
      <c r="O77" s="63">
        <f t="shared" si="23"/>
        <v>0</v>
      </c>
      <c r="P77" s="63">
        <f t="shared" si="23"/>
        <v>0</v>
      </c>
      <c r="Q77" s="63">
        <f t="shared" si="23"/>
        <v>0</v>
      </c>
      <c r="R77" s="63">
        <f t="shared" si="24"/>
        <v>693379.60927915748</v>
      </c>
      <c r="S77" s="63">
        <f t="shared" si="24"/>
        <v>0</v>
      </c>
      <c r="T77" s="63">
        <f t="shared" si="24"/>
        <v>1185750.452935236</v>
      </c>
      <c r="U77" s="63">
        <f t="shared" si="24"/>
        <v>1886969.6756578116</v>
      </c>
      <c r="V77" s="63">
        <f t="shared" si="24"/>
        <v>325967.25558049284</v>
      </c>
      <c r="W77" s="63">
        <f t="shared" si="24"/>
        <v>495358.11708751175</v>
      </c>
      <c r="X77" s="63">
        <f t="shared" si="24"/>
        <v>450585.09348718089</v>
      </c>
      <c r="Y77" s="63">
        <f t="shared" si="24"/>
        <v>315117.74584726826</v>
      </c>
      <c r="Z77" s="63">
        <f t="shared" si="24"/>
        <v>156493.36454742291</v>
      </c>
      <c r="AA77" s="63">
        <f t="shared" si="24"/>
        <v>181527.93171314479</v>
      </c>
      <c r="AB77" s="63">
        <f t="shared" si="24"/>
        <v>497399.94314917841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3">
        <f>SUM(H77:AE77)</f>
        <v>18667667.000000004</v>
      </c>
      <c r="AG77" s="58" t="str">
        <f>IF(ABS(AF77-F77)&lt;1,"ok","err")</f>
        <v>ok</v>
      </c>
    </row>
    <row r="78" spans="1:33">
      <c r="A78" s="60"/>
      <c r="B78" s="60"/>
      <c r="F78" s="79"/>
      <c r="AF78" s="63"/>
      <c r="AG78" s="58"/>
    </row>
    <row r="79" spans="1:33" ht="15">
      <c r="A79" s="273" t="s">
        <v>962</v>
      </c>
      <c r="B79" s="60"/>
      <c r="C79" s="44" t="s">
        <v>963</v>
      </c>
      <c r="F79" s="76">
        <f>SUM(F74:F77)</f>
        <v>123541728.91230768</v>
      </c>
      <c r="G79" s="62"/>
      <c r="H79" s="62">
        <f t="shared" ref="H79:AE79" si="25">SUM(H74:H77)</f>
        <v>26663713.601095065</v>
      </c>
      <c r="I79" s="62">
        <f t="shared" si="25"/>
        <v>27931927.658839688</v>
      </c>
      <c r="J79" s="62">
        <f t="shared" si="25"/>
        <v>22959950.348529782</v>
      </c>
      <c r="K79" s="62">
        <f t="shared" si="25"/>
        <v>0</v>
      </c>
      <c r="L79" s="62">
        <f t="shared" si="25"/>
        <v>0</v>
      </c>
      <c r="M79" s="62">
        <f t="shared" si="25"/>
        <v>0</v>
      </c>
      <c r="N79" s="62">
        <f t="shared" si="25"/>
        <v>8869667.5368664376</v>
      </c>
      <c r="O79" s="62">
        <f t="shared" si="25"/>
        <v>0</v>
      </c>
      <c r="P79" s="62">
        <f t="shared" si="25"/>
        <v>0</v>
      </c>
      <c r="Q79" s="62">
        <f t="shared" si="25"/>
        <v>0</v>
      </c>
      <c r="R79" s="62">
        <f t="shared" si="25"/>
        <v>4158616.5864868653</v>
      </c>
      <c r="S79" s="62">
        <f t="shared" si="25"/>
        <v>0</v>
      </c>
      <c r="T79" s="62">
        <f t="shared" si="25"/>
        <v>7111662.1184421256</v>
      </c>
      <c r="U79" s="62">
        <f t="shared" si="25"/>
        <v>11317297.604909819</v>
      </c>
      <c r="V79" s="62">
        <f t="shared" si="25"/>
        <v>1955022.6420963029</v>
      </c>
      <c r="W79" s="62">
        <f t="shared" si="25"/>
        <v>2970962.0161928684</v>
      </c>
      <c r="X79" s="62">
        <f t="shared" si="25"/>
        <v>2702431.133427117</v>
      </c>
      <c r="Y79" s="62">
        <f t="shared" si="25"/>
        <v>1889951.5749232371</v>
      </c>
      <c r="Z79" s="62">
        <f t="shared" si="25"/>
        <v>938585.28975004144</v>
      </c>
      <c r="AA79" s="62">
        <f t="shared" si="25"/>
        <v>1088732.7196104652</v>
      </c>
      <c r="AB79" s="62">
        <f t="shared" si="25"/>
        <v>2983208.0811378639</v>
      </c>
      <c r="AC79" s="62">
        <f t="shared" si="25"/>
        <v>0</v>
      </c>
      <c r="AD79" s="62">
        <f t="shared" si="25"/>
        <v>0</v>
      </c>
      <c r="AE79" s="62">
        <f t="shared" si="25"/>
        <v>0</v>
      </c>
      <c r="AF79" s="63">
        <f>SUM(H79:AE79)</f>
        <v>123541728.91230766</v>
      </c>
      <c r="AG79" s="58" t="str">
        <f>IF(ABS(AF79-F79)&lt;1,"ok","err")</f>
        <v>ok</v>
      </c>
    </row>
    <row r="80" spans="1:33" ht="15">
      <c r="A80" s="273"/>
      <c r="B80" s="60"/>
      <c r="F80" s="76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58"/>
    </row>
    <row r="81" spans="1:37" ht="15">
      <c r="A81" s="65" t="s">
        <v>1141</v>
      </c>
      <c r="B81" s="60"/>
      <c r="F81" s="76">
        <f>F69+F79</f>
        <v>4455168262.7069235</v>
      </c>
      <c r="G81" s="62"/>
      <c r="H81" s="62">
        <f t="shared" ref="H81:AE81" si="26">H69+H79</f>
        <v>861440246.30449092</v>
      </c>
      <c r="I81" s="62">
        <f t="shared" si="26"/>
        <v>902413182.28087652</v>
      </c>
      <c r="J81" s="62">
        <f t="shared" si="26"/>
        <v>741780592.87900853</v>
      </c>
      <c r="K81" s="62">
        <f t="shared" si="26"/>
        <v>0</v>
      </c>
      <c r="L81" s="62">
        <f t="shared" si="26"/>
        <v>0</v>
      </c>
      <c r="M81" s="62">
        <f t="shared" si="26"/>
        <v>0</v>
      </c>
      <c r="N81" s="62">
        <f t="shared" si="26"/>
        <v>474554302.83047062</v>
      </c>
      <c r="O81" s="62">
        <f t="shared" si="26"/>
        <v>0</v>
      </c>
      <c r="P81" s="62">
        <f t="shared" si="26"/>
        <v>0</v>
      </c>
      <c r="Q81" s="62">
        <f t="shared" si="26"/>
        <v>0</v>
      </c>
      <c r="R81" s="62">
        <f t="shared" si="26"/>
        <v>165260222.08268508</v>
      </c>
      <c r="S81" s="62">
        <f t="shared" si="26"/>
        <v>0</v>
      </c>
      <c r="T81" s="62">
        <f t="shared" si="26"/>
        <v>282611978.43767041</v>
      </c>
      <c r="U81" s="62">
        <f t="shared" si="26"/>
        <v>449740695.41314375</v>
      </c>
      <c r="V81" s="62">
        <f t="shared" si="26"/>
        <v>77691094.932714656</v>
      </c>
      <c r="W81" s="62">
        <f t="shared" si="26"/>
        <v>118063743.64750688</v>
      </c>
      <c r="X81" s="62">
        <f t="shared" si="26"/>
        <v>107392533.06605315</v>
      </c>
      <c r="Y81" s="62">
        <f t="shared" si="26"/>
        <v>75105220.811228782</v>
      </c>
      <c r="Z81" s="62">
        <f t="shared" si="26"/>
        <v>37298656.945594586</v>
      </c>
      <c r="AA81" s="62">
        <f t="shared" si="26"/>
        <v>43265400.233376265</v>
      </c>
      <c r="AB81" s="62">
        <f t="shared" si="26"/>
        <v>118550392.84210323</v>
      </c>
      <c r="AC81" s="62">
        <f t="shared" si="26"/>
        <v>0</v>
      </c>
      <c r="AD81" s="62">
        <f t="shared" si="26"/>
        <v>0</v>
      </c>
      <c r="AE81" s="62">
        <f t="shared" si="26"/>
        <v>0</v>
      </c>
      <c r="AF81" s="63">
        <f>SUM(H81:AE81)</f>
        <v>4455168262.7069225</v>
      </c>
      <c r="AG81" s="58" t="str">
        <f>IF(ABS(AF81-F81)&lt;1,"ok","err")</f>
        <v>ok</v>
      </c>
    </row>
    <row r="82" spans="1:37" ht="15">
      <c r="A82" s="65"/>
      <c r="B82" s="60"/>
      <c r="F82" s="76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58"/>
    </row>
    <row r="83" spans="1:37" ht="15">
      <c r="A83" s="65"/>
      <c r="B83" s="60"/>
      <c r="F83" s="76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4"/>
      <c r="AA83" s="64">
        <f>R81+T81+U81+V81+W81+X81+Y81+Z81+AA81</f>
        <v>1356429545.5699735</v>
      </c>
      <c r="AB83" s="62"/>
      <c r="AC83" s="62"/>
      <c r="AD83" s="62"/>
      <c r="AE83" s="62"/>
      <c r="AF83" s="63"/>
      <c r="AG83" s="58"/>
    </row>
    <row r="84" spans="1:37" ht="15">
      <c r="A84" s="65"/>
      <c r="B84" s="60"/>
      <c r="F84" s="76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58"/>
    </row>
    <row r="85" spans="1:37" ht="15">
      <c r="A85" s="65"/>
      <c r="B85" s="60"/>
      <c r="F85" s="76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58"/>
    </row>
    <row r="86" spans="1:37" ht="15">
      <c r="A86" s="65"/>
      <c r="B86" s="60"/>
      <c r="F86" s="76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58"/>
    </row>
    <row r="87" spans="1:37" ht="15">
      <c r="A87" s="65"/>
      <c r="B87" s="60"/>
      <c r="F87" s="76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58"/>
    </row>
    <row r="88" spans="1:37" ht="15">
      <c r="A88" s="65"/>
      <c r="B88" s="60"/>
      <c r="F88" s="76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58"/>
    </row>
    <row r="89" spans="1:37" ht="15">
      <c r="A89" s="65"/>
      <c r="B89" s="60"/>
      <c r="F89" s="76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58"/>
    </row>
    <row r="90" spans="1:37" ht="15">
      <c r="A90" s="65"/>
      <c r="B90" s="60"/>
      <c r="F90" s="76"/>
      <c r="G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58"/>
      <c r="AH90" s="62"/>
      <c r="AI90" s="62"/>
      <c r="AJ90" s="62"/>
      <c r="AK90" s="62"/>
    </row>
    <row r="91" spans="1:37">
      <c r="A91" s="60"/>
      <c r="B91" s="60"/>
      <c r="AG91" s="58"/>
      <c r="AH91" s="64"/>
    </row>
    <row r="92" spans="1:37" ht="15">
      <c r="A92" s="59" t="s">
        <v>965</v>
      </c>
      <c r="B92" s="60"/>
      <c r="AG92" s="58"/>
      <c r="AH92" s="64"/>
      <c r="AI92" s="64"/>
    </row>
    <row r="93" spans="1:37">
      <c r="A93" s="60"/>
      <c r="B93" s="60"/>
      <c r="AG93" s="58"/>
      <c r="AI93" s="64"/>
    </row>
    <row r="94" spans="1:37" ht="15">
      <c r="A94" s="59" t="s">
        <v>966</v>
      </c>
      <c r="B94" s="60"/>
      <c r="AG94" s="58"/>
    </row>
    <row r="95" spans="1:37">
      <c r="A95" s="60" t="s">
        <v>934</v>
      </c>
      <c r="B95" s="60"/>
      <c r="F95" s="80">
        <f>F69</f>
        <v>4331626533.7946157</v>
      </c>
      <c r="G95" s="64"/>
      <c r="H95" s="64">
        <f t="shared" ref="H95:M95" si="27">H69</f>
        <v>834776532.70339584</v>
      </c>
      <c r="I95" s="64">
        <f t="shared" si="27"/>
        <v>874481254.62203681</v>
      </c>
      <c r="J95" s="64">
        <f t="shared" si="27"/>
        <v>718820642.53047872</v>
      </c>
      <c r="K95" s="64">
        <f t="shared" si="27"/>
        <v>0</v>
      </c>
      <c r="L95" s="64">
        <f t="shared" si="27"/>
        <v>0</v>
      </c>
      <c r="M95" s="64">
        <f t="shared" si="27"/>
        <v>0</v>
      </c>
      <c r="N95" s="64">
        <f>N69</f>
        <v>465684635.2936042</v>
      </c>
      <c r="O95" s="64">
        <f>O69</f>
        <v>0</v>
      </c>
      <c r="P95" s="64">
        <f>P69</f>
        <v>0</v>
      </c>
      <c r="Q95" s="64">
        <f t="shared" ref="Q95:AB95" si="28">Q69</f>
        <v>0</v>
      </c>
      <c r="R95" s="64">
        <f t="shared" si="28"/>
        <v>161101605.49619821</v>
      </c>
      <c r="S95" s="64">
        <f t="shared" si="28"/>
        <v>0</v>
      </c>
      <c r="T95" s="64">
        <f t="shared" si="28"/>
        <v>275500316.31922829</v>
      </c>
      <c r="U95" s="64">
        <f t="shared" si="28"/>
        <v>438423397.80823392</v>
      </c>
      <c r="V95" s="64">
        <f t="shared" si="28"/>
        <v>75736072.29061836</v>
      </c>
      <c r="W95" s="64">
        <f t="shared" si="28"/>
        <v>115092781.63131401</v>
      </c>
      <c r="X95" s="64">
        <f t="shared" si="28"/>
        <v>104690101.93262604</v>
      </c>
      <c r="Y95" s="64">
        <f t="shared" si="28"/>
        <v>73215269.23630555</v>
      </c>
      <c r="Z95" s="64">
        <f t="shared" si="28"/>
        <v>36360071.655844547</v>
      </c>
      <c r="AA95" s="64">
        <f t="shared" si="28"/>
        <v>42176667.513765797</v>
      </c>
      <c r="AB95" s="64">
        <f t="shared" si="28"/>
        <v>115567184.76096536</v>
      </c>
      <c r="AC95" s="64">
        <f>AC69</f>
        <v>0</v>
      </c>
      <c r="AD95" s="64">
        <f>AD69</f>
        <v>0</v>
      </c>
      <c r="AE95" s="64">
        <f>AE69</f>
        <v>0</v>
      </c>
      <c r="AF95" s="63">
        <f>SUM(H95:AE95)</f>
        <v>4331626533.7946157</v>
      </c>
      <c r="AG95" s="58" t="str">
        <f>IF(ABS(AF95-F95)&lt;1,"ok","err")</f>
        <v>ok</v>
      </c>
    </row>
    <row r="96" spans="1:37">
      <c r="A96" s="60" t="s">
        <v>961</v>
      </c>
      <c r="B96" s="60"/>
      <c r="F96" s="79">
        <f>F79</f>
        <v>123541728.91230768</v>
      </c>
      <c r="G96" s="67"/>
      <c r="H96" s="67">
        <f t="shared" ref="H96:AE96" si="29">H79</f>
        <v>26663713.601095065</v>
      </c>
      <c r="I96" s="67">
        <f t="shared" si="29"/>
        <v>27931927.658839688</v>
      </c>
      <c r="J96" s="67">
        <f t="shared" si="29"/>
        <v>22959950.348529782</v>
      </c>
      <c r="K96" s="67">
        <f>K79</f>
        <v>0</v>
      </c>
      <c r="L96" s="67">
        <f t="shared" si="29"/>
        <v>0</v>
      </c>
      <c r="M96" s="67">
        <f t="shared" si="29"/>
        <v>0</v>
      </c>
      <c r="N96" s="67">
        <f>N79</f>
        <v>8869667.5368664376</v>
      </c>
      <c r="O96" s="67">
        <f>O79</f>
        <v>0</v>
      </c>
      <c r="P96" s="67">
        <f>P79</f>
        <v>0</v>
      </c>
      <c r="Q96" s="67">
        <f t="shared" si="29"/>
        <v>0</v>
      </c>
      <c r="R96" s="67">
        <f>R79</f>
        <v>4158616.5864868653</v>
      </c>
      <c r="S96" s="67">
        <f t="shared" si="29"/>
        <v>0</v>
      </c>
      <c r="T96" s="67">
        <f t="shared" si="29"/>
        <v>7111662.1184421256</v>
      </c>
      <c r="U96" s="67">
        <f>U79</f>
        <v>11317297.604909819</v>
      </c>
      <c r="V96" s="67">
        <f>V79</f>
        <v>1955022.6420963029</v>
      </c>
      <c r="W96" s="67">
        <f>W79</f>
        <v>2970962.0161928684</v>
      </c>
      <c r="X96" s="67">
        <f t="shared" si="29"/>
        <v>2702431.133427117</v>
      </c>
      <c r="Y96" s="67">
        <f t="shared" si="29"/>
        <v>1889951.5749232371</v>
      </c>
      <c r="Z96" s="67">
        <f>Z79</f>
        <v>938585.28975004144</v>
      </c>
      <c r="AA96" s="67">
        <f>AA79</f>
        <v>1088732.7196104652</v>
      </c>
      <c r="AB96" s="67">
        <f t="shared" si="29"/>
        <v>2983208.0811378639</v>
      </c>
      <c r="AC96" s="67">
        <f t="shared" si="29"/>
        <v>0</v>
      </c>
      <c r="AD96" s="67">
        <f t="shared" si="29"/>
        <v>0</v>
      </c>
      <c r="AE96" s="63">
        <f t="shared" si="29"/>
        <v>0</v>
      </c>
      <c r="AF96" s="63">
        <f>SUM(H96:AE96)</f>
        <v>123541728.91230766</v>
      </c>
      <c r="AG96" s="58" t="str">
        <f>IF(ABS(AF96-F96)&lt;1,"ok","err")</f>
        <v>ok</v>
      </c>
    </row>
    <row r="97" spans="1:33">
      <c r="A97" s="60"/>
      <c r="B97" s="60"/>
      <c r="W97" s="44"/>
      <c r="AF97" s="63"/>
      <c r="AG97" s="58"/>
    </row>
    <row r="98" spans="1:33" ht="15">
      <c r="A98" s="273" t="s">
        <v>967</v>
      </c>
      <c r="B98" s="60"/>
      <c r="C98" s="44" t="s">
        <v>968</v>
      </c>
      <c r="F98" s="80">
        <f>F95+F96</f>
        <v>4455168262.7069235</v>
      </c>
      <c r="G98" s="64"/>
      <c r="H98" s="64">
        <f t="shared" ref="H98:AE98" si="30">H95+H96</f>
        <v>861440246.30449092</v>
      </c>
      <c r="I98" s="64">
        <f t="shared" si="30"/>
        <v>902413182.28087652</v>
      </c>
      <c r="J98" s="64">
        <f t="shared" si="30"/>
        <v>741780592.87900853</v>
      </c>
      <c r="K98" s="64">
        <f>K95+K96</f>
        <v>0</v>
      </c>
      <c r="L98" s="64">
        <f t="shared" si="30"/>
        <v>0</v>
      </c>
      <c r="M98" s="64">
        <f t="shared" si="30"/>
        <v>0</v>
      </c>
      <c r="N98" s="64">
        <f t="shared" si="30"/>
        <v>474554302.83047062</v>
      </c>
      <c r="O98" s="64">
        <f>O95+O96</f>
        <v>0</v>
      </c>
      <c r="P98" s="64">
        <f>P95+P96</f>
        <v>0</v>
      </c>
      <c r="Q98" s="64">
        <f t="shared" si="30"/>
        <v>0</v>
      </c>
      <c r="R98" s="64">
        <f>R95+R96</f>
        <v>165260222.08268508</v>
      </c>
      <c r="S98" s="64">
        <f t="shared" si="30"/>
        <v>0</v>
      </c>
      <c r="T98" s="64">
        <f t="shared" si="30"/>
        <v>282611978.43767041</v>
      </c>
      <c r="U98" s="64">
        <f>U95+U96</f>
        <v>449740695.41314375</v>
      </c>
      <c r="V98" s="64">
        <f>V95+V96</f>
        <v>77691094.932714656</v>
      </c>
      <c r="W98" s="64">
        <f>W95+W96</f>
        <v>118063743.64750688</v>
      </c>
      <c r="X98" s="64">
        <f t="shared" si="30"/>
        <v>107392533.06605315</v>
      </c>
      <c r="Y98" s="64">
        <f t="shared" si="30"/>
        <v>75105220.811228782</v>
      </c>
      <c r="Z98" s="64">
        <f>Z95+Z96</f>
        <v>37298656.945594586</v>
      </c>
      <c r="AA98" s="64">
        <f>AA95+AA96</f>
        <v>43265400.233376265</v>
      </c>
      <c r="AB98" s="64">
        <f t="shared" si="30"/>
        <v>118550392.84210323</v>
      </c>
      <c r="AC98" s="64">
        <f t="shared" si="30"/>
        <v>0</v>
      </c>
      <c r="AD98" s="64">
        <f t="shared" si="30"/>
        <v>0</v>
      </c>
      <c r="AE98" s="64">
        <f t="shared" si="30"/>
        <v>0</v>
      </c>
      <c r="AF98" s="63">
        <f>SUM(H98:AE98)</f>
        <v>4455168262.7069225</v>
      </c>
      <c r="AG98" s="58" t="str">
        <f>IF(ABS(AF98-F98)&lt;1,"ok","err")</f>
        <v>ok</v>
      </c>
    </row>
    <row r="99" spans="1:33">
      <c r="A99" s="60"/>
      <c r="B99" s="60"/>
      <c r="W99" s="44"/>
      <c r="AG99" s="58"/>
    </row>
    <row r="100" spans="1:33" ht="15">
      <c r="A100" s="274" t="s">
        <v>756</v>
      </c>
      <c r="B100" s="60"/>
      <c r="W100" s="44"/>
      <c r="AG100" s="58"/>
    </row>
    <row r="101" spans="1:33">
      <c r="A101" s="68" t="s">
        <v>622</v>
      </c>
      <c r="B101" s="60"/>
      <c r="C101" s="44" t="s">
        <v>2</v>
      </c>
      <c r="D101" s="44" t="s">
        <v>638</v>
      </c>
      <c r="F101" s="76">
        <f>777567688+13089605+113284845</f>
        <v>903942138</v>
      </c>
      <c r="H101" s="63">
        <f t="shared" ref="H101:Q105" si="31">IF(VLOOKUP($D101,$C$6:$AE$653,H$2,)=0,0,((VLOOKUP($D101,$C$6:$AE$653,H$2,)/VLOOKUP($D101,$C$6:$AE$653,4,))*$F101))</f>
        <v>310776486.64294338</v>
      </c>
      <c r="I101" s="63">
        <f t="shared" si="31"/>
        <v>325558040.14571124</v>
      </c>
      <c r="J101" s="63">
        <f t="shared" si="31"/>
        <v>267607611.21134531</v>
      </c>
      <c r="K101" s="63">
        <f t="shared" si="31"/>
        <v>0</v>
      </c>
      <c r="L101" s="63">
        <f t="shared" si="31"/>
        <v>0</v>
      </c>
      <c r="M101" s="63">
        <f t="shared" si="31"/>
        <v>0</v>
      </c>
      <c r="N101" s="63">
        <f t="shared" si="31"/>
        <v>0</v>
      </c>
      <c r="O101" s="63">
        <f t="shared" si="31"/>
        <v>0</v>
      </c>
      <c r="P101" s="63">
        <f t="shared" si="31"/>
        <v>0</v>
      </c>
      <c r="Q101" s="63">
        <f t="shared" si="31"/>
        <v>0</v>
      </c>
      <c r="R101" s="63">
        <f t="shared" ref="R101:AE105" si="32">IF(VLOOKUP($D101,$C$6:$AE$653,R$2,)=0,0,((VLOOKUP($D101,$C$6:$AE$653,R$2,)/VLOOKUP($D101,$C$6:$AE$653,4,))*$F101))</f>
        <v>0</v>
      </c>
      <c r="S101" s="63">
        <f t="shared" si="32"/>
        <v>0</v>
      </c>
      <c r="T101" s="63">
        <f t="shared" si="32"/>
        <v>0</v>
      </c>
      <c r="U101" s="63">
        <f t="shared" si="32"/>
        <v>0</v>
      </c>
      <c r="V101" s="63">
        <f t="shared" si="32"/>
        <v>0</v>
      </c>
      <c r="W101" s="63">
        <f t="shared" si="32"/>
        <v>0</v>
      </c>
      <c r="X101" s="63">
        <f t="shared" si="32"/>
        <v>0</v>
      </c>
      <c r="Y101" s="63">
        <f t="shared" si="32"/>
        <v>0</v>
      </c>
      <c r="Z101" s="63">
        <f t="shared" si="32"/>
        <v>0</v>
      </c>
      <c r="AA101" s="63">
        <f t="shared" si="32"/>
        <v>0</v>
      </c>
      <c r="AB101" s="63">
        <f t="shared" si="32"/>
        <v>0</v>
      </c>
      <c r="AC101" s="63">
        <f t="shared" si="32"/>
        <v>0</v>
      </c>
      <c r="AD101" s="63">
        <f t="shared" si="32"/>
        <v>0</v>
      </c>
      <c r="AE101" s="63">
        <f t="shared" si="32"/>
        <v>0</v>
      </c>
      <c r="AF101" s="63">
        <f>SUM(H101:AE101)</f>
        <v>903942137.99999988</v>
      </c>
      <c r="AG101" s="58" t="str">
        <f>IF(ABS(AF101-F101)&lt;1,"ok","err")</f>
        <v>ok</v>
      </c>
    </row>
    <row r="102" spans="1:33">
      <c r="A102" s="60" t="s">
        <v>618</v>
      </c>
      <c r="B102" s="60"/>
      <c r="C102" s="44" t="s">
        <v>3</v>
      </c>
      <c r="D102" s="44" t="s">
        <v>1161</v>
      </c>
      <c r="F102" s="79">
        <f>159969049</f>
        <v>159969049</v>
      </c>
      <c r="H102" s="63">
        <f t="shared" si="31"/>
        <v>0</v>
      </c>
      <c r="I102" s="63">
        <f t="shared" si="31"/>
        <v>0</v>
      </c>
      <c r="J102" s="63">
        <f t="shared" si="31"/>
        <v>0</v>
      </c>
      <c r="K102" s="63">
        <f t="shared" si="31"/>
        <v>0</v>
      </c>
      <c r="L102" s="63">
        <f t="shared" si="31"/>
        <v>0</v>
      </c>
      <c r="M102" s="63">
        <f t="shared" si="31"/>
        <v>0</v>
      </c>
      <c r="N102" s="63">
        <f t="shared" si="31"/>
        <v>159969049</v>
      </c>
      <c r="O102" s="63">
        <f t="shared" si="31"/>
        <v>0</v>
      </c>
      <c r="P102" s="63">
        <f t="shared" si="31"/>
        <v>0</v>
      </c>
      <c r="Q102" s="63">
        <f t="shared" si="31"/>
        <v>0</v>
      </c>
      <c r="R102" s="63">
        <f t="shared" si="32"/>
        <v>0</v>
      </c>
      <c r="S102" s="63">
        <f t="shared" si="32"/>
        <v>0</v>
      </c>
      <c r="T102" s="63">
        <f t="shared" si="32"/>
        <v>0</v>
      </c>
      <c r="U102" s="63">
        <f t="shared" si="32"/>
        <v>0</v>
      </c>
      <c r="V102" s="63">
        <f t="shared" si="32"/>
        <v>0</v>
      </c>
      <c r="W102" s="63">
        <f t="shared" si="32"/>
        <v>0</v>
      </c>
      <c r="X102" s="63">
        <f t="shared" si="32"/>
        <v>0</v>
      </c>
      <c r="Y102" s="63">
        <f t="shared" si="32"/>
        <v>0</v>
      </c>
      <c r="Z102" s="63">
        <f t="shared" si="32"/>
        <v>0</v>
      </c>
      <c r="AA102" s="63">
        <f t="shared" si="32"/>
        <v>0</v>
      </c>
      <c r="AB102" s="63">
        <f t="shared" si="32"/>
        <v>0</v>
      </c>
      <c r="AC102" s="63">
        <f t="shared" si="32"/>
        <v>0</v>
      </c>
      <c r="AD102" s="63">
        <f t="shared" si="32"/>
        <v>0</v>
      </c>
      <c r="AE102" s="63">
        <f t="shared" si="32"/>
        <v>0</v>
      </c>
      <c r="AF102" s="63">
        <f>SUM(H102:AE102)</f>
        <v>159969049</v>
      </c>
      <c r="AG102" s="58" t="str">
        <f>IF(ABS(AF102-F102)&lt;1,"ok","err")</f>
        <v>ok</v>
      </c>
    </row>
    <row r="103" spans="1:33">
      <c r="A103" s="60" t="s">
        <v>318</v>
      </c>
      <c r="B103" s="60"/>
      <c r="C103" s="44" t="s">
        <v>25</v>
      </c>
      <c r="D103" s="44" t="s">
        <v>935</v>
      </c>
      <c r="F103" s="79">
        <f>508037556</f>
        <v>508037556</v>
      </c>
      <c r="H103" s="63">
        <f t="shared" si="31"/>
        <v>0</v>
      </c>
      <c r="I103" s="63">
        <f t="shared" si="31"/>
        <v>0</v>
      </c>
      <c r="J103" s="63">
        <f t="shared" si="31"/>
        <v>0</v>
      </c>
      <c r="K103" s="63">
        <f t="shared" si="31"/>
        <v>0</v>
      </c>
      <c r="L103" s="63">
        <f t="shared" si="31"/>
        <v>0</v>
      </c>
      <c r="M103" s="63">
        <f t="shared" si="31"/>
        <v>0</v>
      </c>
      <c r="N103" s="63">
        <f t="shared" si="31"/>
        <v>0</v>
      </c>
      <c r="O103" s="63">
        <f t="shared" si="31"/>
        <v>0</v>
      </c>
      <c r="P103" s="63">
        <f t="shared" si="31"/>
        <v>0</v>
      </c>
      <c r="Q103" s="63">
        <f t="shared" si="31"/>
        <v>0</v>
      </c>
      <c r="R103" s="63">
        <f t="shared" si="32"/>
        <v>56921722.895629279</v>
      </c>
      <c r="S103" s="63">
        <f t="shared" si="32"/>
        <v>0</v>
      </c>
      <c r="T103" s="63">
        <f t="shared" si="32"/>
        <v>97342001.123330802</v>
      </c>
      <c r="U103" s="63">
        <f t="shared" si="32"/>
        <v>154907302.65620756</v>
      </c>
      <c r="V103" s="63">
        <f t="shared" si="32"/>
        <v>26759681.921553902</v>
      </c>
      <c r="W103" s="63">
        <f t="shared" si="32"/>
        <v>40665512.942137793</v>
      </c>
      <c r="X103" s="63">
        <f t="shared" si="32"/>
        <v>36989953.9720276</v>
      </c>
      <c r="Y103" s="63">
        <f t="shared" si="32"/>
        <v>25869011.387948114</v>
      </c>
      <c r="Z103" s="63">
        <f t="shared" si="32"/>
        <v>12847034.744840262</v>
      </c>
      <c r="AA103" s="63">
        <f t="shared" si="32"/>
        <v>14902201.461526221</v>
      </c>
      <c r="AB103" s="63">
        <f t="shared" si="32"/>
        <v>40833132.894798487</v>
      </c>
      <c r="AC103" s="63">
        <f t="shared" si="32"/>
        <v>0</v>
      </c>
      <c r="AD103" s="63">
        <f t="shared" si="32"/>
        <v>0</v>
      </c>
      <c r="AE103" s="63">
        <f t="shared" si="32"/>
        <v>0</v>
      </c>
      <c r="AF103" s="63">
        <f>SUM(H103:AE103)</f>
        <v>508037556</v>
      </c>
      <c r="AG103" s="58" t="str">
        <f>IF(ABS(AF103-F103)&lt;1,"ok","err")</f>
        <v>ok</v>
      </c>
    </row>
    <row r="104" spans="1:33">
      <c r="A104" s="68" t="s">
        <v>619</v>
      </c>
      <c r="B104" s="60"/>
      <c r="C104" s="44" t="s">
        <v>26</v>
      </c>
      <c r="D104" s="44" t="s">
        <v>1163</v>
      </c>
      <c r="F104" s="79">
        <f>7268272+104835731-40982991</f>
        <v>71121012</v>
      </c>
      <c r="H104" s="63">
        <f t="shared" si="31"/>
        <v>13714909.431449499</v>
      </c>
      <c r="I104" s="63">
        <f t="shared" si="31"/>
        <v>14367235.70534648</v>
      </c>
      <c r="J104" s="63">
        <f t="shared" si="31"/>
        <v>11809819.303179538</v>
      </c>
      <c r="K104" s="63">
        <f t="shared" si="31"/>
        <v>0</v>
      </c>
      <c r="L104" s="63">
        <f t="shared" si="31"/>
        <v>0</v>
      </c>
      <c r="M104" s="63">
        <f t="shared" si="31"/>
        <v>0</v>
      </c>
      <c r="N104" s="63">
        <f t="shared" si="31"/>
        <v>7651603.1394824637</v>
      </c>
      <c r="O104" s="63">
        <f t="shared" si="31"/>
        <v>0</v>
      </c>
      <c r="P104" s="63">
        <f t="shared" si="31"/>
        <v>0</v>
      </c>
      <c r="Q104" s="63">
        <f t="shared" si="31"/>
        <v>0</v>
      </c>
      <c r="R104" s="63">
        <f t="shared" si="32"/>
        <v>2641672.3371001999</v>
      </c>
      <c r="S104" s="63">
        <f t="shared" si="32"/>
        <v>0</v>
      </c>
      <c r="T104" s="63">
        <f t="shared" si="32"/>
        <v>4517531.4190151542</v>
      </c>
      <c r="U104" s="63">
        <f t="shared" si="32"/>
        <v>7189071.5077623418</v>
      </c>
      <c r="V104" s="63">
        <f t="shared" si="32"/>
        <v>1241886.3640404181</v>
      </c>
      <c r="W104" s="63">
        <f t="shared" si="32"/>
        <v>1887240.145738529</v>
      </c>
      <c r="X104" s="63">
        <f t="shared" si="32"/>
        <v>1716661.6396640732</v>
      </c>
      <c r="Y104" s="63">
        <f t="shared" si="32"/>
        <v>1200551.3588718139</v>
      </c>
      <c r="Z104" s="63">
        <f t="shared" si="32"/>
        <v>596216.25229856733</v>
      </c>
      <c r="AA104" s="63">
        <f t="shared" si="32"/>
        <v>691594.19919509767</v>
      </c>
      <c r="AB104" s="63">
        <f t="shared" si="32"/>
        <v>1895019.1968558277</v>
      </c>
      <c r="AC104" s="63">
        <f t="shared" si="32"/>
        <v>0</v>
      </c>
      <c r="AD104" s="63">
        <f t="shared" si="32"/>
        <v>0</v>
      </c>
      <c r="AE104" s="63">
        <f t="shared" si="32"/>
        <v>0</v>
      </c>
      <c r="AF104" s="63">
        <f>SUM(H104:AE104)</f>
        <v>71121012</v>
      </c>
      <c r="AG104" s="58" t="str">
        <f>IF(ABS(AF104-F104)&lt;1,"ok","err")</f>
        <v>ok</v>
      </c>
    </row>
    <row r="105" spans="1:33">
      <c r="A105" s="68" t="s">
        <v>317</v>
      </c>
      <c r="B105" s="60"/>
      <c r="C105" s="44" t="s">
        <v>969</v>
      </c>
      <c r="D105" s="44" t="s">
        <v>1163</v>
      </c>
      <c r="F105" s="79">
        <v>40982991</v>
      </c>
      <c r="H105" s="63">
        <f t="shared" si="31"/>
        <v>7903121.6512345169</v>
      </c>
      <c r="I105" s="63">
        <f t="shared" si="31"/>
        <v>8279020.1524001574</v>
      </c>
      <c r="J105" s="63">
        <f t="shared" si="31"/>
        <v>6805326.6482461365</v>
      </c>
      <c r="K105" s="63">
        <f t="shared" si="31"/>
        <v>0</v>
      </c>
      <c r="L105" s="63">
        <f t="shared" si="31"/>
        <v>0</v>
      </c>
      <c r="M105" s="63">
        <f t="shared" si="31"/>
        <v>0</v>
      </c>
      <c r="N105" s="63">
        <f t="shared" si="31"/>
        <v>4409183.3592157206</v>
      </c>
      <c r="O105" s="63">
        <f t="shared" si="31"/>
        <v>0</v>
      </c>
      <c r="P105" s="63">
        <f t="shared" si="31"/>
        <v>0</v>
      </c>
      <c r="Q105" s="63">
        <f t="shared" si="31"/>
        <v>0</v>
      </c>
      <c r="R105" s="63">
        <f t="shared" si="32"/>
        <v>1522245.4035992408</v>
      </c>
      <c r="S105" s="63">
        <f t="shared" si="32"/>
        <v>0</v>
      </c>
      <c r="T105" s="63">
        <f t="shared" si="32"/>
        <v>2603196.2184075122</v>
      </c>
      <c r="U105" s="63">
        <f t="shared" si="32"/>
        <v>4142652.7072052984</v>
      </c>
      <c r="V105" s="63">
        <f t="shared" si="32"/>
        <v>715628.4232919967</v>
      </c>
      <c r="W105" s="63">
        <f t="shared" si="32"/>
        <v>1087509.0740784288</v>
      </c>
      <c r="X105" s="63">
        <f t="shared" si="32"/>
        <v>989214.39037450647</v>
      </c>
      <c r="Y105" s="63">
        <f t="shared" si="32"/>
        <v>691809.41260623967</v>
      </c>
      <c r="Z105" s="63">
        <f t="shared" si="32"/>
        <v>343565.48950689723</v>
      </c>
      <c r="AA105" s="63">
        <f t="shared" si="32"/>
        <v>398526.37138044235</v>
      </c>
      <c r="AB105" s="63">
        <f t="shared" si="32"/>
        <v>1091991.6984529074</v>
      </c>
      <c r="AC105" s="63">
        <f t="shared" si="32"/>
        <v>0</v>
      </c>
      <c r="AD105" s="63">
        <f t="shared" si="32"/>
        <v>0</v>
      </c>
      <c r="AE105" s="63">
        <f t="shared" si="32"/>
        <v>0</v>
      </c>
      <c r="AF105" s="63">
        <f>SUM(H105:AE105)</f>
        <v>40982990.999999993</v>
      </c>
      <c r="AG105" s="58" t="str">
        <f>IF(ABS(AF105-F105)&lt;1,"ok","err")</f>
        <v>ok</v>
      </c>
    </row>
    <row r="106" spans="1:33">
      <c r="A106" s="60"/>
      <c r="B106" s="60"/>
      <c r="W106" s="44"/>
      <c r="AF106" s="63"/>
      <c r="AG106" s="58"/>
    </row>
    <row r="107" spans="1:33">
      <c r="A107" s="60" t="s">
        <v>970</v>
      </c>
      <c r="B107" s="60"/>
      <c r="C107" s="44" t="s">
        <v>971</v>
      </c>
      <c r="F107" s="80">
        <f>SUM(F101:F105)</f>
        <v>1684052746</v>
      </c>
      <c r="G107" s="64"/>
      <c r="H107" s="64">
        <f t="shared" ref="H107:M107" si="33">SUM(H101:H105)</f>
        <v>332394517.72562736</v>
      </c>
      <c r="I107" s="64">
        <f t="shared" si="33"/>
        <v>348204296.00345784</v>
      </c>
      <c r="J107" s="64">
        <f t="shared" si="33"/>
        <v>286222757.16277099</v>
      </c>
      <c r="K107" s="64">
        <f t="shared" si="33"/>
        <v>0</v>
      </c>
      <c r="L107" s="64">
        <f t="shared" si="33"/>
        <v>0</v>
      </c>
      <c r="M107" s="64">
        <f t="shared" si="33"/>
        <v>0</v>
      </c>
      <c r="N107" s="64">
        <f>SUM(N101:N105)</f>
        <v>172029835.49869817</v>
      </c>
      <c r="O107" s="64">
        <f>SUM(O101:O105)</f>
        <v>0</v>
      </c>
      <c r="P107" s="64">
        <f>SUM(P101:P105)</f>
        <v>0</v>
      </c>
      <c r="Q107" s="64">
        <f t="shared" ref="Q107:AB107" si="34">SUM(Q101:Q105)</f>
        <v>0</v>
      </c>
      <c r="R107" s="64">
        <f t="shared" si="34"/>
        <v>61085640.63632872</v>
      </c>
      <c r="S107" s="64">
        <f t="shared" si="34"/>
        <v>0</v>
      </c>
      <c r="T107" s="64">
        <f t="shared" si="34"/>
        <v>104462728.76075347</v>
      </c>
      <c r="U107" s="64">
        <f t="shared" si="34"/>
        <v>166239026.8711752</v>
      </c>
      <c r="V107" s="64">
        <f t="shared" si="34"/>
        <v>28717196.708886318</v>
      </c>
      <c r="W107" s="64">
        <f t="shared" si="34"/>
        <v>43640262.161954746</v>
      </c>
      <c r="X107" s="64">
        <f t="shared" si="34"/>
        <v>39695830.00206618</v>
      </c>
      <c r="Y107" s="64">
        <f t="shared" si="34"/>
        <v>27761372.159426168</v>
      </c>
      <c r="Z107" s="64">
        <f t="shared" si="34"/>
        <v>13786816.486645726</v>
      </c>
      <c r="AA107" s="64">
        <f t="shared" si="34"/>
        <v>15992322.032101762</v>
      </c>
      <c r="AB107" s="64">
        <f t="shared" si="34"/>
        <v>43820143.79010722</v>
      </c>
      <c r="AC107" s="64">
        <f>SUM(AC101:AC105)</f>
        <v>0</v>
      </c>
      <c r="AD107" s="64">
        <f>SUM(AD101:AD105)</f>
        <v>0</v>
      </c>
      <c r="AE107" s="64">
        <f>SUM(AE101:AE105)</f>
        <v>0</v>
      </c>
      <c r="AF107" s="63">
        <f>SUM(H107:AE107)</f>
        <v>1684052746</v>
      </c>
      <c r="AG107" s="58" t="str">
        <f>IF(ABS(AF107-F107)&lt;1,"ok","err")</f>
        <v>ok</v>
      </c>
    </row>
    <row r="108" spans="1:33">
      <c r="A108" s="60"/>
      <c r="B108" s="60"/>
      <c r="F108" s="8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3"/>
      <c r="AG108" s="58"/>
    </row>
    <row r="109" spans="1:33" ht="15">
      <c r="A109" s="59" t="s">
        <v>972</v>
      </c>
      <c r="B109" s="60"/>
      <c r="C109" s="44" t="s">
        <v>973</v>
      </c>
      <c r="F109" s="80">
        <f>F98-F107</f>
        <v>2771115516.7069235</v>
      </c>
      <c r="G109" s="64"/>
      <c r="H109" s="64">
        <f t="shared" ref="H109:M109" si="35">H98-H107</f>
        <v>529045728.57886356</v>
      </c>
      <c r="I109" s="64">
        <f t="shared" si="35"/>
        <v>554208886.27741861</v>
      </c>
      <c r="J109" s="64">
        <f t="shared" si="35"/>
        <v>455557835.71623755</v>
      </c>
      <c r="K109" s="64">
        <f t="shared" si="35"/>
        <v>0</v>
      </c>
      <c r="L109" s="64">
        <f t="shared" si="35"/>
        <v>0</v>
      </c>
      <c r="M109" s="64">
        <f t="shared" si="35"/>
        <v>0</v>
      </c>
      <c r="N109" s="64">
        <f>N98-N107</f>
        <v>302524467.33177245</v>
      </c>
      <c r="O109" s="64">
        <f>O98-O107</f>
        <v>0</v>
      </c>
      <c r="P109" s="64">
        <f>P98-P107</f>
        <v>0</v>
      </c>
      <c r="Q109" s="64">
        <f t="shared" ref="Q109:AB109" si="36">Q98-Q107</f>
        <v>0</v>
      </c>
      <c r="R109" s="64">
        <f t="shared" si="36"/>
        <v>104174581.44635636</v>
      </c>
      <c r="S109" s="64">
        <f t="shared" si="36"/>
        <v>0</v>
      </c>
      <c r="T109" s="64">
        <f t="shared" si="36"/>
        <v>178149249.67691696</v>
      </c>
      <c r="U109" s="64">
        <f t="shared" si="36"/>
        <v>283501668.54196858</v>
      </c>
      <c r="V109" s="64">
        <f t="shared" si="36"/>
        <v>48973898.223828338</v>
      </c>
      <c r="W109" s="64">
        <f t="shared" si="36"/>
        <v>74423481.485552132</v>
      </c>
      <c r="X109" s="64">
        <f t="shared" si="36"/>
        <v>67696703.063986972</v>
      </c>
      <c r="Y109" s="64">
        <f t="shared" si="36"/>
        <v>47343848.651802614</v>
      </c>
      <c r="Z109" s="64">
        <f t="shared" si="36"/>
        <v>23511840.458948858</v>
      </c>
      <c r="AA109" s="64">
        <f t="shared" si="36"/>
        <v>27273078.201274503</v>
      </c>
      <c r="AB109" s="64">
        <f t="shared" si="36"/>
        <v>74730249.051996008</v>
      </c>
      <c r="AC109" s="64">
        <f>AC98-AC107</f>
        <v>0</v>
      </c>
      <c r="AD109" s="64">
        <f>AD98-AD107</f>
        <v>0</v>
      </c>
      <c r="AE109" s="64">
        <f>AE98-AE107</f>
        <v>0</v>
      </c>
      <c r="AF109" s="63">
        <f>SUM(H109:AE109)</f>
        <v>2771115516.706924</v>
      </c>
      <c r="AG109" s="58" t="str">
        <f>IF(ABS(AF109-F109)&lt;1,"ok","err")</f>
        <v>ok</v>
      </c>
    </row>
    <row r="110" spans="1:33">
      <c r="A110" s="60"/>
      <c r="B110" s="60"/>
      <c r="W110" s="44"/>
      <c r="AG110" s="58"/>
    </row>
    <row r="111" spans="1:33" ht="15">
      <c r="A111" s="59" t="s">
        <v>974</v>
      </c>
      <c r="B111" s="60"/>
      <c r="W111" s="44"/>
      <c r="AG111" s="58"/>
    </row>
    <row r="112" spans="1:33">
      <c r="A112" s="60" t="s">
        <v>20</v>
      </c>
      <c r="B112" s="60"/>
      <c r="C112" s="44" t="s">
        <v>976</v>
      </c>
      <c r="D112" s="44" t="s">
        <v>977</v>
      </c>
      <c r="F112" s="76">
        <f>75842724</f>
        <v>75842724</v>
      </c>
      <c r="G112" s="62"/>
      <c r="H112" s="63">
        <f t="shared" ref="H112:Q115" si="37">IF(VLOOKUP($D112,$C$6:$AE$653,H$2,)=0,0,((VLOOKUP($D112,$C$6:$AE$653,H$2,)/VLOOKUP($D112,$C$6:$AE$653,4,))*$F112))</f>
        <v>3319543.3812469579</v>
      </c>
      <c r="I112" s="63">
        <f t="shared" si="37"/>
        <v>3477431.800106124</v>
      </c>
      <c r="J112" s="63">
        <f t="shared" si="37"/>
        <v>2858437.2137154462</v>
      </c>
      <c r="K112" s="63">
        <f t="shared" si="37"/>
        <v>51365920.441896409</v>
      </c>
      <c r="L112" s="63">
        <f t="shared" si="37"/>
        <v>0</v>
      </c>
      <c r="M112" s="63">
        <f t="shared" si="37"/>
        <v>0</v>
      </c>
      <c r="N112" s="63">
        <f t="shared" si="37"/>
        <v>2659627.6889876402</v>
      </c>
      <c r="O112" s="63">
        <f t="shared" si="37"/>
        <v>0</v>
      </c>
      <c r="P112" s="63">
        <f t="shared" si="37"/>
        <v>0</v>
      </c>
      <c r="Q112" s="63">
        <f t="shared" si="37"/>
        <v>0</v>
      </c>
      <c r="R112" s="63">
        <f t="shared" ref="R112:AE115" si="38">IF(VLOOKUP($D112,$C$6:$AE$653,R$2,)=0,0,((VLOOKUP($D112,$C$6:$AE$653,R$2,)/VLOOKUP($D112,$C$6:$AE$653,4,))*$F112))</f>
        <v>983238.30247743637</v>
      </c>
      <c r="S112" s="63">
        <f t="shared" si="38"/>
        <v>0</v>
      </c>
      <c r="T112" s="63">
        <f t="shared" si="38"/>
        <v>1708533.9132855448</v>
      </c>
      <c r="U112" s="63">
        <f t="shared" si="38"/>
        <v>2557455.5875878618</v>
      </c>
      <c r="V112" s="63">
        <f t="shared" si="38"/>
        <v>574566.50648511702</v>
      </c>
      <c r="W112" s="63">
        <f t="shared" si="38"/>
        <v>844068.90746601147</v>
      </c>
      <c r="X112" s="63">
        <f t="shared" si="38"/>
        <v>134471.55823711117</v>
      </c>
      <c r="Y112" s="63">
        <f t="shared" si="38"/>
        <v>94043.000811019258</v>
      </c>
      <c r="Z112" s="63">
        <f t="shared" si="38"/>
        <v>35516.05639410195</v>
      </c>
      <c r="AA112" s="63">
        <f t="shared" si="38"/>
        <v>2061649.1348741495</v>
      </c>
      <c r="AB112" s="63">
        <f t="shared" si="38"/>
        <v>156821.33138610164</v>
      </c>
      <c r="AC112" s="63">
        <f t="shared" si="38"/>
        <v>2471535.7794325519</v>
      </c>
      <c r="AD112" s="63">
        <f t="shared" si="38"/>
        <v>539863.39561039058</v>
      </c>
      <c r="AE112" s="63">
        <f t="shared" si="38"/>
        <v>0</v>
      </c>
      <c r="AF112" s="63">
        <f>SUM(H112:AE112)</f>
        <v>75842723.99999997</v>
      </c>
      <c r="AG112" s="58" t="str">
        <f>IF(ABS(AF112-F112)&lt;1,"ok","err")</f>
        <v>ok</v>
      </c>
    </row>
    <row r="113" spans="1:33">
      <c r="A113" s="60" t="s">
        <v>964</v>
      </c>
      <c r="B113" s="60"/>
      <c r="C113" s="44" t="s">
        <v>4</v>
      </c>
      <c r="D113" s="44" t="s">
        <v>960</v>
      </c>
      <c r="F113" s="79">
        <v>36896266</v>
      </c>
      <c r="G113" s="63"/>
      <c r="H113" s="63">
        <f t="shared" si="37"/>
        <v>7110524.5941414256</v>
      </c>
      <c r="I113" s="63">
        <f t="shared" si="37"/>
        <v>7448724.568201256</v>
      </c>
      <c r="J113" s="63">
        <f t="shared" si="37"/>
        <v>6122826.4778084829</v>
      </c>
      <c r="K113" s="63">
        <f t="shared" si="37"/>
        <v>0</v>
      </c>
      <c r="L113" s="63">
        <f t="shared" si="37"/>
        <v>0</v>
      </c>
      <c r="M113" s="63">
        <f t="shared" si="37"/>
        <v>0</v>
      </c>
      <c r="N113" s="63">
        <f t="shared" si="37"/>
        <v>3966644.8715868206</v>
      </c>
      <c r="O113" s="63">
        <f t="shared" si="37"/>
        <v>0</v>
      </c>
      <c r="P113" s="63">
        <f t="shared" si="37"/>
        <v>0</v>
      </c>
      <c r="Q113" s="63">
        <f t="shared" si="37"/>
        <v>0</v>
      </c>
      <c r="R113" s="63">
        <f t="shared" si="38"/>
        <v>1372243.8079645922</v>
      </c>
      <c r="S113" s="63">
        <f t="shared" si="38"/>
        <v>0</v>
      </c>
      <c r="T113" s="63">
        <f t="shared" si="38"/>
        <v>2346678.0606992096</v>
      </c>
      <c r="U113" s="63">
        <f t="shared" si="38"/>
        <v>3734436.978800585</v>
      </c>
      <c r="V113" s="63">
        <f t="shared" si="38"/>
        <v>645110.61773876823</v>
      </c>
      <c r="W113" s="63">
        <f t="shared" si="38"/>
        <v>980346.2631458299</v>
      </c>
      <c r="X113" s="63">
        <f t="shared" si="38"/>
        <v>891737.50745530752</v>
      </c>
      <c r="Y113" s="63">
        <f t="shared" si="38"/>
        <v>623638.72506752727</v>
      </c>
      <c r="Z113" s="63">
        <f t="shared" si="38"/>
        <v>309710.65144387411</v>
      </c>
      <c r="AA113" s="63">
        <f t="shared" si="38"/>
        <v>359255.70485833741</v>
      </c>
      <c r="AB113" s="63">
        <f t="shared" si="38"/>
        <v>984387.17108798225</v>
      </c>
      <c r="AC113" s="63">
        <f t="shared" si="38"/>
        <v>0</v>
      </c>
      <c r="AD113" s="63">
        <f t="shared" si="38"/>
        <v>0</v>
      </c>
      <c r="AE113" s="63">
        <f t="shared" si="38"/>
        <v>0</v>
      </c>
      <c r="AF113" s="63">
        <f>SUM(H113:AE113)</f>
        <v>36896266</v>
      </c>
      <c r="AG113" s="58" t="str">
        <f>IF(ABS(AF113-F113)&lt;1,"ok","err")</f>
        <v>ok</v>
      </c>
    </row>
    <row r="114" spans="1:33">
      <c r="A114" s="60" t="s">
        <v>978</v>
      </c>
      <c r="B114" s="60"/>
      <c r="C114" s="44" t="s">
        <v>979</v>
      </c>
      <c r="D114" s="44" t="s">
        <v>960</v>
      </c>
      <c r="F114" s="79">
        <v>13972166</v>
      </c>
      <c r="H114" s="63">
        <f t="shared" si="37"/>
        <v>2692668.9539918927</v>
      </c>
      <c r="I114" s="63">
        <f t="shared" si="37"/>
        <v>2820741.1599641619</v>
      </c>
      <c r="J114" s="63">
        <f t="shared" si="37"/>
        <v>2318639.7218931434</v>
      </c>
      <c r="K114" s="63">
        <f t="shared" si="37"/>
        <v>0</v>
      </c>
      <c r="L114" s="63">
        <f t="shared" si="37"/>
        <v>0</v>
      </c>
      <c r="M114" s="63">
        <f t="shared" si="37"/>
        <v>0</v>
      </c>
      <c r="N114" s="63">
        <f t="shared" si="37"/>
        <v>1502120.0413304626</v>
      </c>
      <c r="O114" s="63">
        <f t="shared" si="37"/>
        <v>0</v>
      </c>
      <c r="P114" s="63">
        <f t="shared" si="37"/>
        <v>0</v>
      </c>
      <c r="Q114" s="63">
        <f t="shared" si="37"/>
        <v>0</v>
      </c>
      <c r="R114" s="63">
        <f t="shared" si="38"/>
        <v>519651.99614924192</v>
      </c>
      <c r="S114" s="63">
        <f t="shared" si="38"/>
        <v>0</v>
      </c>
      <c r="T114" s="63">
        <f t="shared" si="38"/>
        <v>888658.36485045485</v>
      </c>
      <c r="U114" s="63">
        <f t="shared" si="38"/>
        <v>1414185.7440083574</v>
      </c>
      <c r="V114" s="63">
        <f t="shared" si="38"/>
        <v>244295.5240893107</v>
      </c>
      <c r="W114" s="63">
        <f t="shared" si="38"/>
        <v>371245.17494949809</v>
      </c>
      <c r="X114" s="63">
        <f t="shared" si="38"/>
        <v>337690.11971541494</v>
      </c>
      <c r="Y114" s="63">
        <f t="shared" si="38"/>
        <v>236164.38017526901</v>
      </c>
      <c r="Z114" s="63">
        <f t="shared" si="38"/>
        <v>117283.64691272414</v>
      </c>
      <c r="AA114" s="63">
        <f t="shared" si="38"/>
        <v>136045.75446002305</v>
      </c>
      <c r="AB114" s="63">
        <f t="shared" si="38"/>
        <v>372775.41751004528</v>
      </c>
      <c r="AC114" s="63">
        <f t="shared" si="38"/>
        <v>0</v>
      </c>
      <c r="AD114" s="63">
        <f t="shared" si="38"/>
        <v>0</v>
      </c>
      <c r="AE114" s="63">
        <f t="shared" si="38"/>
        <v>0</v>
      </c>
      <c r="AF114" s="63">
        <f>SUM(H114:AE114)</f>
        <v>13972165.999999998</v>
      </c>
      <c r="AG114" s="58" t="str">
        <f>IF(ABS(AF114-F114)&lt;1,"ok","err")</f>
        <v>ok</v>
      </c>
    </row>
    <row r="115" spans="1:33">
      <c r="A115" s="60" t="s">
        <v>1319</v>
      </c>
      <c r="B115" s="60"/>
      <c r="D115" s="44" t="s">
        <v>638</v>
      </c>
      <c r="F115" s="79">
        <v>36289311</v>
      </c>
      <c r="H115" s="63">
        <f t="shared" si="37"/>
        <v>12476312.477506297</v>
      </c>
      <c r="I115" s="63">
        <f t="shared" si="37"/>
        <v>13069726.9999357</v>
      </c>
      <c r="J115" s="63">
        <f t="shared" si="37"/>
        <v>10743271.522558004</v>
      </c>
      <c r="K115" s="63">
        <f t="shared" si="37"/>
        <v>0</v>
      </c>
      <c r="L115" s="63">
        <f t="shared" si="37"/>
        <v>0</v>
      </c>
      <c r="M115" s="63">
        <f t="shared" si="37"/>
        <v>0</v>
      </c>
      <c r="N115" s="63">
        <f t="shared" si="37"/>
        <v>0</v>
      </c>
      <c r="O115" s="63">
        <f t="shared" si="37"/>
        <v>0</v>
      </c>
      <c r="P115" s="63">
        <f t="shared" si="37"/>
        <v>0</v>
      </c>
      <c r="Q115" s="63">
        <f t="shared" si="37"/>
        <v>0</v>
      </c>
      <c r="R115" s="63">
        <f t="shared" si="38"/>
        <v>0</v>
      </c>
      <c r="S115" s="63">
        <f t="shared" si="38"/>
        <v>0</v>
      </c>
      <c r="T115" s="63">
        <f t="shared" si="38"/>
        <v>0</v>
      </c>
      <c r="U115" s="63">
        <f t="shared" si="38"/>
        <v>0</v>
      </c>
      <c r="V115" s="63">
        <f t="shared" si="38"/>
        <v>0</v>
      </c>
      <c r="W115" s="63">
        <f t="shared" si="38"/>
        <v>0</v>
      </c>
      <c r="X115" s="63">
        <f t="shared" si="38"/>
        <v>0</v>
      </c>
      <c r="Y115" s="63">
        <f t="shared" si="38"/>
        <v>0</v>
      </c>
      <c r="Z115" s="63">
        <f t="shared" si="38"/>
        <v>0</v>
      </c>
      <c r="AA115" s="63">
        <f t="shared" si="38"/>
        <v>0</v>
      </c>
      <c r="AB115" s="63">
        <f t="shared" si="38"/>
        <v>0</v>
      </c>
      <c r="AC115" s="63">
        <f t="shared" si="38"/>
        <v>0</v>
      </c>
      <c r="AD115" s="63">
        <f t="shared" si="38"/>
        <v>0</v>
      </c>
      <c r="AE115" s="63">
        <f t="shared" si="38"/>
        <v>0</v>
      </c>
      <c r="AF115" s="63">
        <f>SUM(H115:AE115)</f>
        <v>36289311</v>
      </c>
      <c r="AG115" s="58" t="str">
        <f>IF(ABS(AF115-F115)&lt;1,"ok","err")</f>
        <v>ok</v>
      </c>
    </row>
    <row r="116" spans="1:33">
      <c r="A116" s="68" t="s">
        <v>980</v>
      </c>
      <c r="B116" s="60"/>
      <c r="C116" s="44" t="s">
        <v>981</v>
      </c>
      <c r="F116" s="80">
        <f>SUM(F112:F115)</f>
        <v>163000467</v>
      </c>
      <c r="G116" s="64"/>
      <c r="H116" s="64">
        <f t="shared" ref="H116:M116" si="39">SUM(H112:H115)</f>
        <v>25599049.40688657</v>
      </c>
      <c r="I116" s="64">
        <f t="shared" si="39"/>
        <v>26816624.528207242</v>
      </c>
      <c r="J116" s="64">
        <f t="shared" si="39"/>
        <v>22043174.935975075</v>
      </c>
      <c r="K116" s="64">
        <f t="shared" si="39"/>
        <v>51365920.441896409</v>
      </c>
      <c r="L116" s="64">
        <f t="shared" si="39"/>
        <v>0</v>
      </c>
      <c r="M116" s="64">
        <f t="shared" si="39"/>
        <v>0</v>
      </c>
      <c r="N116" s="64">
        <f>SUM(N112:N115)</f>
        <v>8128392.6019049231</v>
      </c>
      <c r="O116" s="64">
        <f>SUM(O112:O115)</f>
        <v>0</v>
      </c>
      <c r="P116" s="64">
        <f>SUM(P112:P115)</f>
        <v>0</v>
      </c>
      <c r="Q116" s="64">
        <f t="shared" ref="Q116:AB116" si="40">SUM(Q112:Q115)</f>
        <v>0</v>
      </c>
      <c r="R116" s="64">
        <f t="shared" si="40"/>
        <v>2875134.1065912703</v>
      </c>
      <c r="S116" s="64">
        <f t="shared" si="40"/>
        <v>0</v>
      </c>
      <c r="T116" s="64">
        <f t="shared" si="40"/>
        <v>4943870.3388352096</v>
      </c>
      <c r="U116" s="64">
        <f t="shared" si="40"/>
        <v>7706078.3103968045</v>
      </c>
      <c r="V116" s="64">
        <f t="shared" si="40"/>
        <v>1463972.6483131959</v>
      </c>
      <c r="W116" s="64">
        <f t="shared" si="40"/>
        <v>2195660.3455613395</v>
      </c>
      <c r="X116" s="64">
        <f t="shared" si="40"/>
        <v>1363899.1854078337</v>
      </c>
      <c r="Y116" s="64">
        <f t="shared" si="40"/>
        <v>953846.10605381546</v>
      </c>
      <c r="Z116" s="64">
        <f t="shared" si="40"/>
        <v>462510.35475070018</v>
      </c>
      <c r="AA116" s="64">
        <f t="shared" si="40"/>
        <v>2556950.59419251</v>
      </c>
      <c r="AB116" s="64">
        <f t="shared" si="40"/>
        <v>1513983.919984129</v>
      </c>
      <c r="AC116" s="64">
        <f>SUM(AC112:AC115)</f>
        <v>2471535.7794325519</v>
      </c>
      <c r="AD116" s="64">
        <f>SUM(AD112:AD115)</f>
        <v>539863.39561039058</v>
      </c>
      <c r="AE116" s="64">
        <f>SUM(AE112:AE115)</f>
        <v>0</v>
      </c>
      <c r="AF116" s="63">
        <f>SUM(H116:AE116)</f>
        <v>163000467</v>
      </c>
      <c r="AG116" s="58" t="str">
        <f>IF(ABS(AF116-F116)&lt;1,"ok","err")</f>
        <v>ok</v>
      </c>
    </row>
    <row r="117" spans="1:33">
      <c r="A117" s="60"/>
      <c r="B117" s="60"/>
      <c r="W117" s="44"/>
      <c r="AG117" s="58"/>
    </row>
    <row r="118" spans="1:33" ht="15">
      <c r="A118" s="59" t="s">
        <v>44</v>
      </c>
      <c r="B118" s="60"/>
      <c r="I118" s="66"/>
      <c r="W118" s="44"/>
      <c r="AG118" s="58"/>
    </row>
    <row r="119" spans="1:33">
      <c r="A119" s="60" t="s">
        <v>142</v>
      </c>
      <c r="B119" s="60"/>
      <c r="C119" s="44" t="s">
        <v>143</v>
      </c>
      <c r="D119" s="44" t="s">
        <v>99</v>
      </c>
      <c r="F119" s="76">
        <v>0</v>
      </c>
      <c r="H119" s="63">
        <f t="shared" ref="H119:Q120" si="41">IF(VLOOKUP($D119,$C$6:$AE$653,H$2,)=0,0,((VLOOKUP($D119,$C$6:$AE$653,H$2,)/VLOOKUP($D119,$C$6:$AE$653,4,))*$F119))</f>
        <v>0</v>
      </c>
      <c r="I119" s="63">
        <f t="shared" si="41"/>
        <v>0</v>
      </c>
      <c r="J119" s="63">
        <f t="shared" si="41"/>
        <v>0</v>
      </c>
      <c r="K119" s="63">
        <f t="shared" si="41"/>
        <v>0</v>
      </c>
      <c r="L119" s="63">
        <f t="shared" si="41"/>
        <v>0</v>
      </c>
      <c r="M119" s="63">
        <f t="shared" si="41"/>
        <v>0</v>
      </c>
      <c r="N119" s="63">
        <f t="shared" si="41"/>
        <v>0</v>
      </c>
      <c r="O119" s="63">
        <f t="shared" si="41"/>
        <v>0</v>
      </c>
      <c r="P119" s="63">
        <f t="shared" si="41"/>
        <v>0</v>
      </c>
      <c r="Q119" s="63">
        <f t="shared" si="41"/>
        <v>0</v>
      </c>
      <c r="R119" s="63">
        <f t="shared" ref="R119:AE120" si="42">IF(VLOOKUP($D119,$C$6:$AE$653,R$2,)=0,0,((VLOOKUP($D119,$C$6:$AE$653,R$2,)/VLOOKUP($D119,$C$6:$AE$653,4,))*$F119))</f>
        <v>0</v>
      </c>
      <c r="S119" s="63">
        <f t="shared" si="42"/>
        <v>0</v>
      </c>
      <c r="T119" s="63">
        <f t="shared" si="42"/>
        <v>0</v>
      </c>
      <c r="U119" s="63">
        <f t="shared" si="42"/>
        <v>0</v>
      </c>
      <c r="V119" s="63">
        <f t="shared" si="42"/>
        <v>0</v>
      </c>
      <c r="W119" s="63">
        <f t="shared" si="42"/>
        <v>0</v>
      </c>
      <c r="X119" s="63">
        <f t="shared" si="42"/>
        <v>0</v>
      </c>
      <c r="Y119" s="63">
        <f t="shared" si="42"/>
        <v>0</v>
      </c>
      <c r="Z119" s="63">
        <f t="shared" si="42"/>
        <v>0</v>
      </c>
      <c r="AA119" s="63">
        <f t="shared" si="42"/>
        <v>0</v>
      </c>
      <c r="AB119" s="63">
        <f t="shared" si="42"/>
        <v>0</v>
      </c>
      <c r="AC119" s="63">
        <f t="shared" si="42"/>
        <v>0</v>
      </c>
      <c r="AD119" s="63">
        <f t="shared" si="42"/>
        <v>0</v>
      </c>
      <c r="AE119" s="63">
        <f t="shared" si="42"/>
        <v>0</v>
      </c>
      <c r="AF119" s="63">
        <f>SUM(H119:AE119)</f>
        <v>0</v>
      </c>
      <c r="AG119" s="58" t="str">
        <f>IF(ABS(AF119-F119)&lt;1,"ok","err")</f>
        <v>ok</v>
      </c>
    </row>
    <row r="120" spans="1:33">
      <c r="A120" s="60" t="s">
        <v>158</v>
      </c>
      <c r="B120" s="60"/>
      <c r="C120" s="44" t="s">
        <v>5</v>
      </c>
      <c r="D120" s="44" t="s">
        <v>18</v>
      </c>
      <c r="F120" s="79">
        <v>0</v>
      </c>
      <c r="H120" s="63">
        <f t="shared" si="41"/>
        <v>0</v>
      </c>
      <c r="I120" s="63">
        <f t="shared" si="41"/>
        <v>0</v>
      </c>
      <c r="J120" s="63">
        <f t="shared" si="41"/>
        <v>0</v>
      </c>
      <c r="K120" s="63">
        <f t="shared" si="41"/>
        <v>0</v>
      </c>
      <c r="L120" s="63">
        <f t="shared" si="41"/>
        <v>0</v>
      </c>
      <c r="M120" s="63">
        <f t="shared" si="41"/>
        <v>0</v>
      </c>
      <c r="N120" s="63">
        <f t="shared" si="41"/>
        <v>0</v>
      </c>
      <c r="O120" s="63">
        <f t="shared" si="41"/>
        <v>0</v>
      </c>
      <c r="P120" s="63">
        <f t="shared" si="41"/>
        <v>0</v>
      </c>
      <c r="Q120" s="63">
        <f t="shared" si="41"/>
        <v>0</v>
      </c>
      <c r="R120" s="63">
        <f t="shared" si="42"/>
        <v>0</v>
      </c>
      <c r="S120" s="63">
        <f t="shared" si="42"/>
        <v>0</v>
      </c>
      <c r="T120" s="63">
        <f t="shared" si="42"/>
        <v>0</v>
      </c>
      <c r="U120" s="63">
        <f t="shared" si="42"/>
        <v>0</v>
      </c>
      <c r="V120" s="63">
        <f t="shared" si="42"/>
        <v>0</v>
      </c>
      <c r="W120" s="63">
        <f t="shared" si="42"/>
        <v>0</v>
      </c>
      <c r="X120" s="63">
        <f t="shared" si="42"/>
        <v>0</v>
      </c>
      <c r="Y120" s="63">
        <f t="shared" si="42"/>
        <v>0</v>
      </c>
      <c r="Z120" s="63">
        <f t="shared" si="42"/>
        <v>0</v>
      </c>
      <c r="AA120" s="63">
        <f t="shared" si="42"/>
        <v>0</v>
      </c>
      <c r="AB120" s="63">
        <f t="shared" si="42"/>
        <v>0</v>
      </c>
      <c r="AC120" s="63">
        <f t="shared" si="42"/>
        <v>0</v>
      </c>
      <c r="AD120" s="63">
        <f t="shared" si="42"/>
        <v>0</v>
      </c>
      <c r="AE120" s="63">
        <f t="shared" si="42"/>
        <v>0</v>
      </c>
      <c r="AF120" s="63">
        <f>SUM(H120:AE120)</f>
        <v>0</v>
      </c>
      <c r="AG120" s="58" t="str">
        <f>IF(ABS(AF120-F120)&lt;1,"ok","err")</f>
        <v>ok</v>
      </c>
    </row>
    <row r="121" spans="1:33">
      <c r="A121" s="60"/>
      <c r="B121" s="60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58"/>
    </row>
    <row r="122" spans="1:33">
      <c r="A122" s="60" t="s">
        <v>1142</v>
      </c>
      <c r="B122" s="60"/>
      <c r="F122" s="80">
        <f t="shared" ref="F122:M122" si="43">SUM(F119:F120)</f>
        <v>0</v>
      </c>
      <c r="G122" s="64"/>
      <c r="H122" s="64">
        <f t="shared" si="43"/>
        <v>0</v>
      </c>
      <c r="I122" s="64">
        <f t="shared" si="43"/>
        <v>0</v>
      </c>
      <c r="J122" s="64">
        <f t="shared" si="43"/>
        <v>0</v>
      </c>
      <c r="K122" s="64">
        <f t="shared" si="43"/>
        <v>0</v>
      </c>
      <c r="L122" s="64">
        <f t="shared" si="43"/>
        <v>0</v>
      </c>
      <c r="M122" s="64">
        <f t="shared" si="43"/>
        <v>0</v>
      </c>
      <c r="N122" s="64">
        <f>SUM(N119:N120)</f>
        <v>0</v>
      </c>
      <c r="O122" s="64">
        <f>SUM(O119:O120)</f>
        <v>0</v>
      </c>
      <c r="P122" s="64">
        <f>SUM(P119:P120)</f>
        <v>0</v>
      </c>
      <c r="Q122" s="64">
        <f t="shared" ref="Q122:AB122" si="44">SUM(Q119:Q120)</f>
        <v>0</v>
      </c>
      <c r="R122" s="64">
        <f t="shared" si="44"/>
        <v>0</v>
      </c>
      <c r="S122" s="64">
        <f t="shared" si="44"/>
        <v>0</v>
      </c>
      <c r="T122" s="64">
        <f t="shared" si="44"/>
        <v>0</v>
      </c>
      <c r="U122" s="64">
        <f t="shared" si="44"/>
        <v>0</v>
      </c>
      <c r="V122" s="64">
        <f t="shared" si="44"/>
        <v>0</v>
      </c>
      <c r="W122" s="64">
        <f t="shared" si="44"/>
        <v>0</v>
      </c>
      <c r="X122" s="64">
        <f t="shared" si="44"/>
        <v>0</v>
      </c>
      <c r="Y122" s="64">
        <f t="shared" si="44"/>
        <v>0</v>
      </c>
      <c r="Z122" s="64">
        <f t="shared" si="44"/>
        <v>0</v>
      </c>
      <c r="AA122" s="64">
        <f t="shared" si="44"/>
        <v>0</v>
      </c>
      <c r="AB122" s="64">
        <f t="shared" si="44"/>
        <v>0</v>
      </c>
      <c r="AC122" s="64">
        <f>SUM(AC119:AC120)</f>
        <v>0</v>
      </c>
      <c r="AD122" s="64">
        <f>SUM(AD119:AD120)</f>
        <v>0</v>
      </c>
      <c r="AE122" s="64">
        <f>SUM(AE119:AE120)</f>
        <v>0</v>
      </c>
      <c r="AF122" s="63">
        <f>SUM(H122:AE122)</f>
        <v>0</v>
      </c>
      <c r="AG122" s="58" t="str">
        <f>IF(ABS(AF122-F122)&lt;1,"ok","err")</f>
        <v>ok</v>
      </c>
    </row>
    <row r="123" spans="1:33">
      <c r="A123" s="60" t="s">
        <v>620</v>
      </c>
      <c r="B123" s="60"/>
      <c r="C123" s="44" t="s">
        <v>982</v>
      </c>
      <c r="D123" s="44" t="s">
        <v>885</v>
      </c>
      <c r="F123" s="76">
        <v>6724404</v>
      </c>
      <c r="H123" s="63">
        <f t="shared" ref="H123:AE123" si="45">IF(VLOOKUP($D123,$C$6:$AE$653,H$2,)=0,0,((VLOOKUP($D123,$C$6:$AE$653,H$2,)/VLOOKUP($D123,$C$6:$AE$653,4,))*$F123))</f>
        <v>0</v>
      </c>
      <c r="I123" s="63">
        <f t="shared" si="45"/>
        <v>0</v>
      </c>
      <c r="J123" s="63">
        <f t="shared" si="45"/>
        <v>0</v>
      </c>
      <c r="K123" s="63">
        <f t="shared" si="45"/>
        <v>0</v>
      </c>
      <c r="L123" s="63">
        <f t="shared" si="45"/>
        <v>0</v>
      </c>
      <c r="M123" s="63">
        <f t="shared" si="45"/>
        <v>0</v>
      </c>
      <c r="N123" s="63">
        <f t="shared" si="45"/>
        <v>0</v>
      </c>
      <c r="O123" s="63">
        <f t="shared" si="45"/>
        <v>0</v>
      </c>
      <c r="P123" s="63">
        <f t="shared" si="45"/>
        <v>0</v>
      </c>
      <c r="Q123" s="63">
        <f t="shared" si="45"/>
        <v>0</v>
      </c>
      <c r="R123" s="63">
        <f t="shared" si="45"/>
        <v>0</v>
      </c>
      <c r="S123" s="63">
        <f t="shared" si="45"/>
        <v>0</v>
      </c>
      <c r="T123" s="63">
        <f t="shared" si="45"/>
        <v>2047604.4992636524</v>
      </c>
      <c r="U123" s="63">
        <f t="shared" si="45"/>
        <v>3258499.7866005809</v>
      </c>
      <c r="V123" s="63">
        <f t="shared" si="45"/>
        <v>562894.17177705024</v>
      </c>
      <c r="W123" s="63">
        <f t="shared" si="45"/>
        <v>855405.54235871695</v>
      </c>
      <c r="X123" s="63">
        <f t="shared" si="45"/>
        <v>0</v>
      </c>
      <c r="Y123" s="63">
        <f t="shared" si="45"/>
        <v>0</v>
      </c>
      <c r="Z123" s="63">
        <f t="shared" si="45"/>
        <v>0</v>
      </c>
      <c r="AA123" s="63">
        <f t="shared" si="45"/>
        <v>0</v>
      </c>
      <c r="AB123" s="63">
        <f t="shared" si="45"/>
        <v>0</v>
      </c>
      <c r="AC123" s="63">
        <f t="shared" si="45"/>
        <v>0</v>
      </c>
      <c r="AD123" s="63">
        <f t="shared" si="45"/>
        <v>0</v>
      </c>
      <c r="AE123" s="63">
        <f t="shared" si="45"/>
        <v>0</v>
      </c>
      <c r="AF123" s="63">
        <f>SUM(H123:AE123)</f>
        <v>6724404</v>
      </c>
      <c r="AG123" s="58" t="str">
        <f>IF(ABS(AF123-F123)&lt;1,"ok","err")</f>
        <v>ok</v>
      </c>
    </row>
    <row r="124" spans="1:33">
      <c r="A124" s="60" t="s">
        <v>713</v>
      </c>
      <c r="B124" s="60"/>
      <c r="F124" s="76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58"/>
    </row>
    <row r="125" spans="1:33">
      <c r="A125" s="68" t="s">
        <v>1165</v>
      </c>
      <c r="B125" s="60"/>
      <c r="C125" s="44" t="s">
        <v>621</v>
      </c>
      <c r="D125" s="44" t="s">
        <v>960</v>
      </c>
      <c r="F125" s="76">
        <v>546457652.46541476</v>
      </c>
      <c r="H125" s="63">
        <f t="shared" ref="H125:Q128" si="46">IF(VLOOKUP($D125,$C$6:$AE$653,H$2,)=0,0,((VLOOKUP($D125,$C$6:$AE$653,H$2,)/VLOOKUP($D125,$C$6:$AE$653,4,))*$F125))</f>
        <v>105311485.38207415</v>
      </c>
      <c r="I125" s="63">
        <f t="shared" si="46"/>
        <v>110320446.55686076</v>
      </c>
      <c r="J125" s="63">
        <f t="shared" si="46"/>
        <v>90683035.06691727</v>
      </c>
      <c r="K125" s="63">
        <f t="shared" si="46"/>
        <v>0</v>
      </c>
      <c r="L125" s="63">
        <f t="shared" si="46"/>
        <v>0</v>
      </c>
      <c r="M125" s="63">
        <f t="shared" si="46"/>
        <v>0</v>
      </c>
      <c r="N125" s="63">
        <f t="shared" si="46"/>
        <v>58748585.688625254</v>
      </c>
      <c r="O125" s="63">
        <f t="shared" si="46"/>
        <v>0</v>
      </c>
      <c r="P125" s="63">
        <f t="shared" si="46"/>
        <v>0</v>
      </c>
      <c r="Q125" s="63">
        <f t="shared" si="46"/>
        <v>0</v>
      </c>
      <c r="R125" s="63">
        <f t="shared" ref="R125:AE128" si="47">IF(VLOOKUP($D125,$C$6:$AE$653,R$2,)=0,0,((VLOOKUP($D125,$C$6:$AE$653,R$2,)/VLOOKUP($D125,$C$6:$AE$653,4,))*$F125))</f>
        <v>20323821.654758576</v>
      </c>
      <c r="S125" s="63">
        <f t="shared" si="47"/>
        <v>0</v>
      </c>
      <c r="T125" s="63">
        <f t="shared" si="47"/>
        <v>34755825.539142154</v>
      </c>
      <c r="U125" s="63">
        <f t="shared" si="47"/>
        <v>55309436.047414765</v>
      </c>
      <c r="V125" s="63">
        <f t="shared" si="47"/>
        <v>9554507.0536417123</v>
      </c>
      <c r="W125" s="63">
        <f t="shared" si="47"/>
        <v>14519564.596642707</v>
      </c>
      <c r="X125" s="63">
        <f t="shared" si="47"/>
        <v>13207211.400183087</v>
      </c>
      <c r="Y125" s="63">
        <f t="shared" si="47"/>
        <v>9236494.3836572822</v>
      </c>
      <c r="Z125" s="63">
        <f t="shared" si="47"/>
        <v>4587015.8116150228</v>
      </c>
      <c r="AA125" s="63">
        <f t="shared" si="47"/>
        <v>5320810.2172641251</v>
      </c>
      <c r="AB125" s="63">
        <f t="shared" si="47"/>
        <v>14579413.066617891</v>
      </c>
      <c r="AC125" s="63">
        <f t="shared" si="47"/>
        <v>0</v>
      </c>
      <c r="AD125" s="63">
        <f t="shared" si="47"/>
        <v>0</v>
      </c>
      <c r="AE125" s="63">
        <f t="shared" si="47"/>
        <v>0</v>
      </c>
      <c r="AF125" s="63">
        <f>SUM(H125:AE125)</f>
        <v>546457652.46541488</v>
      </c>
      <c r="AG125" s="58" t="str">
        <f>IF(ABS(AF125-F125)&lt;1,"ok","err")</f>
        <v>ok</v>
      </c>
    </row>
    <row r="126" spans="1:33" s="60" customFormat="1">
      <c r="A126" s="68" t="s">
        <v>1166</v>
      </c>
      <c r="C126" s="60" t="s">
        <v>621</v>
      </c>
      <c r="D126" s="60" t="s">
        <v>960</v>
      </c>
      <c r="F126" s="76">
        <v>0</v>
      </c>
      <c r="H126" s="79">
        <f t="shared" si="46"/>
        <v>0</v>
      </c>
      <c r="I126" s="79">
        <f t="shared" si="46"/>
        <v>0</v>
      </c>
      <c r="J126" s="79">
        <f t="shared" si="46"/>
        <v>0</v>
      </c>
      <c r="K126" s="79">
        <f t="shared" si="46"/>
        <v>0</v>
      </c>
      <c r="L126" s="79">
        <f t="shared" si="46"/>
        <v>0</v>
      </c>
      <c r="M126" s="79">
        <f t="shared" si="46"/>
        <v>0</v>
      </c>
      <c r="N126" s="79">
        <f t="shared" si="46"/>
        <v>0</v>
      </c>
      <c r="O126" s="79">
        <f t="shared" si="46"/>
        <v>0</v>
      </c>
      <c r="P126" s="79">
        <f t="shared" si="46"/>
        <v>0</v>
      </c>
      <c r="Q126" s="79">
        <f t="shared" si="46"/>
        <v>0</v>
      </c>
      <c r="R126" s="79">
        <f t="shared" si="47"/>
        <v>0</v>
      </c>
      <c r="S126" s="79">
        <f t="shared" si="47"/>
        <v>0</v>
      </c>
      <c r="T126" s="79">
        <f t="shared" si="47"/>
        <v>0</v>
      </c>
      <c r="U126" s="79">
        <f t="shared" si="47"/>
        <v>0</v>
      </c>
      <c r="V126" s="79">
        <f t="shared" si="47"/>
        <v>0</v>
      </c>
      <c r="W126" s="79">
        <f t="shared" si="47"/>
        <v>0</v>
      </c>
      <c r="X126" s="79">
        <f t="shared" si="47"/>
        <v>0</v>
      </c>
      <c r="Y126" s="79">
        <f t="shared" si="47"/>
        <v>0</v>
      </c>
      <c r="Z126" s="79">
        <f t="shared" si="47"/>
        <v>0</v>
      </c>
      <c r="AA126" s="79">
        <f t="shared" si="47"/>
        <v>0</v>
      </c>
      <c r="AB126" s="79">
        <f t="shared" si="47"/>
        <v>0</v>
      </c>
      <c r="AC126" s="79">
        <f t="shared" si="47"/>
        <v>0</v>
      </c>
      <c r="AD126" s="79">
        <f t="shared" si="47"/>
        <v>0</v>
      </c>
      <c r="AE126" s="79">
        <f t="shared" si="47"/>
        <v>0</v>
      </c>
      <c r="AF126" s="79">
        <f>SUM(H126:AE126)</f>
        <v>0</v>
      </c>
      <c r="AG126" s="93" t="str">
        <f>IF(ABS(AF126-F126)&lt;1,"ok","err")</f>
        <v>ok</v>
      </c>
    </row>
    <row r="127" spans="1:33" s="60" customFormat="1">
      <c r="A127" s="68" t="s">
        <v>1167</v>
      </c>
      <c r="C127" s="60" t="s">
        <v>621</v>
      </c>
      <c r="D127" s="60" t="s">
        <v>960</v>
      </c>
      <c r="F127" s="76">
        <v>0</v>
      </c>
      <c r="H127" s="79">
        <f t="shared" si="46"/>
        <v>0</v>
      </c>
      <c r="I127" s="79">
        <f t="shared" si="46"/>
        <v>0</v>
      </c>
      <c r="J127" s="79">
        <f t="shared" si="46"/>
        <v>0</v>
      </c>
      <c r="K127" s="79">
        <f t="shared" si="46"/>
        <v>0</v>
      </c>
      <c r="L127" s="79">
        <f t="shared" si="46"/>
        <v>0</v>
      </c>
      <c r="M127" s="79">
        <f t="shared" si="46"/>
        <v>0</v>
      </c>
      <c r="N127" s="79">
        <f t="shared" si="46"/>
        <v>0</v>
      </c>
      <c r="O127" s="79">
        <f t="shared" si="46"/>
        <v>0</v>
      </c>
      <c r="P127" s="79">
        <f t="shared" si="46"/>
        <v>0</v>
      </c>
      <c r="Q127" s="79">
        <f t="shared" si="46"/>
        <v>0</v>
      </c>
      <c r="R127" s="79">
        <f t="shared" si="47"/>
        <v>0</v>
      </c>
      <c r="S127" s="79">
        <f t="shared" si="47"/>
        <v>0</v>
      </c>
      <c r="T127" s="79">
        <f t="shared" si="47"/>
        <v>0</v>
      </c>
      <c r="U127" s="79">
        <f t="shared" si="47"/>
        <v>0</v>
      </c>
      <c r="V127" s="79">
        <f t="shared" si="47"/>
        <v>0</v>
      </c>
      <c r="W127" s="79">
        <f t="shared" si="47"/>
        <v>0</v>
      </c>
      <c r="X127" s="79">
        <f t="shared" si="47"/>
        <v>0</v>
      </c>
      <c r="Y127" s="79">
        <f t="shared" si="47"/>
        <v>0</v>
      </c>
      <c r="Z127" s="79">
        <f t="shared" si="47"/>
        <v>0</v>
      </c>
      <c r="AA127" s="79">
        <f t="shared" si="47"/>
        <v>0</v>
      </c>
      <c r="AB127" s="79">
        <f t="shared" si="47"/>
        <v>0</v>
      </c>
      <c r="AC127" s="79">
        <f t="shared" si="47"/>
        <v>0</v>
      </c>
      <c r="AD127" s="79">
        <f t="shared" si="47"/>
        <v>0</v>
      </c>
      <c r="AE127" s="79">
        <f t="shared" si="47"/>
        <v>0</v>
      </c>
      <c r="AF127" s="79">
        <f>SUM(H127:AE127)</f>
        <v>0</v>
      </c>
      <c r="AG127" s="93" t="str">
        <f>IF(ABS(AF127-F127)&lt;1,"ok","err")</f>
        <v>ok</v>
      </c>
    </row>
    <row r="128" spans="1:33" s="60" customFormat="1">
      <c r="A128" s="68" t="s">
        <v>1168</v>
      </c>
      <c r="C128" s="60" t="s">
        <v>621</v>
      </c>
      <c r="D128" s="60" t="s">
        <v>960</v>
      </c>
      <c r="F128" s="76">
        <v>0</v>
      </c>
      <c r="H128" s="79">
        <f t="shared" si="46"/>
        <v>0</v>
      </c>
      <c r="I128" s="79">
        <f t="shared" si="46"/>
        <v>0</v>
      </c>
      <c r="J128" s="79">
        <f t="shared" si="46"/>
        <v>0</v>
      </c>
      <c r="K128" s="79">
        <f t="shared" si="46"/>
        <v>0</v>
      </c>
      <c r="L128" s="79">
        <f t="shared" si="46"/>
        <v>0</v>
      </c>
      <c r="M128" s="79">
        <f t="shared" si="46"/>
        <v>0</v>
      </c>
      <c r="N128" s="79">
        <f t="shared" si="46"/>
        <v>0</v>
      </c>
      <c r="O128" s="79">
        <f t="shared" si="46"/>
        <v>0</v>
      </c>
      <c r="P128" s="79">
        <f t="shared" si="46"/>
        <v>0</v>
      </c>
      <c r="Q128" s="79">
        <f t="shared" si="46"/>
        <v>0</v>
      </c>
      <c r="R128" s="79">
        <f t="shared" si="47"/>
        <v>0</v>
      </c>
      <c r="S128" s="79">
        <f t="shared" si="47"/>
        <v>0</v>
      </c>
      <c r="T128" s="79">
        <f t="shared" si="47"/>
        <v>0</v>
      </c>
      <c r="U128" s="79">
        <f t="shared" si="47"/>
        <v>0</v>
      </c>
      <c r="V128" s="79">
        <f t="shared" si="47"/>
        <v>0</v>
      </c>
      <c r="W128" s="79">
        <f t="shared" si="47"/>
        <v>0</v>
      </c>
      <c r="X128" s="79">
        <f t="shared" si="47"/>
        <v>0</v>
      </c>
      <c r="Y128" s="79">
        <f t="shared" si="47"/>
        <v>0</v>
      </c>
      <c r="Z128" s="79">
        <f t="shared" si="47"/>
        <v>0</v>
      </c>
      <c r="AA128" s="79">
        <f t="shared" si="47"/>
        <v>0</v>
      </c>
      <c r="AB128" s="79">
        <f t="shared" si="47"/>
        <v>0</v>
      </c>
      <c r="AC128" s="79">
        <f t="shared" si="47"/>
        <v>0</v>
      </c>
      <c r="AD128" s="79">
        <f t="shared" si="47"/>
        <v>0</v>
      </c>
      <c r="AE128" s="79">
        <f t="shared" si="47"/>
        <v>0</v>
      </c>
      <c r="AF128" s="79">
        <f>SUM(H128:AE128)</f>
        <v>0</v>
      </c>
      <c r="AG128" s="93" t="str">
        <f>IF(ABS(AF128-F128)&lt;1,"ok","err")</f>
        <v>ok</v>
      </c>
    </row>
    <row r="129" spans="1:33" s="60" customFormat="1">
      <c r="A129" s="68"/>
      <c r="F129" s="76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93"/>
    </row>
    <row r="130" spans="1:33">
      <c r="A130" s="60" t="s">
        <v>718</v>
      </c>
      <c r="B130" s="60"/>
      <c r="F130" s="76">
        <f>SUM(F125:F128)</f>
        <v>546457652.46541476</v>
      </c>
      <c r="G130" s="76"/>
      <c r="H130" s="76">
        <f t="shared" ref="H130:AE130" si="48">SUM(H125:H128)</f>
        <v>105311485.38207415</v>
      </c>
      <c r="I130" s="76">
        <f t="shared" si="48"/>
        <v>110320446.55686076</v>
      </c>
      <c r="J130" s="76">
        <f t="shared" si="48"/>
        <v>90683035.06691727</v>
      </c>
      <c r="K130" s="76">
        <f t="shared" si="48"/>
        <v>0</v>
      </c>
      <c r="L130" s="76">
        <f t="shared" si="48"/>
        <v>0</v>
      </c>
      <c r="M130" s="76">
        <f t="shared" si="48"/>
        <v>0</v>
      </c>
      <c r="N130" s="76">
        <f t="shared" si="48"/>
        <v>58748585.688625254</v>
      </c>
      <c r="O130" s="76">
        <f t="shared" si="48"/>
        <v>0</v>
      </c>
      <c r="P130" s="76">
        <f t="shared" si="48"/>
        <v>0</v>
      </c>
      <c r="Q130" s="76">
        <f t="shared" si="48"/>
        <v>0</v>
      </c>
      <c r="R130" s="76">
        <f t="shared" si="48"/>
        <v>20323821.654758576</v>
      </c>
      <c r="S130" s="76">
        <f t="shared" si="48"/>
        <v>0</v>
      </c>
      <c r="T130" s="76">
        <f t="shared" si="48"/>
        <v>34755825.539142154</v>
      </c>
      <c r="U130" s="76">
        <f t="shared" si="48"/>
        <v>55309436.047414765</v>
      </c>
      <c r="V130" s="76">
        <f t="shared" si="48"/>
        <v>9554507.0536417123</v>
      </c>
      <c r="W130" s="76">
        <f t="shared" si="48"/>
        <v>14519564.596642707</v>
      </c>
      <c r="X130" s="76">
        <f t="shared" si="48"/>
        <v>13207211.400183087</v>
      </c>
      <c r="Y130" s="76">
        <f t="shared" si="48"/>
        <v>9236494.3836572822</v>
      </c>
      <c r="Z130" s="76">
        <f t="shared" si="48"/>
        <v>4587015.8116150228</v>
      </c>
      <c r="AA130" s="76">
        <f t="shared" si="48"/>
        <v>5320810.2172641251</v>
      </c>
      <c r="AB130" s="76">
        <f t="shared" si="48"/>
        <v>14579413.066617891</v>
      </c>
      <c r="AC130" s="76">
        <f t="shared" si="48"/>
        <v>0</v>
      </c>
      <c r="AD130" s="76">
        <f t="shared" si="48"/>
        <v>0</v>
      </c>
      <c r="AE130" s="76">
        <f t="shared" si="48"/>
        <v>0</v>
      </c>
      <c r="AF130" s="63">
        <f>SUM(H130:AE130)</f>
        <v>546457652.46541488</v>
      </c>
      <c r="AG130" s="58" t="str">
        <f>IF(ABS(AF130-F130)&lt;1,"ok","err")</f>
        <v>ok</v>
      </c>
    </row>
    <row r="131" spans="1:33">
      <c r="A131" s="60"/>
      <c r="B131" s="60"/>
      <c r="F131" s="76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  <c r="AG131" s="58"/>
    </row>
    <row r="132" spans="1:33">
      <c r="A132" s="60" t="s">
        <v>719</v>
      </c>
      <c r="B132" s="60"/>
      <c r="F132" s="76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58"/>
    </row>
    <row r="133" spans="1:33">
      <c r="A133" s="68" t="s">
        <v>715</v>
      </c>
      <c r="B133" s="60"/>
      <c r="C133" s="44" t="s">
        <v>621</v>
      </c>
      <c r="D133" s="44" t="s">
        <v>638</v>
      </c>
      <c r="F133" s="76">
        <v>0</v>
      </c>
      <c r="H133" s="63">
        <f t="shared" ref="H133:Q136" si="49">IF(VLOOKUP($D133,$C$6:$AE$653,H$2,)=0,0,((VLOOKUP($D133,$C$6:$AE$653,H$2,)/VLOOKUP($D133,$C$6:$AE$653,4,))*$F133))</f>
        <v>0</v>
      </c>
      <c r="I133" s="63">
        <f t="shared" si="49"/>
        <v>0</v>
      </c>
      <c r="J133" s="63">
        <f t="shared" si="49"/>
        <v>0</v>
      </c>
      <c r="K133" s="63">
        <f t="shared" si="49"/>
        <v>0</v>
      </c>
      <c r="L133" s="63">
        <f t="shared" si="49"/>
        <v>0</v>
      </c>
      <c r="M133" s="63">
        <f t="shared" si="49"/>
        <v>0</v>
      </c>
      <c r="N133" s="63">
        <f t="shared" si="49"/>
        <v>0</v>
      </c>
      <c r="O133" s="63">
        <f t="shared" si="49"/>
        <v>0</v>
      </c>
      <c r="P133" s="63">
        <f t="shared" si="49"/>
        <v>0</v>
      </c>
      <c r="Q133" s="63">
        <f t="shared" si="49"/>
        <v>0</v>
      </c>
      <c r="R133" s="63">
        <f t="shared" ref="R133:AE136" si="50">IF(VLOOKUP($D133,$C$6:$AE$653,R$2,)=0,0,((VLOOKUP($D133,$C$6:$AE$653,R$2,)/VLOOKUP($D133,$C$6:$AE$653,4,))*$F133))</f>
        <v>0</v>
      </c>
      <c r="S133" s="63">
        <f t="shared" si="50"/>
        <v>0</v>
      </c>
      <c r="T133" s="63">
        <f t="shared" si="50"/>
        <v>0</v>
      </c>
      <c r="U133" s="63">
        <f t="shared" si="50"/>
        <v>0</v>
      </c>
      <c r="V133" s="63">
        <f t="shared" si="50"/>
        <v>0</v>
      </c>
      <c r="W133" s="63">
        <f t="shared" si="50"/>
        <v>0</v>
      </c>
      <c r="X133" s="63">
        <f t="shared" si="50"/>
        <v>0</v>
      </c>
      <c r="Y133" s="63">
        <f t="shared" si="50"/>
        <v>0</v>
      </c>
      <c r="Z133" s="63">
        <f t="shared" si="50"/>
        <v>0</v>
      </c>
      <c r="AA133" s="63">
        <f t="shared" si="50"/>
        <v>0</v>
      </c>
      <c r="AB133" s="63">
        <f t="shared" si="50"/>
        <v>0</v>
      </c>
      <c r="AC133" s="63">
        <f t="shared" si="50"/>
        <v>0</v>
      </c>
      <c r="AD133" s="63">
        <f t="shared" si="50"/>
        <v>0</v>
      </c>
      <c r="AE133" s="63">
        <f t="shared" si="50"/>
        <v>0</v>
      </c>
      <c r="AF133" s="63">
        <f>SUM(H133:AE133)</f>
        <v>0</v>
      </c>
      <c r="AG133" s="58" t="str">
        <f>IF(ABS(AF133-F133)&lt;1,"ok","err")</f>
        <v>ok</v>
      </c>
    </row>
    <row r="134" spans="1:33">
      <c r="A134" s="68" t="s">
        <v>714</v>
      </c>
      <c r="B134" s="60"/>
      <c r="C134" s="44" t="s">
        <v>621</v>
      </c>
      <c r="D134" s="44" t="s">
        <v>1161</v>
      </c>
      <c r="F134" s="79">
        <v>0</v>
      </c>
      <c r="H134" s="63">
        <f t="shared" si="49"/>
        <v>0</v>
      </c>
      <c r="I134" s="63">
        <f t="shared" si="49"/>
        <v>0</v>
      </c>
      <c r="J134" s="63">
        <f t="shared" si="49"/>
        <v>0</v>
      </c>
      <c r="K134" s="63">
        <f t="shared" si="49"/>
        <v>0</v>
      </c>
      <c r="L134" s="63">
        <f t="shared" si="49"/>
        <v>0</v>
      </c>
      <c r="M134" s="63">
        <f t="shared" si="49"/>
        <v>0</v>
      </c>
      <c r="N134" s="63">
        <f t="shared" si="49"/>
        <v>0</v>
      </c>
      <c r="O134" s="63">
        <f t="shared" si="49"/>
        <v>0</v>
      </c>
      <c r="P134" s="63">
        <f t="shared" si="49"/>
        <v>0</v>
      </c>
      <c r="Q134" s="63">
        <f t="shared" si="49"/>
        <v>0</v>
      </c>
      <c r="R134" s="63">
        <f t="shared" si="50"/>
        <v>0</v>
      </c>
      <c r="S134" s="63">
        <f t="shared" si="50"/>
        <v>0</v>
      </c>
      <c r="T134" s="63">
        <f t="shared" si="50"/>
        <v>0</v>
      </c>
      <c r="U134" s="63">
        <f t="shared" si="50"/>
        <v>0</v>
      </c>
      <c r="V134" s="63">
        <f t="shared" si="50"/>
        <v>0</v>
      </c>
      <c r="W134" s="63">
        <f t="shared" si="50"/>
        <v>0</v>
      </c>
      <c r="X134" s="63">
        <f t="shared" si="50"/>
        <v>0</v>
      </c>
      <c r="Y134" s="63">
        <f t="shared" si="50"/>
        <v>0</v>
      </c>
      <c r="Z134" s="63">
        <f t="shared" si="50"/>
        <v>0</v>
      </c>
      <c r="AA134" s="63">
        <f t="shared" si="50"/>
        <v>0</v>
      </c>
      <c r="AB134" s="63">
        <f t="shared" si="50"/>
        <v>0</v>
      </c>
      <c r="AC134" s="63">
        <f t="shared" si="50"/>
        <v>0</v>
      </c>
      <c r="AD134" s="63">
        <f t="shared" si="50"/>
        <v>0</v>
      </c>
      <c r="AE134" s="63">
        <f t="shared" si="50"/>
        <v>0</v>
      </c>
      <c r="AF134" s="63">
        <f>SUM(H134:AE134)</f>
        <v>0</v>
      </c>
      <c r="AG134" s="58" t="str">
        <f>IF(ABS(AF134-F134)&lt;1,"ok","err")</f>
        <v>ok</v>
      </c>
    </row>
    <row r="135" spans="1:33">
      <c r="A135" s="68" t="s">
        <v>716</v>
      </c>
      <c r="B135" s="60"/>
      <c r="C135" s="44" t="s">
        <v>621</v>
      </c>
      <c r="D135" s="44" t="s">
        <v>935</v>
      </c>
      <c r="F135" s="79">
        <v>0</v>
      </c>
      <c r="H135" s="63">
        <f t="shared" si="49"/>
        <v>0</v>
      </c>
      <c r="I135" s="63">
        <f t="shared" si="49"/>
        <v>0</v>
      </c>
      <c r="J135" s="63">
        <f t="shared" si="49"/>
        <v>0</v>
      </c>
      <c r="K135" s="63">
        <f t="shared" si="49"/>
        <v>0</v>
      </c>
      <c r="L135" s="63">
        <f t="shared" si="49"/>
        <v>0</v>
      </c>
      <c r="M135" s="63">
        <f t="shared" si="49"/>
        <v>0</v>
      </c>
      <c r="N135" s="63">
        <f t="shared" si="49"/>
        <v>0</v>
      </c>
      <c r="O135" s="63">
        <f t="shared" si="49"/>
        <v>0</v>
      </c>
      <c r="P135" s="63">
        <f t="shared" si="49"/>
        <v>0</v>
      </c>
      <c r="Q135" s="63">
        <f t="shared" si="49"/>
        <v>0</v>
      </c>
      <c r="R135" s="63">
        <f t="shared" si="50"/>
        <v>0</v>
      </c>
      <c r="S135" s="63">
        <f t="shared" si="50"/>
        <v>0</v>
      </c>
      <c r="T135" s="63">
        <f t="shared" si="50"/>
        <v>0</v>
      </c>
      <c r="U135" s="63">
        <f t="shared" si="50"/>
        <v>0</v>
      </c>
      <c r="V135" s="63">
        <f t="shared" si="50"/>
        <v>0</v>
      </c>
      <c r="W135" s="63">
        <f t="shared" si="50"/>
        <v>0</v>
      </c>
      <c r="X135" s="63">
        <f t="shared" si="50"/>
        <v>0</v>
      </c>
      <c r="Y135" s="63">
        <f t="shared" si="50"/>
        <v>0</v>
      </c>
      <c r="Z135" s="63">
        <f t="shared" si="50"/>
        <v>0</v>
      </c>
      <c r="AA135" s="63">
        <f t="shared" si="50"/>
        <v>0</v>
      </c>
      <c r="AB135" s="63">
        <f t="shared" si="50"/>
        <v>0</v>
      </c>
      <c r="AC135" s="63">
        <f t="shared" si="50"/>
        <v>0</v>
      </c>
      <c r="AD135" s="63">
        <f t="shared" si="50"/>
        <v>0</v>
      </c>
      <c r="AE135" s="63">
        <f t="shared" si="50"/>
        <v>0</v>
      </c>
      <c r="AF135" s="63">
        <f>SUM(H135:AE135)</f>
        <v>0</v>
      </c>
      <c r="AG135" s="58" t="str">
        <f>IF(ABS(AF135-F135)&lt;1,"ok","err")</f>
        <v>ok</v>
      </c>
    </row>
    <row r="136" spans="1:33">
      <c r="A136" s="68" t="s">
        <v>717</v>
      </c>
      <c r="B136" s="60"/>
      <c r="C136" s="44" t="s">
        <v>621</v>
      </c>
      <c r="D136" s="44" t="s">
        <v>1163</v>
      </c>
      <c r="F136" s="79">
        <v>0</v>
      </c>
      <c r="H136" s="63">
        <f t="shared" si="49"/>
        <v>0</v>
      </c>
      <c r="I136" s="63">
        <f t="shared" si="49"/>
        <v>0</v>
      </c>
      <c r="J136" s="63">
        <f t="shared" si="49"/>
        <v>0</v>
      </c>
      <c r="K136" s="63">
        <f t="shared" si="49"/>
        <v>0</v>
      </c>
      <c r="L136" s="63">
        <f t="shared" si="49"/>
        <v>0</v>
      </c>
      <c r="M136" s="63">
        <f t="shared" si="49"/>
        <v>0</v>
      </c>
      <c r="N136" s="63">
        <f t="shared" si="49"/>
        <v>0</v>
      </c>
      <c r="O136" s="63">
        <f t="shared" si="49"/>
        <v>0</v>
      </c>
      <c r="P136" s="63">
        <f t="shared" si="49"/>
        <v>0</v>
      </c>
      <c r="Q136" s="63">
        <f t="shared" si="49"/>
        <v>0</v>
      </c>
      <c r="R136" s="63">
        <f t="shared" si="50"/>
        <v>0</v>
      </c>
      <c r="S136" s="63">
        <f t="shared" si="50"/>
        <v>0</v>
      </c>
      <c r="T136" s="63">
        <f t="shared" si="50"/>
        <v>0</v>
      </c>
      <c r="U136" s="63">
        <f t="shared" si="50"/>
        <v>0</v>
      </c>
      <c r="V136" s="63">
        <f t="shared" si="50"/>
        <v>0</v>
      </c>
      <c r="W136" s="63">
        <f t="shared" si="50"/>
        <v>0</v>
      </c>
      <c r="X136" s="63">
        <f t="shared" si="50"/>
        <v>0</v>
      </c>
      <c r="Y136" s="63">
        <f t="shared" si="50"/>
        <v>0</v>
      </c>
      <c r="Z136" s="63">
        <f t="shared" si="50"/>
        <v>0</v>
      </c>
      <c r="AA136" s="63">
        <f t="shared" si="50"/>
        <v>0</v>
      </c>
      <c r="AB136" s="63">
        <f t="shared" si="50"/>
        <v>0</v>
      </c>
      <c r="AC136" s="63">
        <f t="shared" si="50"/>
        <v>0</v>
      </c>
      <c r="AD136" s="63">
        <f t="shared" si="50"/>
        <v>0</v>
      </c>
      <c r="AE136" s="63">
        <f t="shared" si="50"/>
        <v>0</v>
      </c>
      <c r="AF136" s="63">
        <f>SUM(H136:AE136)</f>
        <v>0</v>
      </c>
      <c r="AG136" s="58" t="str">
        <f>IF(ABS(AF136-F136)&lt;1,"ok","err")</f>
        <v>ok</v>
      </c>
    </row>
    <row r="137" spans="1:33">
      <c r="A137" s="68"/>
      <c r="B137" s="60"/>
      <c r="F137" s="76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58"/>
    </row>
    <row r="138" spans="1:33">
      <c r="A138" s="60" t="s">
        <v>720</v>
      </c>
      <c r="B138" s="60"/>
      <c r="F138" s="76">
        <f>SUM(F133:F136)</f>
        <v>0</v>
      </c>
      <c r="H138" s="62">
        <f t="shared" ref="H138:M138" si="51">SUM(H133:H136)</f>
        <v>0</v>
      </c>
      <c r="I138" s="62">
        <f t="shared" si="51"/>
        <v>0</v>
      </c>
      <c r="J138" s="62">
        <f t="shared" si="51"/>
        <v>0</v>
      </c>
      <c r="K138" s="62">
        <f t="shared" si="51"/>
        <v>0</v>
      </c>
      <c r="L138" s="62">
        <f t="shared" si="51"/>
        <v>0</v>
      </c>
      <c r="M138" s="62">
        <f t="shared" si="51"/>
        <v>0</v>
      </c>
      <c r="N138" s="62">
        <f>SUM(N133:N136)</f>
        <v>0</v>
      </c>
      <c r="O138" s="62">
        <f>SUM(O133:O136)</f>
        <v>0</v>
      </c>
      <c r="P138" s="62">
        <f>SUM(P133:P136)</f>
        <v>0</v>
      </c>
      <c r="Q138" s="62">
        <f t="shared" ref="Q138:AB138" si="52">SUM(Q133:Q136)</f>
        <v>0</v>
      </c>
      <c r="R138" s="62">
        <f t="shared" si="52"/>
        <v>0</v>
      </c>
      <c r="S138" s="62">
        <f t="shared" si="52"/>
        <v>0</v>
      </c>
      <c r="T138" s="62">
        <f t="shared" si="52"/>
        <v>0</v>
      </c>
      <c r="U138" s="62">
        <f t="shared" si="52"/>
        <v>0</v>
      </c>
      <c r="V138" s="62">
        <f t="shared" si="52"/>
        <v>0</v>
      </c>
      <c r="W138" s="62">
        <f t="shared" si="52"/>
        <v>0</v>
      </c>
      <c r="X138" s="62">
        <f t="shared" si="52"/>
        <v>0</v>
      </c>
      <c r="Y138" s="62">
        <f t="shared" si="52"/>
        <v>0</v>
      </c>
      <c r="Z138" s="62">
        <f t="shared" si="52"/>
        <v>0</v>
      </c>
      <c r="AA138" s="62">
        <f t="shared" si="52"/>
        <v>0</v>
      </c>
      <c r="AB138" s="62">
        <f t="shared" si="52"/>
        <v>0</v>
      </c>
      <c r="AC138" s="62">
        <f>SUM(AC133:AC136)</f>
        <v>0</v>
      </c>
      <c r="AD138" s="62">
        <f>SUM(AD133:AD136)</f>
        <v>0</v>
      </c>
      <c r="AE138" s="62">
        <f>SUM(AE133:AE136)</f>
        <v>0</v>
      </c>
      <c r="AF138" s="63">
        <f>SUM(H138:AE138)</f>
        <v>0</v>
      </c>
      <c r="AG138" s="58" t="str">
        <f>IF(ABS(AF138-F138)&lt;1,"ok","err")</f>
        <v>ok</v>
      </c>
    </row>
    <row r="139" spans="1:33">
      <c r="A139" s="68"/>
      <c r="B139" s="60"/>
      <c r="F139" s="76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58"/>
    </row>
    <row r="140" spans="1:33" ht="15">
      <c r="A140" s="65" t="s">
        <v>983</v>
      </c>
      <c r="B140" s="60"/>
      <c r="C140" s="44" t="s">
        <v>984</v>
      </c>
      <c r="F140" s="80">
        <f>F109+F116+F122-F123-F130-F138</f>
        <v>2380933927.2415085</v>
      </c>
      <c r="G140" s="64"/>
      <c r="H140" s="64">
        <f t="shared" ref="H140:M140" si="53">H98-H107+H116+H122-H123-H130-H138</f>
        <v>449333292.60367596</v>
      </c>
      <c r="I140" s="64">
        <f t="shared" si="53"/>
        <v>470705064.24876517</v>
      </c>
      <c r="J140" s="64">
        <f t="shared" si="53"/>
        <v>386917975.58529532</v>
      </c>
      <c r="K140" s="64">
        <f t="shared" si="53"/>
        <v>51365920.441896409</v>
      </c>
      <c r="L140" s="64">
        <f t="shared" si="53"/>
        <v>0</v>
      </c>
      <c r="M140" s="64">
        <f t="shared" si="53"/>
        <v>0</v>
      </c>
      <c r="N140" s="64">
        <f>N98-N107+N116+N122-N123-N130-N138</f>
        <v>251904274.24505213</v>
      </c>
      <c r="O140" s="64">
        <f>O98-O107+O116+O122-O123-O130-O138</f>
        <v>0</v>
      </c>
      <c r="P140" s="64">
        <f>P98-P107+P116+P122-P123-P130-P138</f>
        <v>0</v>
      </c>
      <c r="Q140" s="64">
        <f t="shared" ref="Q140:AB140" si="54">Q98-Q107+Q116+Q122-Q123-Q130-Q138</f>
        <v>0</v>
      </c>
      <c r="R140" s="64">
        <f t="shared" si="54"/>
        <v>86725893.898189053</v>
      </c>
      <c r="S140" s="64">
        <f t="shared" si="54"/>
        <v>0</v>
      </c>
      <c r="T140" s="64">
        <f t="shared" si="54"/>
        <v>146289689.97734636</v>
      </c>
      <c r="U140" s="64">
        <f t="shared" si="54"/>
        <v>232639811.01835001</v>
      </c>
      <c r="V140" s="64">
        <f t="shared" si="54"/>
        <v>40320469.646722771</v>
      </c>
      <c r="W140" s="64">
        <f t="shared" si="54"/>
        <v>61244171.692112058</v>
      </c>
      <c r="X140" s="64">
        <f t="shared" si="54"/>
        <v>55853390.849211715</v>
      </c>
      <c r="Y140" s="64">
        <f t="shared" si="54"/>
        <v>39061200.374199145</v>
      </c>
      <c r="Z140" s="64">
        <f t="shared" si="54"/>
        <v>19387335.002084535</v>
      </c>
      <c r="AA140" s="64">
        <f t="shared" si="54"/>
        <v>24509218.578202888</v>
      </c>
      <c r="AB140" s="64">
        <f t="shared" si="54"/>
        <v>61664819.905362248</v>
      </c>
      <c r="AC140" s="64">
        <f>AC98-AC107+AC116+AC122-AC123-AC130-AC138</f>
        <v>2471535.7794325519</v>
      </c>
      <c r="AD140" s="64">
        <f>AD98-AD107+AD116+AD122-AD123-AD130-AD138</f>
        <v>539863.39561039058</v>
      </c>
      <c r="AE140" s="64">
        <f>AE98-AE107+AE116+AE122-AE123-AE130-AE138</f>
        <v>0</v>
      </c>
      <c r="AF140" s="63">
        <f>SUM(H140:AE140)</f>
        <v>2380933927.2415085</v>
      </c>
      <c r="AG140" s="58" t="str">
        <f>IF(ABS(AF140-F140)&lt;1,"ok","err")</f>
        <v>ok</v>
      </c>
    </row>
    <row r="141" spans="1:33">
      <c r="A141" s="60"/>
      <c r="W141" s="44"/>
      <c r="AG141" s="58"/>
    </row>
    <row r="142" spans="1:33">
      <c r="A142" s="60"/>
      <c r="W142" s="44"/>
      <c r="AG142" s="58"/>
    </row>
    <row r="143" spans="1:33" ht="15">
      <c r="A143" s="59" t="s">
        <v>975</v>
      </c>
      <c r="W143" s="44"/>
      <c r="AG143" s="58"/>
    </row>
    <row r="144" spans="1:33" ht="15">
      <c r="A144" s="59"/>
      <c r="W144" s="44"/>
      <c r="AG144" s="58"/>
    </row>
    <row r="145" spans="1:33" ht="15">
      <c r="A145" s="65" t="s">
        <v>217</v>
      </c>
      <c r="W145" s="44"/>
      <c r="AG145" s="58"/>
    </row>
    <row r="146" spans="1:33">
      <c r="A146" s="60">
        <v>500</v>
      </c>
      <c r="B146" s="44" t="s">
        <v>209</v>
      </c>
      <c r="C146" s="44" t="s">
        <v>210</v>
      </c>
      <c r="D146" s="44" t="s">
        <v>651</v>
      </c>
      <c r="F146" s="76">
        <v>4922985</v>
      </c>
      <c r="H146" s="63">
        <f t="shared" ref="H146:Q153" si="55">IF(VLOOKUP($D146,$C$6:$AE$653,H$2,)=0,0,((VLOOKUP($D146,$C$6:$AE$653,H$2,)/VLOOKUP($D146,$C$6:$AE$653,4,))*$F146))</f>
        <v>1431481.1577938998</v>
      </c>
      <c r="I146" s="63">
        <f t="shared" si="55"/>
        <v>1499567.1174194273</v>
      </c>
      <c r="J146" s="63">
        <f t="shared" si="55"/>
        <v>1232639.1139475054</v>
      </c>
      <c r="K146" s="63">
        <f t="shared" si="55"/>
        <v>759297.61083916796</v>
      </c>
      <c r="L146" s="63">
        <f t="shared" si="55"/>
        <v>0</v>
      </c>
      <c r="M146" s="63">
        <f t="shared" si="55"/>
        <v>0</v>
      </c>
      <c r="N146" s="63">
        <f t="shared" si="55"/>
        <v>0</v>
      </c>
      <c r="O146" s="63">
        <f t="shared" si="55"/>
        <v>0</v>
      </c>
      <c r="P146" s="63">
        <f t="shared" si="55"/>
        <v>0</v>
      </c>
      <c r="Q146" s="63">
        <f t="shared" si="55"/>
        <v>0</v>
      </c>
      <c r="R146" s="63">
        <f t="shared" ref="R146:AE153" si="56">IF(VLOOKUP($D146,$C$6:$AE$653,R$2,)=0,0,((VLOOKUP($D146,$C$6:$AE$653,R$2,)/VLOOKUP($D146,$C$6:$AE$653,4,))*$F146))</f>
        <v>0</v>
      </c>
      <c r="S146" s="63">
        <f t="shared" si="56"/>
        <v>0</v>
      </c>
      <c r="T146" s="63">
        <f t="shared" si="56"/>
        <v>0</v>
      </c>
      <c r="U146" s="63">
        <f t="shared" si="56"/>
        <v>0</v>
      </c>
      <c r="V146" s="63">
        <f t="shared" si="56"/>
        <v>0</v>
      </c>
      <c r="W146" s="63">
        <f t="shared" si="56"/>
        <v>0</v>
      </c>
      <c r="X146" s="63">
        <f t="shared" si="56"/>
        <v>0</v>
      </c>
      <c r="Y146" s="63">
        <f t="shared" si="56"/>
        <v>0</v>
      </c>
      <c r="Z146" s="63">
        <f t="shared" si="56"/>
        <v>0</v>
      </c>
      <c r="AA146" s="63">
        <f t="shared" si="56"/>
        <v>0</v>
      </c>
      <c r="AB146" s="63">
        <f t="shared" si="56"/>
        <v>0</v>
      </c>
      <c r="AC146" s="63">
        <f t="shared" si="56"/>
        <v>0</v>
      </c>
      <c r="AD146" s="63">
        <f t="shared" si="56"/>
        <v>0</v>
      </c>
      <c r="AE146" s="63">
        <f t="shared" si="56"/>
        <v>0</v>
      </c>
      <c r="AF146" s="63">
        <f t="shared" ref="AF146:AF153" si="57">SUM(H146:AE146)</f>
        <v>4922985</v>
      </c>
      <c r="AG146" s="58" t="str">
        <f t="shared" ref="AG146:AG153" si="58">IF(ABS(AF146-F146)&lt;1,"ok","err")</f>
        <v>ok</v>
      </c>
    </row>
    <row r="147" spans="1:33">
      <c r="A147" s="275">
        <v>501</v>
      </c>
      <c r="B147" s="44" t="s">
        <v>211</v>
      </c>
      <c r="C147" s="44" t="s">
        <v>212</v>
      </c>
      <c r="D147" s="44" t="s">
        <v>930</v>
      </c>
      <c r="F147" s="79">
        <v>293912722.25944227</v>
      </c>
      <c r="H147" s="63">
        <f t="shared" si="55"/>
        <v>0</v>
      </c>
      <c r="I147" s="63">
        <f t="shared" si="55"/>
        <v>0</v>
      </c>
      <c r="J147" s="63">
        <f t="shared" si="55"/>
        <v>0</v>
      </c>
      <c r="K147" s="63">
        <f t="shared" si="55"/>
        <v>293912722.25944227</v>
      </c>
      <c r="L147" s="63">
        <f t="shared" si="55"/>
        <v>0</v>
      </c>
      <c r="M147" s="63">
        <f t="shared" si="55"/>
        <v>0</v>
      </c>
      <c r="N147" s="63">
        <f t="shared" si="55"/>
        <v>0</v>
      </c>
      <c r="O147" s="63">
        <f t="shared" si="55"/>
        <v>0</v>
      </c>
      <c r="P147" s="63">
        <f t="shared" si="55"/>
        <v>0</v>
      </c>
      <c r="Q147" s="63">
        <f t="shared" si="55"/>
        <v>0</v>
      </c>
      <c r="R147" s="63">
        <f t="shared" si="56"/>
        <v>0</v>
      </c>
      <c r="S147" s="63">
        <f t="shared" si="56"/>
        <v>0</v>
      </c>
      <c r="T147" s="63">
        <f t="shared" si="56"/>
        <v>0</v>
      </c>
      <c r="U147" s="63">
        <f t="shared" si="56"/>
        <v>0</v>
      </c>
      <c r="V147" s="63">
        <f t="shared" si="56"/>
        <v>0</v>
      </c>
      <c r="W147" s="63">
        <f t="shared" si="56"/>
        <v>0</v>
      </c>
      <c r="X147" s="63">
        <f t="shared" si="56"/>
        <v>0</v>
      </c>
      <c r="Y147" s="63">
        <f t="shared" si="56"/>
        <v>0</v>
      </c>
      <c r="Z147" s="63">
        <f t="shared" si="56"/>
        <v>0</v>
      </c>
      <c r="AA147" s="63">
        <f t="shared" si="56"/>
        <v>0</v>
      </c>
      <c r="AB147" s="63">
        <f t="shared" si="56"/>
        <v>0</v>
      </c>
      <c r="AC147" s="63">
        <f t="shared" si="56"/>
        <v>0</v>
      </c>
      <c r="AD147" s="63">
        <f t="shared" si="56"/>
        <v>0</v>
      </c>
      <c r="AE147" s="63">
        <f t="shared" si="56"/>
        <v>0</v>
      </c>
      <c r="AF147" s="63">
        <f t="shared" si="57"/>
        <v>293912722.25944227</v>
      </c>
      <c r="AG147" s="58" t="str">
        <f t="shared" si="58"/>
        <v>ok</v>
      </c>
    </row>
    <row r="148" spans="1:33">
      <c r="A148" s="60">
        <v>502</v>
      </c>
      <c r="B148" s="44" t="s">
        <v>213</v>
      </c>
      <c r="C148" s="44" t="s">
        <v>214</v>
      </c>
      <c r="D148" s="44" t="s">
        <v>646</v>
      </c>
      <c r="F148" s="79">
        <v>18526106.452221252</v>
      </c>
      <c r="H148" s="63">
        <f t="shared" si="55"/>
        <v>6369299.5739009185</v>
      </c>
      <c r="I148" s="63">
        <f t="shared" si="55"/>
        <v>6672244.4441637117</v>
      </c>
      <c r="J148" s="63">
        <f t="shared" si="55"/>
        <v>5484562.4341566218</v>
      </c>
      <c r="K148" s="63">
        <f t="shared" si="55"/>
        <v>0</v>
      </c>
      <c r="L148" s="63">
        <f t="shared" si="55"/>
        <v>0</v>
      </c>
      <c r="M148" s="63">
        <f t="shared" si="55"/>
        <v>0</v>
      </c>
      <c r="N148" s="63">
        <f t="shared" si="55"/>
        <v>0</v>
      </c>
      <c r="O148" s="63">
        <f t="shared" si="55"/>
        <v>0</v>
      </c>
      <c r="P148" s="63">
        <f t="shared" si="55"/>
        <v>0</v>
      </c>
      <c r="Q148" s="63">
        <f t="shared" si="55"/>
        <v>0</v>
      </c>
      <c r="R148" s="63">
        <f t="shared" si="56"/>
        <v>0</v>
      </c>
      <c r="S148" s="63">
        <f t="shared" si="56"/>
        <v>0</v>
      </c>
      <c r="T148" s="63">
        <f t="shared" si="56"/>
        <v>0</v>
      </c>
      <c r="U148" s="63">
        <f t="shared" si="56"/>
        <v>0</v>
      </c>
      <c r="V148" s="63">
        <f t="shared" si="56"/>
        <v>0</v>
      </c>
      <c r="W148" s="63">
        <f t="shared" si="56"/>
        <v>0</v>
      </c>
      <c r="X148" s="63">
        <f t="shared" si="56"/>
        <v>0</v>
      </c>
      <c r="Y148" s="63">
        <f t="shared" si="56"/>
        <v>0</v>
      </c>
      <c r="Z148" s="63">
        <f t="shared" si="56"/>
        <v>0</v>
      </c>
      <c r="AA148" s="63">
        <f t="shared" si="56"/>
        <v>0</v>
      </c>
      <c r="AB148" s="63">
        <f t="shared" si="56"/>
        <v>0</v>
      </c>
      <c r="AC148" s="63">
        <f t="shared" si="56"/>
        <v>0</v>
      </c>
      <c r="AD148" s="63">
        <f t="shared" si="56"/>
        <v>0</v>
      </c>
      <c r="AE148" s="63">
        <f t="shared" si="56"/>
        <v>0</v>
      </c>
      <c r="AF148" s="63">
        <f t="shared" si="57"/>
        <v>18526106.452221252</v>
      </c>
      <c r="AG148" s="58" t="str">
        <f t="shared" si="58"/>
        <v>ok</v>
      </c>
    </row>
    <row r="149" spans="1:33">
      <c r="A149" s="60">
        <v>504</v>
      </c>
      <c r="B149" s="60" t="s">
        <v>1290</v>
      </c>
      <c r="C149" s="44" t="s">
        <v>1288</v>
      </c>
      <c r="D149" s="44" t="s">
        <v>646</v>
      </c>
      <c r="F149" s="79">
        <v>0</v>
      </c>
      <c r="H149" s="63">
        <f t="shared" si="55"/>
        <v>0</v>
      </c>
      <c r="I149" s="63">
        <f t="shared" si="55"/>
        <v>0</v>
      </c>
      <c r="J149" s="63">
        <f t="shared" si="55"/>
        <v>0</v>
      </c>
      <c r="K149" s="63">
        <f t="shared" si="55"/>
        <v>0</v>
      </c>
      <c r="L149" s="63">
        <f t="shared" si="55"/>
        <v>0</v>
      </c>
      <c r="M149" s="63">
        <f t="shared" si="55"/>
        <v>0</v>
      </c>
      <c r="N149" s="63">
        <f t="shared" si="55"/>
        <v>0</v>
      </c>
      <c r="O149" s="63">
        <f t="shared" si="55"/>
        <v>0</v>
      </c>
      <c r="P149" s="63">
        <f t="shared" si="55"/>
        <v>0</v>
      </c>
      <c r="Q149" s="63">
        <f t="shared" si="55"/>
        <v>0</v>
      </c>
      <c r="R149" s="63">
        <f t="shared" si="56"/>
        <v>0</v>
      </c>
      <c r="S149" s="63">
        <f t="shared" si="56"/>
        <v>0</v>
      </c>
      <c r="T149" s="63">
        <f t="shared" si="56"/>
        <v>0</v>
      </c>
      <c r="U149" s="63">
        <f t="shared" si="56"/>
        <v>0</v>
      </c>
      <c r="V149" s="63">
        <f t="shared" si="56"/>
        <v>0</v>
      </c>
      <c r="W149" s="63">
        <f t="shared" si="56"/>
        <v>0</v>
      </c>
      <c r="X149" s="63">
        <f t="shared" si="56"/>
        <v>0</v>
      </c>
      <c r="Y149" s="63">
        <f t="shared" si="56"/>
        <v>0</v>
      </c>
      <c r="Z149" s="63">
        <f t="shared" si="56"/>
        <v>0</v>
      </c>
      <c r="AA149" s="63">
        <f t="shared" si="56"/>
        <v>0</v>
      </c>
      <c r="AB149" s="63">
        <f t="shared" si="56"/>
        <v>0</v>
      </c>
      <c r="AC149" s="63">
        <f t="shared" si="56"/>
        <v>0</v>
      </c>
      <c r="AD149" s="63">
        <f t="shared" si="56"/>
        <v>0</v>
      </c>
      <c r="AE149" s="63">
        <f t="shared" si="56"/>
        <v>0</v>
      </c>
      <c r="AF149" s="63">
        <f>SUM(H149:AE149)</f>
        <v>0</v>
      </c>
      <c r="AG149" s="58" t="str">
        <f>IF(ABS(AF149-F149)&lt;1,"ok","err")</f>
        <v>ok</v>
      </c>
    </row>
    <row r="150" spans="1:33">
      <c r="A150" s="60">
        <v>505</v>
      </c>
      <c r="B150" s="44" t="s">
        <v>215</v>
      </c>
      <c r="C150" s="44" t="s">
        <v>216</v>
      </c>
      <c r="D150" s="44" t="s">
        <v>646</v>
      </c>
      <c r="F150" s="79">
        <v>2617219</v>
      </c>
      <c r="H150" s="63">
        <f t="shared" si="55"/>
        <v>899803.30753776373</v>
      </c>
      <c r="I150" s="63">
        <f t="shared" si="55"/>
        <v>942600.91708670661</v>
      </c>
      <c r="J150" s="63">
        <f t="shared" si="55"/>
        <v>774814.77537552966</v>
      </c>
      <c r="K150" s="63">
        <f t="shared" si="55"/>
        <v>0</v>
      </c>
      <c r="L150" s="63">
        <f t="shared" si="55"/>
        <v>0</v>
      </c>
      <c r="M150" s="63">
        <f t="shared" si="55"/>
        <v>0</v>
      </c>
      <c r="N150" s="63">
        <f t="shared" si="55"/>
        <v>0</v>
      </c>
      <c r="O150" s="63">
        <f t="shared" si="55"/>
        <v>0</v>
      </c>
      <c r="P150" s="63">
        <f t="shared" si="55"/>
        <v>0</v>
      </c>
      <c r="Q150" s="63">
        <f t="shared" si="55"/>
        <v>0</v>
      </c>
      <c r="R150" s="63">
        <f t="shared" si="56"/>
        <v>0</v>
      </c>
      <c r="S150" s="63">
        <f t="shared" si="56"/>
        <v>0</v>
      </c>
      <c r="T150" s="63">
        <f t="shared" si="56"/>
        <v>0</v>
      </c>
      <c r="U150" s="63">
        <f t="shared" si="56"/>
        <v>0</v>
      </c>
      <c r="V150" s="63">
        <f t="shared" si="56"/>
        <v>0</v>
      </c>
      <c r="W150" s="63">
        <f t="shared" si="56"/>
        <v>0</v>
      </c>
      <c r="X150" s="63">
        <f t="shared" si="56"/>
        <v>0</v>
      </c>
      <c r="Y150" s="63">
        <f t="shared" si="56"/>
        <v>0</v>
      </c>
      <c r="Z150" s="63">
        <f t="shared" si="56"/>
        <v>0</v>
      </c>
      <c r="AA150" s="63">
        <f t="shared" si="56"/>
        <v>0</v>
      </c>
      <c r="AB150" s="63">
        <f t="shared" si="56"/>
        <v>0</v>
      </c>
      <c r="AC150" s="63">
        <f t="shared" si="56"/>
        <v>0</v>
      </c>
      <c r="AD150" s="63">
        <f t="shared" si="56"/>
        <v>0</v>
      </c>
      <c r="AE150" s="63">
        <f t="shared" si="56"/>
        <v>0</v>
      </c>
      <c r="AF150" s="63">
        <f t="shared" si="57"/>
        <v>2617219</v>
      </c>
      <c r="AG150" s="58" t="str">
        <f t="shared" si="58"/>
        <v>ok</v>
      </c>
    </row>
    <row r="151" spans="1:33">
      <c r="A151" s="60">
        <v>506</v>
      </c>
      <c r="B151" s="44" t="s">
        <v>218</v>
      </c>
      <c r="C151" s="44" t="s">
        <v>219</v>
      </c>
      <c r="D151" s="44" t="s">
        <v>646</v>
      </c>
      <c r="F151" s="79">
        <v>9946164.9999999795</v>
      </c>
      <c r="H151" s="63">
        <f t="shared" si="55"/>
        <v>3419504.5062397621</v>
      </c>
      <c r="I151" s="63">
        <f t="shared" si="55"/>
        <v>3582147.4055077867</v>
      </c>
      <c r="J151" s="63">
        <f t="shared" si="55"/>
        <v>2944513.0882524308</v>
      </c>
      <c r="K151" s="63">
        <f t="shared" si="55"/>
        <v>0</v>
      </c>
      <c r="L151" s="63">
        <f t="shared" si="55"/>
        <v>0</v>
      </c>
      <c r="M151" s="63">
        <f t="shared" si="55"/>
        <v>0</v>
      </c>
      <c r="N151" s="63">
        <f t="shared" si="55"/>
        <v>0</v>
      </c>
      <c r="O151" s="63">
        <f t="shared" si="55"/>
        <v>0</v>
      </c>
      <c r="P151" s="63">
        <f t="shared" si="55"/>
        <v>0</v>
      </c>
      <c r="Q151" s="63">
        <f t="shared" si="55"/>
        <v>0</v>
      </c>
      <c r="R151" s="63">
        <f t="shared" si="56"/>
        <v>0</v>
      </c>
      <c r="S151" s="63">
        <f t="shared" si="56"/>
        <v>0</v>
      </c>
      <c r="T151" s="63">
        <f t="shared" si="56"/>
        <v>0</v>
      </c>
      <c r="U151" s="63">
        <f t="shared" si="56"/>
        <v>0</v>
      </c>
      <c r="V151" s="63">
        <f t="shared" si="56"/>
        <v>0</v>
      </c>
      <c r="W151" s="63">
        <f t="shared" si="56"/>
        <v>0</v>
      </c>
      <c r="X151" s="63">
        <f t="shared" si="56"/>
        <v>0</v>
      </c>
      <c r="Y151" s="63">
        <f t="shared" si="56"/>
        <v>0</v>
      </c>
      <c r="Z151" s="63">
        <f t="shared" si="56"/>
        <v>0</v>
      </c>
      <c r="AA151" s="63">
        <f t="shared" si="56"/>
        <v>0</v>
      </c>
      <c r="AB151" s="63">
        <f t="shared" si="56"/>
        <v>0</v>
      </c>
      <c r="AC151" s="63">
        <f t="shared" si="56"/>
        <v>0</v>
      </c>
      <c r="AD151" s="63">
        <f t="shared" si="56"/>
        <v>0</v>
      </c>
      <c r="AE151" s="63">
        <f t="shared" si="56"/>
        <v>0</v>
      </c>
      <c r="AF151" s="63">
        <f t="shared" si="57"/>
        <v>9946164.9999999795</v>
      </c>
      <c r="AG151" s="58" t="str">
        <f t="shared" si="58"/>
        <v>ok</v>
      </c>
    </row>
    <row r="152" spans="1:33">
      <c r="A152" s="60">
        <v>507</v>
      </c>
      <c r="B152" s="44" t="s">
        <v>1004</v>
      </c>
      <c r="C152" s="44" t="s">
        <v>343</v>
      </c>
      <c r="D152" s="44" t="s">
        <v>646</v>
      </c>
      <c r="F152" s="79"/>
      <c r="H152" s="63">
        <f t="shared" si="55"/>
        <v>0</v>
      </c>
      <c r="I152" s="63">
        <f t="shared" si="55"/>
        <v>0</v>
      </c>
      <c r="J152" s="63">
        <f t="shared" si="55"/>
        <v>0</v>
      </c>
      <c r="K152" s="63">
        <f t="shared" si="55"/>
        <v>0</v>
      </c>
      <c r="L152" s="63">
        <f t="shared" si="55"/>
        <v>0</v>
      </c>
      <c r="M152" s="63">
        <f t="shared" si="55"/>
        <v>0</v>
      </c>
      <c r="N152" s="63">
        <f t="shared" si="55"/>
        <v>0</v>
      </c>
      <c r="O152" s="63">
        <f t="shared" si="55"/>
        <v>0</v>
      </c>
      <c r="P152" s="63">
        <f t="shared" si="55"/>
        <v>0</v>
      </c>
      <c r="Q152" s="63">
        <f t="shared" si="55"/>
        <v>0</v>
      </c>
      <c r="R152" s="63">
        <f t="shared" si="56"/>
        <v>0</v>
      </c>
      <c r="S152" s="63">
        <f t="shared" si="56"/>
        <v>0</v>
      </c>
      <c r="T152" s="63">
        <f t="shared" si="56"/>
        <v>0</v>
      </c>
      <c r="U152" s="63">
        <f t="shared" si="56"/>
        <v>0</v>
      </c>
      <c r="V152" s="63">
        <f t="shared" si="56"/>
        <v>0</v>
      </c>
      <c r="W152" s="63">
        <f t="shared" si="56"/>
        <v>0</v>
      </c>
      <c r="X152" s="63">
        <f t="shared" si="56"/>
        <v>0</v>
      </c>
      <c r="Y152" s="63">
        <f t="shared" si="56"/>
        <v>0</v>
      </c>
      <c r="Z152" s="63">
        <f t="shared" si="56"/>
        <v>0</v>
      </c>
      <c r="AA152" s="63">
        <f t="shared" si="56"/>
        <v>0</v>
      </c>
      <c r="AB152" s="63">
        <f t="shared" si="56"/>
        <v>0</v>
      </c>
      <c r="AC152" s="63">
        <f t="shared" si="56"/>
        <v>0</v>
      </c>
      <c r="AD152" s="63">
        <f t="shared" si="56"/>
        <v>0</v>
      </c>
      <c r="AE152" s="63">
        <f t="shared" si="56"/>
        <v>0</v>
      </c>
      <c r="AF152" s="63">
        <f>SUM(H152:AE152)</f>
        <v>0</v>
      </c>
      <c r="AG152" s="58" t="str">
        <f t="shared" si="58"/>
        <v>ok</v>
      </c>
    </row>
    <row r="153" spans="1:33">
      <c r="A153" s="60">
        <v>509</v>
      </c>
      <c r="B153" s="44" t="s">
        <v>595</v>
      </c>
      <c r="C153" s="44" t="s">
        <v>594</v>
      </c>
      <c r="D153" s="44" t="s">
        <v>646</v>
      </c>
      <c r="F153" s="79">
        <v>0</v>
      </c>
      <c r="H153" s="63">
        <f t="shared" si="55"/>
        <v>0</v>
      </c>
      <c r="I153" s="63">
        <f t="shared" si="55"/>
        <v>0</v>
      </c>
      <c r="J153" s="63">
        <f t="shared" si="55"/>
        <v>0</v>
      </c>
      <c r="K153" s="63">
        <f t="shared" si="55"/>
        <v>0</v>
      </c>
      <c r="L153" s="63">
        <f t="shared" si="55"/>
        <v>0</v>
      </c>
      <c r="M153" s="63">
        <f t="shared" si="55"/>
        <v>0</v>
      </c>
      <c r="N153" s="63">
        <f t="shared" si="55"/>
        <v>0</v>
      </c>
      <c r="O153" s="63">
        <f t="shared" si="55"/>
        <v>0</v>
      </c>
      <c r="P153" s="63">
        <f t="shared" si="55"/>
        <v>0</v>
      </c>
      <c r="Q153" s="63">
        <f t="shared" si="55"/>
        <v>0</v>
      </c>
      <c r="R153" s="63">
        <f t="shared" si="56"/>
        <v>0</v>
      </c>
      <c r="S153" s="63">
        <f t="shared" si="56"/>
        <v>0</v>
      </c>
      <c r="T153" s="63">
        <f t="shared" si="56"/>
        <v>0</v>
      </c>
      <c r="U153" s="63">
        <f t="shared" si="56"/>
        <v>0</v>
      </c>
      <c r="V153" s="63">
        <f t="shared" si="56"/>
        <v>0</v>
      </c>
      <c r="W153" s="63">
        <f t="shared" si="56"/>
        <v>0</v>
      </c>
      <c r="X153" s="63">
        <f t="shared" si="56"/>
        <v>0</v>
      </c>
      <c r="Y153" s="63">
        <f t="shared" si="56"/>
        <v>0</v>
      </c>
      <c r="Z153" s="63">
        <f t="shared" si="56"/>
        <v>0</v>
      </c>
      <c r="AA153" s="63">
        <f t="shared" si="56"/>
        <v>0</v>
      </c>
      <c r="AB153" s="63">
        <f t="shared" si="56"/>
        <v>0</v>
      </c>
      <c r="AC153" s="63">
        <f t="shared" si="56"/>
        <v>0</v>
      </c>
      <c r="AD153" s="63">
        <f t="shared" si="56"/>
        <v>0</v>
      </c>
      <c r="AE153" s="63">
        <f t="shared" si="56"/>
        <v>0</v>
      </c>
      <c r="AF153" s="63">
        <f t="shared" si="57"/>
        <v>0</v>
      </c>
      <c r="AG153" s="58" t="str">
        <f t="shared" si="58"/>
        <v>ok</v>
      </c>
    </row>
    <row r="154" spans="1:33">
      <c r="A154" s="60"/>
      <c r="F154" s="76"/>
      <c r="W154" s="44"/>
      <c r="AG154" s="58"/>
    </row>
    <row r="155" spans="1:33">
      <c r="A155" s="60"/>
      <c r="B155" s="44" t="s">
        <v>220</v>
      </c>
      <c r="F155" s="76">
        <f>SUM(F146:F154)</f>
        <v>329925197.71166354</v>
      </c>
      <c r="H155" s="62">
        <f>SUM(H146:H154)</f>
        <v>12120088.545472344</v>
      </c>
      <c r="I155" s="62">
        <f t="shared" ref="I155:AF155" si="59">SUM(I146:I154)</f>
        <v>12696559.884177633</v>
      </c>
      <c r="J155" s="62">
        <f t="shared" si="59"/>
        <v>10436529.411732087</v>
      </c>
      <c r="K155" s="62">
        <f t="shared" si="59"/>
        <v>294672019.87028146</v>
      </c>
      <c r="L155" s="62">
        <f t="shared" si="59"/>
        <v>0</v>
      </c>
      <c r="M155" s="62">
        <f t="shared" si="59"/>
        <v>0</v>
      </c>
      <c r="N155" s="62">
        <f t="shared" si="59"/>
        <v>0</v>
      </c>
      <c r="O155" s="62">
        <f>SUM(O146:O154)</f>
        <v>0</v>
      </c>
      <c r="P155" s="62">
        <f>SUM(P146:P154)</f>
        <v>0</v>
      </c>
      <c r="Q155" s="62">
        <f t="shared" si="59"/>
        <v>0</v>
      </c>
      <c r="R155" s="62">
        <f t="shared" si="59"/>
        <v>0</v>
      </c>
      <c r="S155" s="62">
        <f t="shared" si="59"/>
        <v>0</v>
      </c>
      <c r="T155" s="62">
        <f t="shared" si="59"/>
        <v>0</v>
      </c>
      <c r="U155" s="62">
        <f>SUM(U146:U154)</f>
        <v>0</v>
      </c>
      <c r="V155" s="62">
        <f>SUM(V146:V154)</f>
        <v>0</v>
      </c>
      <c r="W155" s="62">
        <f>SUM(W146:W154)</f>
        <v>0</v>
      </c>
      <c r="X155" s="62">
        <f t="shared" si="59"/>
        <v>0</v>
      </c>
      <c r="Y155" s="62">
        <f t="shared" si="59"/>
        <v>0</v>
      </c>
      <c r="Z155" s="62">
        <f>SUM(Z146:Z154)</f>
        <v>0</v>
      </c>
      <c r="AA155" s="62">
        <f>SUM(AA146:AA154)</f>
        <v>0</v>
      </c>
      <c r="AB155" s="62">
        <f t="shared" si="59"/>
        <v>0</v>
      </c>
      <c r="AC155" s="62">
        <f t="shared" si="59"/>
        <v>0</v>
      </c>
      <c r="AD155" s="62">
        <f t="shared" si="59"/>
        <v>0</v>
      </c>
      <c r="AE155" s="62">
        <f t="shared" si="59"/>
        <v>0</v>
      </c>
      <c r="AF155" s="62">
        <f t="shared" si="59"/>
        <v>329925197.71166354</v>
      </c>
      <c r="AG155" s="58" t="str">
        <f>IF(ABS(AF155-F155)&lt;1,"ok","err")</f>
        <v>ok</v>
      </c>
    </row>
    <row r="156" spans="1:33">
      <c r="A156" s="60"/>
      <c r="F156" s="76"/>
      <c r="W156" s="44"/>
      <c r="AG156" s="58"/>
    </row>
    <row r="157" spans="1:33" ht="15">
      <c r="A157" s="65" t="s">
        <v>221</v>
      </c>
      <c r="F157" s="76"/>
      <c r="W157" s="44"/>
      <c r="AG157" s="58"/>
    </row>
    <row r="158" spans="1:33">
      <c r="A158" s="60">
        <v>510</v>
      </c>
      <c r="B158" s="44" t="s">
        <v>224</v>
      </c>
      <c r="C158" s="44" t="s">
        <v>222</v>
      </c>
      <c r="D158" s="44" t="s">
        <v>87</v>
      </c>
      <c r="F158" s="76">
        <v>4351844.9999999981</v>
      </c>
      <c r="H158" s="63">
        <f t="shared" ref="H158:Q162" si="60">IF(VLOOKUP($D158,$C$6:$AE$653,H$2,)=0,0,((VLOOKUP($D158,$C$6:$AE$653,H$2,)/VLOOKUP($D158,$C$6:$AE$653,4,))*$F158))</f>
        <v>0</v>
      </c>
      <c r="I158" s="63">
        <f t="shared" si="60"/>
        <v>0</v>
      </c>
      <c r="J158" s="63">
        <f t="shared" si="60"/>
        <v>0</v>
      </c>
      <c r="K158" s="63">
        <f t="shared" si="60"/>
        <v>4351844.9999999981</v>
      </c>
      <c r="L158" s="63">
        <f t="shared" si="60"/>
        <v>0</v>
      </c>
      <c r="M158" s="63">
        <f t="shared" si="60"/>
        <v>0</v>
      </c>
      <c r="N158" s="63">
        <f t="shared" si="60"/>
        <v>0</v>
      </c>
      <c r="O158" s="63">
        <f t="shared" si="60"/>
        <v>0</v>
      </c>
      <c r="P158" s="63">
        <f t="shared" si="60"/>
        <v>0</v>
      </c>
      <c r="Q158" s="63">
        <f t="shared" si="60"/>
        <v>0</v>
      </c>
      <c r="R158" s="63">
        <f t="shared" ref="R158:AE162" si="61">IF(VLOOKUP($D158,$C$6:$AE$653,R$2,)=0,0,((VLOOKUP($D158,$C$6:$AE$653,R$2,)/VLOOKUP($D158,$C$6:$AE$653,4,))*$F158))</f>
        <v>0</v>
      </c>
      <c r="S158" s="63">
        <f t="shared" si="61"/>
        <v>0</v>
      </c>
      <c r="T158" s="63">
        <f t="shared" si="61"/>
        <v>0</v>
      </c>
      <c r="U158" s="63">
        <f t="shared" si="61"/>
        <v>0</v>
      </c>
      <c r="V158" s="63">
        <f t="shared" si="61"/>
        <v>0</v>
      </c>
      <c r="W158" s="63">
        <f t="shared" si="61"/>
        <v>0</v>
      </c>
      <c r="X158" s="63">
        <f t="shared" si="61"/>
        <v>0</v>
      </c>
      <c r="Y158" s="63">
        <f t="shared" si="61"/>
        <v>0</v>
      </c>
      <c r="Z158" s="63">
        <f t="shared" si="61"/>
        <v>0</v>
      </c>
      <c r="AA158" s="63">
        <f t="shared" si="61"/>
        <v>0</v>
      </c>
      <c r="AB158" s="63">
        <f t="shared" si="61"/>
        <v>0</v>
      </c>
      <c r="AC158" s="63">
        <f t="shared" si="61"/>
        <v>0</v>
      </c>
      <c r="AD158" s="63">
        <f t="shared" si="61"/>
        <v>0</v>
      </c>
      <c r="AE158" s="63">
        <f t="shared" si="61"/>
        <v>0</v>
      </c>
      <c r="AF158" s="63">
        <f>SUM(H158:AE158)</f>
        <v>4351844.9999999981</v>
      </c>
      <c r="AG158" s="58" t="str">
        <f>IF(ABS(AF158-F158)&lt;1,"ok","err")</f>
        <v>ok</v>
      </c>
    </row>
    <row r="159" spans="1:33">
      <c r="A159" s="60">
        <v>511</v>
      </c>
      <c r="B159" s="44" t="s">
        <v>223</v>
      </c>
      <c r="C159" s="44" t="s">
        <v>225</v>
      </c>
      <c r="D159" s="44" t="s">
        <v>646</v>
      </c>
      <c r="F159" s="79">
        <v>4128300.9999999902</v>
      </c>
      <c r="H159" s="63">
        <f t="shared" si="60"/>
        <v>1419315.2710229633</v>
      </c>
      <c r="I159" s="63">
        <f t="shared" si="60"/>
        <v>1486822.5809953078</v>
      </c>
      <c r="J159" s="63">
        <f t="shared" si="60"/>
        <v>1222163.1479817191</v>
      </c>
      <c r="K159" s="63">
        <f t="shared" si="60"/>
        <v>0</v>
      </c>
      <c r="L159" s="63">
        <f t="shared" si="60"/>
        <v>0</v>
      </c>
      <c r="M159" s="63">
        <f t="shared" si="60"/>
        <v>0</v>
      </c>
      <c r="N159" s="63">
        <f t="shared" si="60"/>
        <v>0</v>
      </c>
      <c r="O159" s="63">
        <f t="shared" si="60"/>
        <v>0</v>
      </c>
      <c r="P159" s="63">
        <f t="shared" si="60"/>
        <v>0</v>
      </c>
      <c r="Q159" s="63">
        <f t="shared" si="60"/>
        <v>0</v>
      </c>
      <c r="R159" s="63">
        <f t="shared" si="61"/>
        <v>0</v>
      </c>
      <c r="S159" s="63">
        <f t="shared" si="61"/>
        <v>0</v>
      </c>
      <c r="T159" s="63">
        <f t="shared" si="61"/>
        <v>0</v>
      </c>
      <c r="U159" s="63">
        <f t="shared" si="61"/>
        <v>0</v>
      </c>
      <c r="V159" s="63">
        <f t="shared" si="61"/>
        <v>0</v>
      </c>
      <c r="W159" s="63">
        <f t="shared" si="61"/>
        <v>0</v>
      </c>
      <c r="X159" s="63">
        <f t="shared" si="61"/>
        <v>0</v>
      </c>
      <c r="Y159" s="63">
        <f t="shared" si="61"/>
        <v>0</v>
      </c>
      <c r="Z159" s="63">
        <f t="shared" si="61"/>
        <v>0</v>
      </c>
      <c r="AA159" s="63">
        <f t="shared" si="61"/>
        <v>0</v>
      </c>
      <c r="AB159" s="63">
        <f t="shared" si="61"/>
        <v>0</v>
      </c>
      <c r="AC159" s="63">
        <f t="shared" si="61"/>
        <v>0</v>
      </c>
      <c r="AD159" s="63">
        <f t="shared" si="61"/>
        <v>0</v>
      </c>
      <c r="AE159" s="63">
        <f t="shared" si="61"/>
        <v>0</v>
      </c>
      <c r="AF159" s="63">
        <f>SUM(H159:AE159)</f>
        <v>4128300.9999999902</v>
      </c>
      <c r="AG159" s="58" t="str">
        <f>IF(ABS(AF159-F159)&lt;1,"ok","err")</f>
        <v>ok</v>
      </c>
    </row>
    <row r="160" spans="1:33">
      <c r="A160" s="60">
        <v>512</v>
      </c>
      <c r="B160" s="44" t="s">
        <v>226</v>
      </c>
      <c r="C160" s="44" t="s">
        <v>228</v>
      </c>
      <c r="D160" s="44" t="s">
        <v>930</v>
      </c>
      <c r="F160" s="79">
        <v>34257480.999999993</v>
      </c>
      <c r="H160" s="63">
        <f t="shared" si="60"/>
        <v>0</v>
      </c>
      <c r="I160" s="63">
        <f t="shared" si="60"/>
        <v>0</v>
      </c>
      <c r="J160" s="63">
        <f t="shared" si="60"/>
        <v>0</v>
      </c>
      <c r="K160" s="63">
        <f t="shared" si="60"/>
        <v>34257480.999999993</v>
      </c>
      <c r="L160" s="63">
        <f t="shared" si="60"/>
        <v>0</v>
      </c>
      <c r="M160" s="63">
        <f t="shared" si="60"/>
        <v>0</v>
      </c>
      <c r="N160" s="63">
        <f t="shared" si="60"/>
        <v>0</v>
      </c>
      <c r="O160" s="63">
        <f t="shared" si="60"/>
        <v>0</v>
      </c>
      <c r="P160" s="63">
        <f t="shared" si="60"/>
        <v>0</v>
      </c>
      <c r="Q160" s="63">
        <f t="shared" si="60"/>
        <v>0</v>
      </c>
      <c r="R160" s="63">
        <f t="shared" si="61"/>
        <v>0</v>
      </c>
      <c r="S160" s="63">
        <f t="shared" si="61"/>
        <v>0</v>
      </c>
      <c r="T160" s="63">
        <f t="shared" si="61"/>
        <v>0</v>
      </c>
      <c r="U160" s="63">
        <f t="shared" si="61"/>
        <v>0</v>
      </c>
      <c r="V160" s="63">
        <f t="shared" si="61"/>
        <v>0</v>
      </c>
      <c r="W160" s="63">
        <f t="shared" si="61"/>
        <v>0</v>
      </c>
      <c r="X160" s="63">
        <f t="shared" si="61"/>
        <v>0</v>
      </c>
      <c r="Y160" s="63">
        <f t="shared" si="61"/>
        <v>0</v>
      </c>
      <c r="Z160" s="63">
        <f t="shared" si="61"/>
        <v>0</v>
      </c>
      <c r="AA160" s="63">
        <f t="shared" si="61"/>
        <v>0</v>
      </c>
      <c r="AB160" s="63">
        <f t="shared" si="61"/>
        <v>0</v>
      </c>
      <c r="AC160" s="63">
        <f t="shared" si="61"/>
        <v>0</v>
      </c>
      <c r="AD160" s="63">
        <f t="shared" si="61"/>
        <v>0</v>
      </c>
      <c r="AE160" s="63">
        <f t="shared" si="61"/>
        <v>0</v>
      </c>
      <c r="AF160" s="63">
        <f>SUM(H160:AE160)</f>
        <v>34257480.999999993</v>
      </c>
      <c r="AG160" s="58" t="str">
        <f>IF(ABS(AF160-F160)&lt;1,"ok","err")</f>
        <v>ok</v>
      </c>
    </row>
    <row r="161" spans="1:33">
      <c r="A161" s="60">
        <v>513</v>
      </c>
      <c r="B161" s="44" t="s">
        <v>227</v>
      </c>
      <c r="C161" s="44" t="s">
        <v>229</v>
      </c>
      <c r="D161" s="44" t="s">
        <v>930</v>
      </c>
      <c r="F161" s="79">
        <v>15421014</v>
      </c>
      <c r="H161" s="63">
        <f t="shared" si="60"/>
        <v>0</v>
      </c>
      <c r="I161" s="63">
        <f t="shared" si="60"/>
        <v>0</v>
      </c>
      <c r="J161" s="63">
        <f t="shared" si="60"/>
        <v>0</v>
      </c>
      <c r="K161" s="63">
        <f t="shared" si="60"/>
        <v>15421014</v>
      </c>
      <c r="L161" s="63">
        <f t="shared" si="60"/>
        <v>0</v>
      </c>
      <c r="M161" s="63">
        <f t="shared" si="60"/>
        <v>0</v>
      </c>
      <c r="N161" s="63">
        <f t="shared" si="60"/>
        <v>0</v>
      </c>
      <c r="O161" s="63">
        <f t="shared" si="60"/>
        <v>0</v>
      </c>
      <c r="P161" s="63">
        <f t="shared" si="60"/>
        <v>0</v>
      </c>
      <c r="Q161" s="63">
        <f t="shared" si="60"/>
        <v>0</v>
      </c>
      <c r="R161" s="63">
        <f t="shared" si="61"/>
        <v>0</v>
      </c>
      <c r="S161" s="63">
        <f t="shared" si="61"/>
        <v>0</v>
      </c>
      <c r="T161" s="63">
        <f t="shared" si="61"/>
        <v>0</v>
      </c>
      <c r="U161" s="63">
        <f t="shared" si="61"/>
        <v>0</v>
      </c>
      <c r="V161" s="63">
        <f t="shared" si="61"/>
        <v>0</v>
      </c>
      <c r="W161" s="63">
        <f t="shared" si="61"/>
        <v>0</v>
      </c>
      <c r="X161" s="63">
        <f t="shared" si="61"/>
        <v>0</v>
      </c>
      <c r="Y161" s="63">
        <f t="shared" si="61"/>
        <v>0</v>
      </c>
      <c r="Z161" s="63">
        <f t="shared" si="61"/>
        <v>0</v>
      </c>
      <c r="AA161" s="63">
        <f t="shared" si="61"/>
        <v>0</v>
      </c>
      <c r="AB161" s="63">
        <f t="shared" si="61"/>
        <v>0</v>
      </c>
      <c r="AC161" s="63">
        <f t="shared" si="61"/>
        <v>0</v>
      </c>
      <c r="AD161" s="63">
        <f t="shared" si="61"/>
        <v>0</v>
      </c>
      <c r="AE161" s="63">
        <f t="shared" si="61"/>
        <v>0</v>
      </c>
      <c r="AF161" s="63">
        <f>SUM(H161:AE161)</f>
        <v>15421014</v>
      </c>
      <c r="AG161" s="58" t="str">
        <f>IF(ABS(AF161-F161)&lt;1,"ok","err")</f>
        <v>ok</v>
      </c>
    </row>
    <row r="162" spans="1:33">
      <c r="A162" s="60">
        <v>514</v>
      </c>
      <c r="B162" s="44" t="s">
        <v>230</v>
      </c>
      <c r="C162" s="44" t="s">
        <v>231</v>
      </c>
      <c r="D162" s="44" t="s">
        <v>930</v>
      </c>
      <c r="F162" s="79">
        <v>1072820</v>
      </c>
      <c r="H162" s="63">
        <f t="shared" si="60"/>
        <v>0</v>
      </c>
      <c r="I162" s="63">
        <f t="shared" si="60"/>
        <v>0</v>
      </c>
      <c r="J162" s="63">
        <f t="shared" si="60"/>
        <v>0</v>
      </c>
      <c r="K162" s="63">
        <f t="shared" si="60"/>
        <v>1072820</v>
      </c>
      <c r="L162" s="63">
        <f t="shared" si="60"/>
        <v>0</v>
      </c>
      <c r="M162" s="63">
        <f t="shared" si="60"/>
        <v>0</v>
      </c>
      <c r="N162" s="63">
        <f t="shared" si="60"/>
        <v>0</v>
      </c>
      <c r="O162" s="63">
        <f t="shared" si="60"/>
        <v>0</v>
      </c>
      <c r="P162" s="63">
        <f t="shared" si="60"/>
        <v>0</v>
      </c>
      <c r="Q162" s="63">
        <f t="shared" si="60"/>
        <v>0</v>
      </c>
      <c r="R162" s="63">
        <f t="shared" si="61"/>
        <v>0</v>
      </c>
      <c r="S162" s="63">
        <f t="shared" si="61"/>
        <v>0</v>
      </c>
      <c r="T162" s="63">
        <f t="shared" si="61"/>
        <v>0</v>
      </c>
      <c r="U162" s="63">
        <f t="shared" si="61"/>
        <v>0</v>
      </c>
      <c r="V162" s="63">
        <f t="shared" si="61"/>
        <v>0</v>
      </c>
      <c r="W162" s="63">
        <f t="shared" si="61"/>
        <v>0</v>
      </c>
      <c r="X162" s="63">
        <f t="shared" si="61"/>
        <v>0</v>
      </c>
      <c r="Y162" s="63">
        <f t="shared" si="61"/>
        <v>0</v>
      </c>
      <c r="Z162" s="63">
        <f t="shared" si="61"/>
        <v>0</v>
      </c>
      <c r="AA162" s="63">
        <f t="shared" si="61"/>
        <v>0</v>
      </c>
      <c r="AB162" s="63">
        <f t="shared" si="61"/>
        <v>0</v>
      </c>
      <c r="AC162" s="63">
        <f t="shared" si="61"/>
        <v>0</v>
      </c>
      <c r="AD162" s="63">
        <f t="shared" si="61"/>
        <v>0</v>
      </c>
      <c r="AE162" s="63">
        <f t="shared" si="61"/>
        <v>0</v>
      </c>
      <c r="AF162" s="63">
        <f>SUM(H162:AE162)</f>
        <v>1072820</v>
      </c>
      <c r="AG162" s="58" t="str">
        <f>IF(ABS(AF162-F162)&lt;1,"ok","err")</f>
        <v>ok</v>
      </c>
    </row>
    <row r="163" spans="1:33">
      <c r="A163" s="60"/>
      <c r="F163" s="76"/>
      <c r="W163" s="44"/>
      <c r="AF163" s="63"/>
      <c r="AG163" s="58"/>
    </row>
    <row r="164" spans="1:33">
      <c r="A164" s="60"/>
      <c r="B164" s="44" t="s">
        <v>232</v>
      </c>
      <c r="F164" s="76">
        <f>SUM(F158:F163)</f>
        <v>59231460.999999985</v>
      </c>
      <c r="H164" s="62">
        <f t="shared" ref="H164:M164" si="62">SUM(H158:H163)</f>
        <v>1419315.2710229633</v>
      </c>
      <c r="I164" s="62">
        <f t="shared" si="62"/>
        <v>1486822.5809953078</v>
      </c>
      <c r="J164" s="62">
        <f t="shared" si="62"/>
        <v>1222163.1479817191</v>
      </c>
      <c r="K164" s="62">
        <f t="shared" si="62"/>
        <v>55103159.999999993</v>
      </c>
      <c r="L164" s="62">
        <f t="shared" si="62"/>
        <v>0</v>
      </c>
      <c r="M164" s="62">
        <f t="shared" si="62"/>
        <v>0</v>
      </c>
      <c r="N164" s="62">
        <f>SUM(N158:N163)</f>
        <v>0</v>
      </c>
      <c r="O164" s="62">
        <f>SUM(O158:O163)</f>
        <v>0</v>
      </c>
      <c r="P164" s="62">
        <f>SUM(P158:P163)</f>
        <v>0</v>
      </c>
      <c r="Q164" s="62">
        <f t="shared" ref="Q164:AB164" si="63">SUM(Q158:Q163)</f>
        <v>0</v>
      </c>
      <c r="R164" s="62">
        <f t="shared" si="63"/>
        <v>0</v>
      </c>
      <c r="S164" s="62">
        <f t="shared" si="63"/>
        <v>0</v>
      </c>
      <c r="T164" s="62">
        <f t="shared" si="63"/>
        <v>0</v>
      </c>
      <c r="U164" s="62">
        <f t="shared" si="63"/>
        <v>0</v>
      </c>
      <c r="V164" s="62">
        <f t="shared" si="63"/>
        <v>0</v>
      </c>
      <c r="W164" s="62">
        <f t="shared" si="63"/>
        <v>0</v>
      </c>
      <c r="X164" s="62">
        <f t="shared" si="63"/>
        <v>0</v>
      </c>
      <c r="Y164" s="62">
        <f t="shared" si="63"/>
        <v>0</v>
      </c>
      <c r="Z164" s="62">
        <f t="shared" si="63"/>
        <v>0</v>
      </c>
      <c r="AA164" s="62">
        <f t="shared" si="63"/>
        <v>0</v>
      </c>
      <c r="AB164" s="62">
        <f t="shared" si="63"/>
        <v>0</v>
      </c>
      <c r="AC164" s="62">
        <f>SUM(AC158:AC163)</f>
        <v>0</v>
      </c>
      <c r="AD164" s="62">
        <f>SUM(AD158:AD163)</f>
        <v>0</v>
      </c>
      <c r="AE164" s="62">
        <f>SUM(AE158:AE163)</f>
        <v>0</v>
      </c>
      <c r="AF164" s="63">
        <f>SUM(H164:AE164)</f>
        <v>59231460.999999985</v>
      </c>
      <c r="AG164" s="58" t="str">
        <f>IF(ABS(AF164-F164)&lt;1,"ok","err")</f>
        <v>ok</v>
      </c>
    </row>
    <row r="165" spans="1:33">
      <c r="A165" s="60"/>
      <c r="F165" s="76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  <c r="AG165" s="58"/>
    </row>
    <row r="166" spans="1:33">
      <c r="A166" s="60"/>
      <c r="B166" s="44" t="s">
        <v>233</v>
      </c>
      <c r="F166" s="76">
        <f>F155+F164</f>
        <v>389156658.71166354</v>
      </c>
      <c r="H166" s="62">
        <f t="shared" ref="H166:M166" si="64">H155+H164</f>
        <v>13539403.816495307</v>
      </c>
      <c r="I166" s="62">
        <f t="shared" si="64"/>
        <v>14183382.465172941</v>
      </c>
      <c r="J166" s="62">
        <f t="shared" si="64"/>
        <v>11658692.559713807</v>
      </c>
      <c r="K166" s="62">
        <f t="shared" si="64"/>
        <v>349775179.87028146</v>
      </c>
      <c r="L166" s="62">
        <f t="shared" si="64"/>
        <v>0</v>
      </c>
      <c r="M166" s="62">
        <f t="shared" si="64"/>
        <v>0</v>
      </c>
      <c r="N166" s="62">
        <f>N155+N164</f>
        <v>0</v>
      </c>
      <c r="O166" s="62">
        <f>O155+O164</f>
        <v>0</v>
      </c>
      <c r="P166" s="62">
        <f>P155+P164</f>
        <v>0</v>
      </c>
      <c r="Q166" s="62">
        <f t="shared" ref="Q166:AB166" si="65">Q155+Q164</f>
        <v>0</v>
      </c>
      <c r="R166" s="62">
        <f t="shared" si="65"/>
        <v>0</v>
      </c>
      <c r="S166" s="62">
        <f t="shared" si="65"/>
        <v>0</v>
      </c>
      <c r="T166" s="62">
        <f t="shared" si="65"/>
        <v>0</v>
      </c>
      <c r="U166" s="62">
        <f t="shared" si="65"/>
        <v>0</v>
      </c>
      <c r="V166" s="62">
        <f t="shared" si="65"/>
        <v>0</v>
      </c>
      <c r="W166" s="62">
        <f t="shared" si="65"/>
        <v>0</v>
      </c>
      <c r="X166" s="62">
        <f t="shared" si="65"/>
        <v>0</v>
      </c>
      <c r="Y166" s="62">
        <f t="shared" si="65"/>
        <v>0</v>
      </c>
      <c r="Z166" s="62">
        <f t="shared" si="65"/>
        <v>0</v>
      </c>
      <c r="AA166" s="62">
        <f t="shared" si="65"/>
        <v>0</v>
      </c>
      <c r="AB166" s="62">
        <f t="shared" si="65"/>
        <v>0</v>
      </c>
      <c r="AC166" s="62">
        <f>AC155+AC164</f>
        <v>0</v>
      </c>
      <c r="AD166" s="62">
        <f>AD155+AD164</f>
        <v>0</v>
      </c>
      <c r="AE166" s="62">
        <f>AE155+AE164</f>
        <v>0</v>
      </c>
      <c r="AF166" s="63">
        <f>SUM(H166:AE166)</f>
        <v>389156658.71166348</v>
      </c>
      <c r="AG166" s="58" t="str">
        <f>IF(ABS(AF166-F166)&lt;1,"ok","err")</f>
        <v>ok</v>
      </c>
    </row>
    <row r="167" spans="1:33">
      <c r="A167" s="60"/>
      <c r="F167" s="76"/>
      <c r="W167" s="44"/>
      <c r="AG167" s="58"/>
    </row>
    <row r="168" spans="1:33" ht="15">
      <c r="A168" s="65" t="s">
        <v>320</v>
      </c>
      <c r="W168" s="44"/>
      <c r="AG168" s="58"/>
    </row>
    <row r="169" spans="1:33">
      <c r="A169" s="70">
        <v>535</v>
      </c>
      <c r="B169" s="44" t="s">
        <v>209</v>
      </c>
      <c r="C169" s="44" t="s">
        <v>330</v>
      </c>
      <c r="D169" s="44" t="s">
        <v>652</v>
      </c>
      <c r="F169" s="76">
        <v>121406</v>
      </c>
      <c r="H169" s="63">
        <f t="shared" ref="H169:Q174" si="66">IF(VLOOKUP($D169,$C$6:$AE$653,H$2,)=0,0,((VLOOKUP($D169,$C$6:$AE$653,H$2,)/VLOOKUP($D169,$C$6:$AE$653,4,))*$F169))</f>
        <v>41739.541228659029</v>
      </c>
      <c r="I169" s="63">
        <f t="shared" si="66"/>
        <v>43724.811313011523</v>
      </c>
      <c r="J169" s="63">
        <f t="shared" si="66"/>
        <v>35941.647458329455</v>
      </c>
      <c r="K169" s="63">
        <f t="shared" si="66"/>
        <v>0</v>
      </c>
      <c r="L169" s="63">
        <f t="shared" si="66"/>
        <v>0</v>
      </c>
      <c r="M169" s="63">
        <f t="shared" si="66"/>
        <v>0</v>
      </c>
      <c r="N169" s="63">
        <f t="shared" si="66"/>
        <v>0</v>
      </c>
      <c r="O169" s="63">
        <f t="shared" si="66"/>
        <v>0</v>
      </c>
      <c r="P169" s="63">
        <f t="shared" si="66"/>
        <v>0</v>
      </c>
      <c r="Q169" s="63">
        <f t="shared" si="66"/>
        <v>0</v>
      </c>
      <c r="R169" s="63">
        <f t="shared" ref="R169:AE174" si="67">IF(VLOOKUP($D169,$C$6:$AE$653,R$2,)=0,0,((VLOOKUP($D169,$C$6:$AE$653,R$2,)/VLOOKUP($D169,$C$6:$AE$653,4,))*$F169))</f>
        <v>0</v>
      </c>
      <c r="S169" s="63">
        <f t="shared" si="67"/>
        <v>0</v>
      </c>
      <c r="T169" s="63">
        <f t="shared" si="67"/>
        <v>0</v>
      </c>
      <c r="U169" s="63">
        <f t="shared" si="67"/>
        <v>0</v>
      </c>
      <c r="V169" s="63">
        <f t="shared" si="67"/>
        <v>0</v>
      </c>
      <c r="W169" s="63">
        <f t="shared" si="67"/>
        <v>0</v>
      </c>
      <c r="X169" s="63">
        <f t="shared" si="67"/>
        <v>0</v>
      </c>
      <c r="Y169" s="63">
        <f t="shared" si="67"/>
        <v>0</v>
      </c>
      <c r="Z169" s="63">
        <f t="shared" si="67"/>
        <v>0</v>
      </c>
      <c r="AA169" s="63">
        <f t="shared" si="67"/>
        <v>0</v>
      </c>
      <c r="AB169" s="63">
        <f t="shared" si="67"/>
        <v>0</v>
      </c>
      <c r="AC169" s="63">
        <f t="shared" si="67"/>
        <v>0</v>
      </c>
      <c r="AD169" s="63">
        <f t="shared" si="67"/>
        <v>0</v>
      </c>
      <c r="AE169" s="63">
        <f t="shared" si="67"/>
        <v>0</v>
      </c>
      <c r="AF169" s="63">
        <f t="shared" ref="AF169:AF174" si="68">SUM(H169:AE169)</f>
        <v>121406</v>
      </c>
      <c r="AG169" s="58" t="str">
        <f t="shared" ref="AG169:AG174" si="69">IF(ABS(AF169-F169)&lt;1,"ok","err")</f>
        <v>ok</v>
      </c>
    </row>
    <row r="170" spans="1:33">
      <c r="A170" s="276">
        <v>536</v>
      </c>
      <c r="B170" s="44" t="s">
        <v>327</v>
      </c>
      <c r="C170" s="44" t="s">
        <v>331</v>
      </c>
      <c r="D170" s="44" t="s">
        <v>646</v>
      </c>
      <c r="F170" s="79">
        <v>40614</v>
      </c>
      <c r="H170" s="63">
        <f t="shared" si="66"/>
        <v>13963.146199205621</v>
      </c>
      <c r="I170" s="63">
        <f t="shared" si="66"/>
        <v>14627.279431549099</v>
      </c>
      <c r="J170" s="63">
        <f t="shared" si="66"/>
        <v>12023.57436924528</v>
      </c>
      <c r="K170" s="63">
        <f t="shared" si="66"/>
        <v>0</v>
      </c>
      <c r="L170" s="63">
        <f t="shared" si="66"/>
        <v>0</v>
      </c>
      <c r="M170" s="63">
        <f t="shared" si="66"/>
        <v>0</v>
      </c>
      <c r="N170" s="63">
        <f t="shared" si="66"/>
        <v>0</v>
      </c>
      <c r="O170" s="63">
        <f t="shared" si="66"/>
        <v>0</v>
      </c>
      <c r="P170" s="63">
        <f t="shared" si="66"/>
        <v>0</v>
      </c>
      <c r="Q170" s="63">
        <f t="shared" si="66"/>
        <v>0</v>
      </c>
      <c r="R170" s="63">
        <f t="shared" si="67"/>
        <v>0</v>
      </c>
      <c r="S170" s="63">
        <f t="shared" si="67"/>
        <v>0</v>
      </c>
      <c r="T170" s="63">
        <f t="shared" si="67"/>
        <v>0</v>
      </c>
      <c r="U170" s="63">
        <f t="shared" si="67"/>
        <v>0</v>
      </c>
      <c r="V170" s="63">
        <f t="shared" si="67"/>
        <v>0</v>
      </c>
      <c r="W170" s="63">
        <f t="shared" si="67"/>
        <v>0</v>
      </c>
      <c r="X170" s="63">
        <f t="shared" si="67"/>
        <v>0</v>
      </c>
      <c r="Y170" s="63">
        <f t="shared" si="67"/>
        <v>0</v>
      </c>
      <c r="Z170" s="63">
        <f t="shared" si="67"/>
        <v>0</v>
      </c>
      <c r="AA170" s="63">
        <f t="shared" si="67"/>
        <v>0</v>
      </c>
      <c r="AB170" s="63">
        <f t="shared" si="67"/>
        <v>0</v>
      </c>
      <c r="AC170" s="63">
        <f t="shared" si="67"/>
        <v>0</v>
      </c>
      <c r="AD170" s="63">
        <f t="shared" si="67"/>
        <v>0</v>
      </c>
      <c r="AE170" s="63">
        <f t="shared" si="67"/>
        <v>0</v>
      </c>
      <c r="AF170" s="63">
        <f t="shared" si="68"/>
        <v>40614</v>
      </c>
      <c r="AG170" s="58" t="str">
        <f t="shared" si="69"/>
        <v>ok</v>
      </c>
    </row>
    <row r="171" spans="1:33">
      <c r="A171" s="60">
        <v>537</v>
      </c>
      <c r="B171" s="44" t="s">
        <v>326</v>
      </c>
      <c r="C171" s="44" t="s">
        <v>332</v>
      </c>
      <c r="D171" s="44" t="s">
        <v>646</v>
      </c>
      <c r="F171" s="79">
        <v>0</v>
      </c>
      <c r="H171" s="63">
        <f t="shared" si="66"/>
        <v>0</v>
      </c>
      <c r="I171" s="63">
        <f t="shared" si="66"/>
        <v>0</v>
      </c>
      <c r="J171" s="63">
        <f t="shared" si="66"/>
        <v>0</v>
      </c>
      <c r="K171" s="63">
        <f t="shared" si="66"/>
        <v>0</v>
      </c>
      <c r="L171" s="63">
        <f t="shared" si="66"/>
        <v>0</v>
      </c>
      <c r="M171" s="63">
        <f t="shared" si="66"/>
        <v>0</v>
      </c>
      <c r="N171" s="63">
        <f t="shared" si="66"/>
        <v>0</v>
      </c>
      <c r="O171" s="63">
        <f t="shared" si="66"/>
        <v>0</v>
      </c>
      <c r="P171" s="63">
        <f t="shared" si="66"/>
        <v>0</v>
      </c>
      <c r="Q171" s="63">
        <f t="shared" si="66"/>
        <v>0</v>
      </c>
      <c r="R171" s="63">
        <f t="shared" si="67"/>
        <v>0</v>
      </c>
      <c r="S171" s="63">
        <f t="shared" si="67"/>
        <v>0</v>
      </c>
      <c r="T171" s="63">
        <f t="shared" si="67"/>
        <v>0</v>
      </c>
      <c r="U171" s="63">
        <f t="shared" si="67"/>
        <v>0</v>
      </c>
      <c r="V171" s="63">
        <f t="shared" si="67"/>
        <v>0</v>
      </c>
      <c r="W171" s="63">
        <f t="shared" si="67"/>
        <v>0</v>
      </c>
      <c r="X171" s="63">
        <f t="shared" si="67"/>
        <v>0</v>
      </c>
      <c r="Y171" s="63">
        <f t="shared" si="67"/>
        <v>0</v>
      </c>
      <c r="Z171" s="63">
        <f t="shared" si="67"/>
        <v>0</v>
      </c>
      <c r="AA171" s="63">
        <f t="shared" si="67"/>
        <v>0</v>
      </c>
      <c r="AB171" s="63">
        <f t="shared" si="67"/>
        <v>0</v>
      </c>
      <c r="AC171" s="63">
        <f t="shared" si="67"/>
        <v>0</v>
      </c>
      <c r="AD171" s="63">
        <f t="shared" si="67"/>
        <v>0</v>
      </c>
      <c r="AE171" s="63">
        <f t="shared" si="67"/>
        <v>0</v>
      </c>
      <c r="AF171" s="63">
        <f t="shared" si="68"/>
        <v>0</v>
      </c>
      <c r="AG171" s="58" t="str">
        <f t="shared" si="69"/>
        <v>ok</v>
      </c>
    </row>
    <row r="172" spans="1:33">
      <c r="A172" s="275">
        <v>538</v>
      </c>
      <c r="B172" s="44" t="s">
        <v>215</v>
      </c>
      <c r="C172" s="44" t="s">
        <v>333</v>
      </c>
      <c r="D172" s="44" t="s">
        <v>646</v>
      </c>
      <c r="F172" s="79">
        <v>180161</v>
      </c>
      <c r="H172" s="63">
        <f t="shared" si="66"/>
        <v>61939.586900947557</v>
      </c>
      <c r="I172" s="63">
        <f t="shared" si="66"/>
        <v>64885.63770294276</v>
      </c>
      <c r="J172" s="63">
        <f t="shared" si="66"/>
        <v>53335.775396109682</v>
      </c>
      <c r="K172" s="63">
        <f t="shared" si="66"/>
        <v>0</v>
      </c>
      <c r="L172" s="63">
        <f t="shared" si="66"/>
        <v>0</v>
      </c>
      <c r="M172" s="63">
        <f t="shared" si="66"/>
        <v>0</v>
      </c>
      <c r="N172" s="63">
        <f t="shared" si="66"/>
        <v>0</v>
      </c>
      <c r="O172" s="63">
        <f t="shared" si="66"/>
        <v>0</v>
      </c>
      <c r="P172" s="63">
        <f t="shared" si="66"/>
        <v>0</v>
      </c>
      <c r="Q172" s="63">
        <f t="shared" si="66"/>
        <v>0</v>
      </c>
      <c r="R172" s="63">
        <f t="shared" si="67"/>
        <v>0</v>
      </c>
      <c r="S172" s="63">
        <f t="shared" si="67"/>
        <v>0</v>
      </c>
      <c r="T172" s="63">
        <f t="shared" si="67"/>
        <v>0</v>
      </c>
      <c r="U172" s="63">
        <f t="shared" si="67"/>
        <v>0</v>
      </c>
      <c r="V172" s="63">
        <f t="shared" si="67"/>
        <v>0</v>
      </c>
      <c r="W172" s="63">
        <f t="shared" si="67"/>
        <v>0</v>
      </c>
      <c r="X172" s="63">
        <f t="shared" si="67"/>
        <v>0</v>
      </c>
      <c r="Y172" s="63">
        <f t="shared" si="67"/>
        <v>0</v>
      </c>
      <c r="Z172" s="63">
        <f t="shared" si="67"/>
        <v>0</v>
      </c>
      <c r="AA172" s="63">
        <f t="shared" si="67"/>
        <v>0</v>
      </c>
      <c r="AB172" s="63">
        <f t="shared" si="67"/>
        <v>0</v>
      </c>
      <c r="AC172" s="63">
        <f t="shared" si="67"/>
        <v>0</v>
      </c>
      <c r="AD172" s="63">
        <f t="shared" si="67"/>
        <v>0</v>
      </c>
      <c r="AE172" s="63">
        <f t="shared" si="67"/>
        <v>0</v>
      </c>
      <c r="AF172" s="63">
        <f t="shared" si="68"/>
        <v>180161</v>
      </c>
      <c r="AG172" s="58" t="str">
        <f t="shared" si="69"/>
        <v>ok</v>
      </c>
    </row>
    <row r="173" spans="1:33">
      <c r="A173" s="60">
        <v>539</v>
      </c>
      <c r="B173" s="44" t="s">
        <v>328</v>
      </c>
      <c r="C173" s="44" t="s">
        <v>334</v>
      </c>
      <c r="D173" s="44" t="s">
        <v>646</v>
      </c>
      <c r="F173" s="79">
        <v>348792</v>
      </c>
      <c r="H173" s="63">
        <f t="shared" si="66"/>
        <v>119915.14475583118</v>
      </c>
      <c r="I173" s="63">
        <f t="shared" si="66"/>
        <v>125618.70407959998</v>
      </c>
      <c r="J173" s="63">
        <f t="shared" si="66"/>
        <v>103258.15116456886</v>
      </c>
      <c r="K173" s="63">
        <f t="shared" si="66"/>
        <v>0</v>
      </c>
      <c r="L173" s="63">
        <f t="shared" si="66"/>
        <v>0</v>
      </c>
      <c r="M173" s="63">
        <f t="shared" si="66"/>
        <v>0</v>
      </c>
      <c r="N173" s="63">
        <f t="shared" si="66"/>
        <v>0</v>
      </c>
      <c r="O173" s="63">
        <f t="shared" si="66"/>
        <v>0</v>
      </c>
      <c r="P173" s="63">
        <f t="shared" si="66"/>
        <v>0</v>
      </c>
      <c r="Q173" s="63">
        <f t="shared" si="66"/>
        <v>0</v>
      </c>
      <c r="R173" s="63">
        <f t="shared" si="67"/>
        <v>0</v>
      </c>
      <c r="S173" s="63">
        <f t="shared" si="67"/>
        <v>0</v>
      </c>
      <c r="T173" s="63">
        <f t="shared" si="67"/>
        <v>0</v>
      </c>
      <c r="U173" s="63">
        <f t="shared" si="67"/>
        <v>0</v>
      </c>
      <c r="V173" s="63">
        <f t="shared" si="67"/>
        <v>0</v>
      </c>
      <c r="W173" s="63">
        <f t="shared" si="67"/>
        <v>0</v>
      </c>
      <c r="X173" s="63">
        <f t="shared" si="67"/>
        <v>0</v>
      </c>
      <c r="Y173" s="63">
        <f t="shared" si="67"/>
        <v>0</v>
      </c>
      <c r="Z173" s="63">
        <f t="shared" si="67"/>
        <v>0</v>
      </c>
      <c r="AA173" s="63">
        <f t="shared" si="67"/>
        <v>0</v>
      </c>
      <c r="AB173" s="63">
        <f t="shared" si="67"/>
        <v>0</v>
      </c>
      <c r="AC173" s="63">
        <f t="shared" si="67"/>
        <v>0</v>
      </c>
      <c r="AD173" s="63">
        <f t="shared" si="67"/>
        <v>0</v>
      </c>
      <c r="AE173" s="63">
        <f t="shared" si="67"/>
        <v>0</v>
      </c>
      <c r="AF173" s="63">
        <f t="shared" si="68"/>
        <v>348792</v>
      </c>
      <c r="AG173" s="58" t="str">
        <f t="shared" si="69"/>
        <v>ok</v>
      </c>
    </row>
    <row r="174" spans="1:33">
      <c r="A174" s="275">
        <v>540</v>
      </c>
      <c r="B174" s="44" t="s">
        <v>1004</v>
      </c>
      <c r="D174" s="44" t="s">
        <v>646</v>
      </c>
      <c r="F174" s="79">
        <v>545400</v>
      </c>
      <c r="H174" s="63">
        <f t="shared" si="66"/>
        <v>187509.23171927774</v>
      </c>
      <c r="I174" s="63">
        <f t="shared" si="66"/>
        <v>196427.78849576201</v>
      </c>
      <c r="J174" s="63">
        <f t="shared" si="66"/>
        <v>161462.97978496025</v>
      </c>
      <c r="K174" s="63">
        <f t="shared" si="66"/>
        <v>0</v>
      </c>
      <c r="L174" s="63">
        <f t="shared" si="66"/>
        <v>0</v>
      </c>
      <c r="M174" s="63">
        <f t="shared" si="66"/>
        <v>0</v>
      </c>
      <c r="N174" s="63">
        <f t="shared" si="66"/>
        <v>0</v>
      </c>
      <c r="O174" s="63">
        <f t="shared" si="66"/>
        <v>0</v>
      </c>
      <c r="P174" s="63">
        <f t="shared" si="66"/>
        <v>0</v>
      </c>
      <c r="Q174" s="63">
        <f t="shared" si="66"/>
        <v>0</v>
      </c>
      <c r="R174" s="63">
        <f t="shared" si="67"/>
        <v>0</v>
      </c>
      <c r="S174" s="63">
        <f t="shared" si="67"/>
        <v>0</v>
      </c>
      <c r="T174" s="63">
        <f t="shared" si="67"/>
        <v>0</v>
      </c>
      <c r="U174" s="63">
        <f t="shared" si="67"/>
        <v>0</v>
      </c>
      <c r="V174" s="63">
        <f t="shared" si="67"/>
        <v>0</v>
      </c>
      <c r="W174" s="63">
        <f t="shared" si="67"/>
        <v>0</v>
      </c>
      <c r="X174" s="63">
        <f t="shared" si="67"/>
        <v>0</v>
      </c>
      <c r="Y174" s="63">
        <f t="shared" si="67"/>
        <v>0</v>
      </c>
      <c r="Z174" s="63">
        <f t="shared" si="67"/>
        <v>0</v>
      </c>
      <c r="AA174" s="63">
        <f t="shared" si="67"/>
        <v>0</v>
      </c>
      <c r="AB174" s="63">
        <f t="shared" si="67"/>
        <v>0</v>
      </c>
      <c r="AC174" s="63">
        <f t="shared" si="67"/>
        <v>0</v>
      </c>
      <c r="AD174" s="63">
        <f t="shared" si="67"/>
        <v>0</v>
      </c>
      <c r="AE174" s="63">
        <f t="shared" si="67"/>
        <v>0</v>
      </c>
      <c r="AF174" s="63">
        <f t="shared" si="68"/>
        <v>545400</v>
      </c>
      <c r="AG174" s="58" t="str">
        <f t="shared" si="69"/>
        <v>ok</v>
      </c>
    </row>
    <row r="175" spans="1:33">
      <c r="A175" s="60"/>
      <c r="F175" s="79"/>
      <c r="W175" s="44"/>
      <c r="AF175" s="63"/>
      <c r="AG175" s="58"/>
    </row>
    <row r="176" spans="1:33">
      <c r="A176" s="60"/>
      <c r="B176" s="44" t="s">
        <v>323</v>
      </c>
      <c r="F176" s="76">
        <f>SUM(F169:F175)</f>
        <v>1236373</v>
      </c>
      <c r="H176" s="62">
        <f t="shared" ref="H176:M176" si="70">SUM(H169:H175)</f>
        <v>425066.6508039211</v>
      </c>
      <c r="I176" s="62">
        <f t="shared" si="70"/>
        <v>445284.22102286539</v>
      </c>
      <c r="J176" s="62">
        <f t="shared" si="70"/>
        <v>366022.12817321357</v>
      </c>
      <c r="K176" s="62">
        <f t="shared" si="70"/>
        <v>0</v>
      </c>
      <c r="L176" s="62">
        <f t="shared" si="70"/>
        <v>0</v>
      </c>
      <c r="M176" s="62">
        <f t="shared" si="70"/>
        <v>0</v>
      </c>
      <c r="N176" s="62">
        <f>SUM(N169:N175)</f>
        <v>0</v>
      </c>
      <c r="O176" s="62">
        <f>SUM(O169:O175)</f>
        <v>0</v>
      </c>
      <c r="P176" s="62">
        <f>SUM(P169:P175)</f>
        <v>0</v>
      </c>
      <c r="Q176" s="62">
        <f t="shared" ref="Q176:AB176" si="71">SUM(Q169:Q175)</f>
        <v>0</v>
      </c>
      <c r="R176" s="62">
        <f t="shared" si="71"/>
        <v>0</v>
      </c>
      <c r="S176" s="62">
        <f t="shared" si="71"/>
        <v>0</v>
      </c>
      <c r="T176" s="62">
        <f t="shared" si="71"/>
        <v>0</v>
      </c>
      <c r="U176" s="62">
        <f t="shared" si="71"/>
        <v>0</v>
      </c>
      <c r="V176" s="62">
        <f t="shared" si="71"/>
        <v>0</v>
      </c>
      <c r="W176" s="62">
        <f t="shared" si="71"/>
        <v>0</v>
      </c>
      <c r="X176" s="62">
        <f t="shared" si="71"/>
        <v>0</v>
      </c>
      <c r="Y176" s="62">
        <f t="shared" si="71"/>
        <v>0</v>
      </c>
      <c r="Z176" s="62">
        <f t="shared" si="71"/>
        <v>0</v>
      </c>
      <c r="AA176" s="62">
        <f t="shared" si="71"/>
        <v>0</v>
      </c>
      <c r="AB176" s="62">
        <f t="shared" si="71"/>
        <v>0</v>
      </c>
      <c r="AC176" s="62">
        <f>SUM(AC169:AC175)</f>
        <v>0</v>
      </c>
      <c r="AD176" s="62">
        <f>SUM(AD169:AD175)</f>
        <v>0</v>
      </c>
      <c r="AE176" s="62">
        <f>SUM(AE169:AE175)</f>
        <v>0</v>
      </c>
      <c r="AF176" s="63">
        <f>SUM(H176:AE176)</f>
        <v>1236373</v>
      </c>
      <c r="AG176" s="58" t="str">
        <f>IF(ABS(AF176-F176)&lt;1,"ok","err")</f>
        <v>ok</v>
      </c>
    </row>
    <row r="177" spans="1:33">
      <c r="A177" s="60"/>
      <c r="F177" s="76"/>
      <c r="W177" s="44"/>
      <c r="AG177" s="58"/>
    </row>
    <row r="178" spans="1:33" ht="15">
      <c r="A178" s="65" t="s">
        <v>321</v>
      </c>
      <c r="F178" s="76"/>
      <c r="W178" s="44"/>
      <c r="AG178" s="58"/>
    </row>
    <row r="179" spans="1:33">
      <c r="A179" s="70">
        <v>541</v>
      </c>
      <c r="B179" s="44" t="s">
        <v>224</v>
      </c>
      <c r="C179" s="44" t="s">
        <v>335</v>
      </c>
      <c r="D179" s="44" t="s">
        <v>653</v>
      </c>
      <c r="F179" s="76">
        <v>0</v>
      </c>
      <c r="H179" s="63">
        <f t="shared" ref="H179:Q183" si="72">IF(VLOOKUP($D179,$C$6:$AE$653,H$2,)=0,0,((VLOOKUP($D179,$C$6:$AE$653,H$2,)/VLOOKUP($D179,$C$6:$AE$653,4,))*$F179))</f>
        <v>0</v>
      </c>
      <c r="I179" s="63">
        <f t="shared" si="72"/>
        <v>0</v>
      </c>
      <c r="J179" s="63">
        <f t="shared" si="72"/>
        <v>0</v>
      </c>
      <c r="K179" s="63">
        <f t="shared" si="72"/>
        <v>0</v>
      </c>
      <c r="L179" s="63">
        <f t="shared" si="72"/>
        <v>0</v>
      </c>
      <c r="M179" s="63">
        <f t="shared" si="72"/>
        <v>0</v>
      </c>
      <c r="N179" s="63">
        <f t="shared" si="72"/>
        <v>0</v>
      </c>
      <c r="O179" s="63">
        <f t="shared" si="72"/>
        <v>0</v>
      </c>
      <c r="P179" s="63">
        <f t="shared" si="72"/>
        <v>0</v>
      </c>
      <c r="Q179" s="63">
        <f t="shared" si="72"/>
        <v>0</v>
      </c>
      <c r="R179" s="63">
        <f t="shared" ref="R179:AE183" si="73">IF(VLOOKUP($D179,$C$6:$AE$653,R$2,)=0,0,((VLOOKUP($D179,$C$6:$AE$653,R$2,)/VLOOKUP($D179,$C$6:$AE$653,4,))*$F179))</f>
        <v>0</v>
      </c>
      <c r="S179" s="63">
        <f t="shared" si="73"/>
        <v>0</v>
      </c>
      <c r="T179" s="63">
        <f t="shared" si="73"/>
        <v>0</v>
      </c>
      <c r="U179" s="63">
        <f t="shared" si="73"/>
        <v>0</v>
      </c>
      <c r="V179" s="63">
        <f t="shared" si="73"/>
        <v>0</v>
      </c>
      <c r="W179" s="63">
        <f t="shared" si="73"/>
        <v>0</v>
      </c>
      <c r="X179" s="63">
        <f t="shared" si="73"/>
        <v>0</v>
      </c>
      <c r="Y179" s="63">
        <f t="shared" si="73"/>
        <v>0</v>
      </c>
      <c r="Z179" s="63">
        <f t="shared" si="73"/>
        <v>0</v>
      </c>
      <c r="AA179" s="63">
        <f t="shared" si="73"/>
        <v>0</v>
      </c>
      <c r="AB179" s="63">
        <f t="shared" si="73"/>
        <v>0</v>
      </c>
      <c r="AC179" s="63">
        <f t="shared" si="73"/>
        <v>0</v>
      </c>
      <c r="AD179" s="63">
        <f t="shared" si="73"/>
        <v>0</v>
      </c>
      <c r="AE179" s="63">
        <f t="shared" si="73"/>
        <v>0</v>
      </c>
      <c r="AF179" s="63">
        <f>SUM(H179:AE179)</f>
        <v>0</v>
      </c>
      <c r="AG179" s="58" t="str">
        <f>IF(ABS(AF179-F179)&lt;1,"ok","err")</f>
        <v>ok</v>
      </c>
    </row>
    <row r="180" spans="1:33">
      <c r="A180" s="70">
        <v>542</v>
      </c>
      <c r="B180" s="44" t="s">
        <v>223</v>
      </c>
      <c r="C180" s="44" t="s">
        <v>336</v>
      </c>
      <c r="D180" s="44" t="s">
        <v>646</v>
      </c>
      <c r="F180" s="79">
        <v>244992</v>
      </c>
      <c r="H180" s="63">
        <f t="shared" si="72"/>
        <v>84228.569302107251</v>
      </c>
      <c r="I180" s="63">
        <f t="shared" si="72"/>
        <v>88234.757534201926</v>
      </c>
      <c r="J180" s="63">
        <f t="shared" si="72"/>
        <v>72528.673163690837</v>
      </c>
      <c r="K180" s="63">
        <f t="shared" si="72"/>
        <v>0</v>
      </c>
      <c r="L180" s="63">
        <f t="shared" si="72"/>
        <v>0</v>
      </c>
      <c r="M180" s="63">
        <f t="shared" si="72"/>
        <v>0</v>
      </c>
      <c r="N180" s="63">
        <f t="shared" si="72"/>
        <v>0</v>
      </c>
      <c r="O180" s="63">
        <f t="shared" si="72"/>
        <v>0</v>
      </c>
      <c r="P180" s="63">
        <f t="shared" si="72"/>
        <v>0</v>
      </c>
      <c r="Q180" s="63">
        <f t="shared" si="72"/>
        <v>0</v>
      </c>
      <c r="R180" s="63">
        <f t="shared" si="73"/>
        <v>0</v>
      </c>
      <c r="S180" s="63">
        <f t="shared" si="73"/>
        <v>0</v>
      </c>
      <c r="T180" s="63">
        <f t="shared" si="73"/>
        <v>0</v>
      </c>
      <c r="U180" s="63">
        <f t="shared" si="73"/>
        <v>0</v>
      </c>
      <c r="V180" s="63">
        <f t="shared" si="73"/>
        <v>0</v>
      </c>
      <c r="W180" s="63">
        <f t="shared" si="73"/>
        <v>0</v>
      </c>
      <c r="X180" s="63">
        <f t="shared" si="73"/>
        <v>0</v>
      </c>
      <c r="Y180" s="63">
        <f t="shared" si="73"/>
        <v>0</v>
      </c>
      <c r="Z180" s="63">
        <f t="shared" si="73"/>
        <v>0</v>
      </c>
      <c r="AA180" s="63">
        <f t="shared" si="73"/>
        <v>0</v>
      </c>
      <c r="AB180" s="63">
        <f t="shared" si="73"/>
        <v>0</v>
      </c>
      <c r="AC180" s="63">
        <f t="shared" si="73"/>
        <v>0</v>
      </c>
      <c r="AD180" s="63">
        <f t="shared" si="73"/>
        <v>0</v>
      </c>
      <c r="AE180" s="63">
        <f t="shared" si="73"/>
        <v>0</v>
      </c>
      <c r="AF180" s="63">
        <f>SUM(H180:AE180)</f>
        <v>244992</v>
      </c>
      <c r="AG180" s="58" t="str">
        <f>IF(ABS(AF180-F180)&lt;1,"ok","err")</f>
        <v>ok</v>
      </c>
    </row>
    <row r="181" spans="1:33">
      <c r="A181" s="70">
        <v>543</v>
      </c>
      <c r="B181" s="44" t="s">
        <v>322</v>
      </c>
      <c r="C181" s="44" t="s">
        <v>337</v>
      </c>
      <c r="D181" s="44" t="s">
        <v>646</v>
      </c>
      <c r="F181" s="79">
        <v>190785</v>
      </c>
      <c r="H181" s="63">
        <f t="shared" si="72"/>
        <v>65592.131964727552</v>
      </c>
      <c r="I181" s="63">
        <f t="shared" si="72"/>
        <v>68711.909842618188</v>
      </c>
      <c r="J181" s="63">
        <f t="shared" si="72"/>
        <v>56480.958192654274</v>
      </c>
      <c r="K181" s="63">
        <f t="shared" si="72"/>
        <v>0</v>
      </c>
      <c r="L181" s="63">
        <f t="shared" si="72"/>
        <v>0</v>
      </c>
      <c r="M181" s="63">
        <f t="shared" si="72"/>
        <v>0</v>
      </c>
      <c r="N181" s="63">
        <f t="shared" si="72"/>
        <v>0</v>
      </c>
      <c r="O181" s="63">
        <f t="shared" si="72"/>
        <v>0</v>
      </c>
      <c r="P181" s="63">
        <f t="shared" si="72"/>
        <v>0</v>
      </c>
      <c r="Q181" s="63">
        <f t="shared" si="72"/>
        <v>0</v>
      </c>
      <c r="R181" s="63">
        <f t="shared" si="73"/>
        <v>0</v>
      </c>
      <c r="S181" s="63">
        <f t="shared" si="73"/>
        <v>0</v>
      </c>
      <c r="T181" s="63">
        <f t="shared" si="73"/>
        <v>0</v>
      </c>
      <c r="U181" s="63">
        <f t="shared" si="73"/>
        <v>0</v>
      </c>
      <c r="V181" s="63">
        <f t="shared" si="73"/>
        <v>0</v>
      </c>
      <c r="W181" s="63">
        <f t="shared" si="73"/>
        <v>0</v>
      </c>
      <c r="X181" s="63">
        <f t="shared" si="73"/>
        <v>0</v>
      </c>
      <c r="Y181" s="63">
        <f t="shared" si="73"/>
        <v>0</v>
      </c>
      <c r="Z181" s="63">
        <f t="shared" si="73"/>
        <v>0</v>
      </c>
      <c r="AA181" s="63">
        <f t="shared" si="73"/>
        <v>0</v>
      </c>
      <c r="AB181" s="63">
        <f t="shared" si="73"/>
        <v>0</v>
      </c>
      <c r="AC181" s="63">
        <f t="shared" si="73"/>
        <v>0</v>
      </c>
      <c r="AD181" s="63">
        <f t="shared" si="73"/>
        <v>0</v>
      </c>
      <c r="AE181" s="63">
        <f t="shared" si="73"/>
        <v>0</v>
      </c>
      <c r="AF181" s="63">
        <f>SUM(H181:AE181)</f>
        <v>190785.00000000003</v>
      </c>
      <c r="AG181" s="58" t="str">
        <f>IF(ABS(AF181-F181)&lt;1,"ok","err")</f>
        <v>ok</v>
      </c>
    </row>
    <row r="182" spans="1:33">
      <c r="A182" s="60">
        <v>544</v>
      </c>
      <c r="B182" s="44" t="s">
        <v>227</v>
      </c>
      <c r="C182" s="44" t="s">
        <v>338</v>
      </c>
      <c r="D182" s="44" t="s">
        <v>930</v>
      </c>
      <c r="F182" s="79">
        <v>371119</v>
      </c>
      <c r="H182" s="63">
        <f t="shared" si="72"/>
        <v>0</v>
      </c>
      <c r="I182" s="63">
        <f t="shared" si="72"/>
        <v>0</v>
      </c>
      <c r="J182" s="63">
        <f t="shared" si="72"/>
        <v>0</v>
      </c>
      <c r="K182" s="63">
        <f t="shared" si="72"/>
        <v>371119</v>
      </c>
      <c r="L182" s="63">
        <f t="shared" si="72"/>
        <v>0</v>
      </c>
      <c r="M182" s="63">
        <f t="shared" si="72"/>
        <v>0</v>
      </c>
      <c r="N182" s="63">
        <f t="shared" si="72"/>
        <v>0</v>
      </c>
      <c r="O182" s="63">
        <f t="shared" si="72"/>
        <v>0</v>
      </c>
      <c r="P182" s="63">
        <f t="shared" si="72"/>
        <v>0</v>
      </c>
      <c r="Q182" s="63">
        <f t="shared" si="72"/>
        <v>0</v>
      </c>
      <c r="R182" s="63">
        <f t="shared" si="73"/>
        <v>0</v>
      </c>
      <c r="S182" s="63">
        <f t="shared" si="73"/>
        <v>0</v>
      </c>
      <c r="T182" s="63">
        <f t="shared" si="73"/>
        <v>0</v>
      </c>
      <c r="U182" s="63">
        <f t="shared" si="73"/>
        <v>0</v>
      </c>
      <c r="V182" s="63">
        <f t="shared" si="73"/>
        <v>0</v>
      </c>
      <c r="W182" s="63">
        <f t="shared" si="73"/>
        <v>0</v>
      </c>
      <c r="X182" s="63">
        <f t="shared" si="73"/>
        <v>0</v>
      </c>
      <c r="Y182" s="63">
        <f t="shared" si="73"/>
        <v>0</v>
      </c>
      <c r="Z182" s="63">
        <f t="shared" si="73"/>
        <v>0</v>
      </c>
      <c r="AA182" s="63">
        <f t="shared" si="73"/>
        <v>0</v>
      </c>
      <c r="AB182" s="63">
        <f t="shared" si="73"/>
        <v>0</v>
      </c>
      <c r="AC182" s="63">
        <f t="shared" si="73"/>
        <v>0</v>
      </c>
      <c r="AD182" s="63">
        <f t="shared" si="73"/>
        <v>0</v>
      </c>
      <c r="AE182" s="63">
        <f t="shared" si="73"/>
        <v>0</v>
      </c>
      <c r="AF182" s="63">
        <f>SUM(H182:AE182)</f>
        <v>371119</v>
      </c>
      <c r="AG182" s="58" t="str">
        <f>IF(ABS(AF182-F182)&lt;1,"ok","err")</f>
        <v>ok</v>
      </c>
    </row>
    <row r="183" spans="1:33">
      <c r="A183" s="60">
        <v>545</v>
      </c>
      <c r="B183" s="44" t="s">
        <v>329</v>
      </c>
      <c r="C183" s="44" t="s">
        <v>339</v>
      </c>
      <c r="D183" s="44" t="s">
        <v>930</v>
      </c>
      <c r="F183" s="79">
        <v>58972</v>
      </c>
      <c r="H183" s="63">
        <f t="shared" si="72"/>
        <v>0</v>
      </c>
      <c r="I183" s="63">
        <f t="shared" si="72"/>
        <v>0</v>
      </c>
      <c r="J183" s="63">
        <f t="shared" si="72"/>
        <v>0</v>
      </c>
      <c r="K183" s="63">
        <f t="shared" si="72"/>
        <v>58972</v>
      </c>
      <c r="L183" s="63">
        <f t="shared" si="72"/>
        <v>0</v>
      </c>
      <c r="M183" s="63">
        <f t="shared" si="72"/>
        <v>0</v>
      </c>
      <c r="N183" s="63">
        <f t="shared" si="72"/>
        <v>0</v>
      </c>
      <c r="O183" s="63">
        <f t="shared" si="72"/>
        <v>0</v>
      </c>
      <c r="P183" s="63">
        <f t="shared" si="72"/>
        <v>0</v>
      </c>
      <c r="Q183" s="63">
        <f t="shared" si="72"/>
        <v>0</v>
      </c>
      <c r="R183" s="63">
        <f t="shared" si="73"/>
        <v>0</v>
      </c>
      <c r="S183" s="63">
        <f t="shared" si="73"/>
        <v>0</v>
      </c>
      <c r="T183" s="63">
        <f t="shared" si="73"/>
        <v>0</v>
      </c>
      <c r="U183" s="63">
        <f t="shared" si="73"/>
        <v>0</v>
      </c>
      <c r="V183" s="63">
        <f t="shared" si="73"/>
        <v>0</v>
      </c>
      <c r="W183" s="63">
        <f t="shared" si="73"/>
        <v>0</v>
      </c>
      <c r="X183" s="63">
        <f t="shared" si="73"/>
        <v>0</v>
      </c>
      <c r="Y183" s="63">
        <f t="shared" si="73"/>
        <v>0</v>
      </c>
      <c r="Z183" s="63">
        <f t="shared" si="73"/>
        <v>0</v>
      </c>
      <c r="AA183" s="63">
        <f t="shared" si="73"/>
        <v>0</v>
      </c>
      <c r="AB183" s="63">
        <f t="shared" si="73"/>
        <v>0</v>
      </c>
      <c r="AC183" s="63">
        <f t="shared" si="73"/>
        <v>0</v>
      </c>
      <c r="AD183" s="63">
        <f t="shared" si="73"/>
        <v>0</v>
      </c>
      <c r="AE183" s="63">
        <f t="shared" si="73"/>
        <v>0</v>
      </c>
      <c r="AF183" s="63">
        <f>SUM(H183:AE183)</f>
        <v>58972</v>
      </c>
      <c r="AG183" s="58" t="str">
        <f>IF(ABS(AF183-F183)&lt;1,"ok","err")</f>
        <v>ok</v>
      </c>
    </row>
    <row r="184" spans="1:33">
      <c r="A184" s="60"/>
      <c r="F184" s="76"/>
      <c r="W184" s="44"/>
      <c r="AG184" s="58"/>
    </row>
    <row r="185" spans="1:33">
      <c r="A185" s="60"/>
      <c r="B185" s="44" t="s">
        <v>325</v>
      </c>
      <c r="F185" s="76">
        <f>SUM(F179:F184)</f>
        <v>865868</v>
      </c>
      <c r="H185" s="62">
        <f t="shared" ref="H185:M185" si="74">SUM(H179:H184)</f>
        <v>149820.7012668348</v>
      </c>
      <c r="I185" s="62">
        <f t="shared" si="74"/>
        <v>156946.66737682011</v>
      </c>
      <c r="J185" s="62">
        <f t="shared" si="74"/>
        <v>129009.63135634511</v>
      </c>
      <c r="K185" s="62">
        <f t="shared" si="74"/>
        <v>430091</v>
      </c>
      <c r="L185" s="62">
        <f t="shared" si="74"/>
        <v>0</v>
      </c>
      <c r="M185" s="62">
        <f t="shared" si="74"/>
        <v>0</v>
      </c>
      <c r="N185" s="62">
        <f>SUM(N179:N184)</f>
        <v>0</v>
      </c>
      <c r="O185" s="62">
        <f>SUM(O179:O184)</f>
        <v>0</v>
      </c>
      <c r="P185" s="62">
        <f>SUM(P179:P184)</f>
        <v>0</v>
      </c>
      <c r="Q185" s="62">
        <f t="shared" ref="Q185:AB185" si="75">SUM(Q179:Q184)</f>
        <v>0</v>
      </c>
      <c r="R185" s="62">
        <f t="shared" si="75"/>
        <v>0</v>
      </c>
      <c r="S185" s="62">
        <f t="shared" si="75"/>
        <v>0</v>
      </c>
      <c r="T185" s="62">
        <f t="shared" si="75"/>
        <v>0</v>
      </c>
      <c r="U185" s="62">
        <f t="shared" si="75"/>
        <v>0</v>
      </c>
      <c r="V185" s="62">
        <f t="shared" si="75"/>
        <v>0</v>
      </c>
      <c r="W185" s="62">
        <f t="shared" si="75"/>
        <v>0</v>
      </c>
      <c r="X185" s="62">
        <f t="shared" si="75"/>
        <v>0</v>
      </c>
      <c r="Y185" s="62">
        <f t="shared" si="75"/>
        <v>0</v>
      </c>
      <c r="Z185" s="62">
        <f t="shared" si="75"/>
        <v>0</v>
      </c>
      <c r="AA185" s="62">
        <f t="shared" si="75"/>
        <v>0</v>
      </c>
      <c r="AB185" s="62">
        <f t="shared" si="75"/>
        <v>0</v>
      </c>
      <c r="AC185" s="62">
        <f>SUM(AC179:AC184)</f>
        <v>0</v>
      </c>
      <c r="AD185" s="62">
        <f>SUM(AD179:AD184)</f>
        <v>0</v>
      </c>
      <c r="AE185" s="62">
        <f>SUM(AE179:AE184)</f>
        <v>0</v>
      </c>
      <c r="AF185" s="63">
        <f>SUM(H185:AE185)</f>
        <v>865868</v>
      </c>
      <c r="AG185" s="58" t="str">
        <f>IF(ABS(AF185-F185)&lt;1,"ok","err")</f>
        <v>ok</v>
      </c>
    </row>
    <row r="186" spans="1:33">
      <c r="A186" s="60"/>
      <c r="F186" s="76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3"/>
      <c r="AG186" s="58"/>
    </row>
    <row r="187" spans="1:33">
      <c r="A187" s="60"/>
      <c r="B187" s="44" t="s">
        <v>324</v>
      </c>
      <c r="F187" s="76">
        <f>F176+F185</f>
        <v>2102241</v>
      </c>
      <c r="H187" s="62">
        <f t="shared" ref="H187:M187" si="76">H176+H185</f>
        <v>574887.35207075591</v>
      </c>
      <c r="I187" s="62">
        <f t="shared" si="76"/>
        <v>602230.8883996855</v>
      </c>
      <c r="J187" s="62">
        <f t="shared" si="76"/>
        <v>495031.75952955871</v>
      </c>
      <c r="K187" s="62">
        <f t="shared" si="76"/>
        <v>430091</v>
      </c>
      <c r="L187" s="62">
        <f t="shared" si="76"/>
        <v>0</v>
      </c>
      <c r="M187" s="62">
        <f t="shared" si="76"/>
        <v>0</v>
      </c>
      <c r="N187" s="62">
        <f>N176+N185</f>
        <v>0</v>
      </c>
      <c r="O187" s="62">
        <f>O176+O185</f>
        <v>0</v>
      </c>
      <c r="P187" s="62">
        <f>P176+P185</f>
        <v>0</v>
      </c>
      <c r="Q187" s="62">
        <f t="shared" ref="Q187:AB187" si="77">Q176+Q185</f>
        <v>0</v>
      </c>
      <c r="R187" s="62">
        <f t="shared" si="77"/>
        <v>0</v>
      </c>
      <c r="S187" s="62">
        <f t="shared" si="77"/>
        <v>0</v>
      </c>
      <c r="T187" s="62">
        <f t="shared" si="77"/>
        <v>0</v>
      </c>
      <c r="U187" s="62">
        <f t="shared" si="77"/>
        <v>0</v>
      </c>
      <c r="V187" s="62">
        <f t="shared" si="77"/>
        <v>0</v>
      </c>
      <c r="W187" s="62">
        <f t="shared" si="77"/>
        <v>0</v>
      </c>
      <c r="X187" s="62">
        <f t="shared" si="77"/>
        <v>0</v>
      </c>
      <c r="Y187" s="62">
        <f t="shared" si="77"/>
        <v>0</v>
      </c>
      <c r="Z187" s="62">
        <f t="shared" si="77"/>
        <v>0</v>
      </c>
      <c r="AA187" s="62">
        <f t="shared" si="77"/>
        <v>0</v>
      </c>
      <c r="AB187" s="62">
        <f t="shared" si="77"/>
        <v>0</v>
      </c>
      <c r="AC187" s="62">
        <f>AC176+AC185</f>
        <v>0</v>
      </c>
      <c r="AD187" s="62">
        <f>AD176+AD185</f>
        <v>0</v>
      </c>
      <c r="AE187" s="62">
        <f>AE176+AE185</f>
        <v>0</v>
      </c>
      <c r="AF187" s="63">
        <f>SUM(H187:AE187)</f>
        <v>2102241</v>
      </c>
      <c r="AG187" s="58" t="str">
        <f>IF(ABS(AF187-F187)&lt;1,"ok","err")</f>
        <v>ok</v>
      </c>
    </row>
    <row r="188" spans="1:33">
      <c r="A188" s="60"/>
      <c r="F188" s="76"/>
      <c r="W188" s="44"/>
      <c r="AG188" s="58"/>
    </row>
    <row r="189" spans="1:33" ht="15">
      <c r="A189" s="65" t="s">
        <v>234</v>
      </c>
      <c r="F189" s="76"/>
      <c r="W189" s="44"/>
      <c r="AG189" s="58"/>
    </row>
    <row r="190" spans="1:33">
      <c r="A190" s="60">
        <v>546</v>
      </c>
      <c r="B190" s="44" t="s">
        <v>209</v>
      </c>
      <c r="C190" s="44" t="s">
        <v>235</v>
      </c>
      <c r="D190" s="44" t="s">
        <v>654</v>
      </c>
      <c r="F190" s="76">
        <v>604185</v>
      </c>
      <c r="H190" s="63">
        <f t="shared" ref="H190:Q194" si="78">IF(VLOOKUP($D190,$C$6:$AE$653,H$2,)=0,0,((VLOOKUP($D190,$C$6:$AE$653,H$2,)/VLOOKUP($D190,$C$6:$AE$653,4,))*$F190))</f>
        <v>207719.59143071479</v>
      </c>
      <c r="I190" s="63">
        <f t="shared" si="78"/>
        <v>217599.4194945214</v>
      </c>
      <c r="J190" s="63">
        <f t="shared" si="78"/>
        <v>178865.98907476381</v>
      </c>
      <c r="K190" s="63">
        <f t="shared" si="78"/>
        <v>0</v>
      </c>
      <c r="L190" s="63">
        <f t="shared" si="78"/>
        <v>0</v>
      </c>
      <c r="M190" s="63">
        <f t="shared" si="78"/>
        <v>0</v>
      </c>
      <c r="N190" s="63">
        <f t="shared" si="78"/>
        <v>0</v>
      </c>
      <c r="O190" s="63">
        <f t="shared" si="78"/>
        <v>0</v>
      </c>
      <c r="P190" s="63">
        <f t="shared" si="78"/>
        <v>0</v>
      </c>
      <c r="Q190" s="63">
        <f t="shared" si="78"/>
        <v>0</v>
      </c>
      <c r="R190" s="63">
        <f t="shared" ref="R190:AE194" si="79">IF(VLOOKUP($D190,$C$6:$AE$653,R$2,)=0,0,((VLOOKUP($D190,$C$6:$AE$653,R$2,)/VLOOKUP($D190,$C$6:$AE$653,4,))*$F190))</f>
        <v>0</v>
      </c>
      <c r="S190" s="63">
        <f t="shared" si="79"/>
        <v>0</v>
      </c>
      <c r="T190" s="63">
        <f t="shared" si="79"/>
        <v>0</v>
      </c>
      <c r="U190" s="63">
        <f t="shared" si="79"/>
        <v>0</v>
      </c>
      <c r="V190" s="63">
        <f t="shared" si="79"/>
        <v>0</v>
      </c>
      <c r="W190" s="63">
        <f t="shared" si="79"/>
        <v>0</v>
      </c>
      <c r="X190" s="63">
        <f t="shared" si="79"/>
        <v>0</v>
      </c>
      <c r="Y190" s="63">
        <f t="shared" si="79"/>
        <v>0</v>
      </c>
      <c r="Z190" s="63">
        <f t="shared" si="79"/>
        <v>0</v>
      </c>
      <c r="AA190" s="63">
        <f t="shared" si="79"/>
        <v>0</v>
      </c>
      <c r="AB190" s="63">
        <f t="shared" si="79"/>
        <v>0</v>
      </c>
      <c r="AC190" s="63">
        <f t="shared" si="79"/>
        <v>0</v>
      </c>
      <c r="AD190" s="63">
        <f t="shared" si="79"/>
        <v>0</v>
      </c>
      <c r="AE190" s="63">
        <f t="shared" si="79"/>
        <v>0</v>
      </c>
      <c r="AF190" s="63">
        <f>SUM(H190:AE190)</f>
        <v>604185</v>
      </c>
      <c r="AG190" s="58" t="str">
        <f>IF(ABS(AF190-F190)&lt;1,"ok","err")</f>
        <v>ok</v>
      </c>
    </row>
    <row r="191" spans="1:33">
      <c r="A191" s="60">
        <v>547</v>
      </c>
      <c r="B191" s="44" t="s">
        <v>211</v>
      </c>
      <c r="C191" s="44" t="s">
        <v>236</v>
      </c>
      <c r="D191" s="44" t="s">
        <v>930</v>
      </c>
      <c r="F191" s="79">
        <v>57317664.317857109</v>
      </c>
      <c r="H191" s="63">
        <f t="shared" si="78"/>
        <v>0</v>
      </c>
      <c r="I191" s="63">
        <f t="shared" si="78"/>
        <v>0</v>
      </c>
      <c r="J191" s="63">
        <f t="shared" si="78"/>
        <v>0</v>
      </c>
      <c r="K191" s="63">
        <f t="shared" si="78"/>
        <v>57317664.317857109</v>
      </c>
      <c r="L191" s="63">
        <f t="shared" si="78"/>
        <v>0</v>
      </c>
      <c r="M191" s="63">
        <f t="shared" si="78"/>
        <v>0</v>
      </c>
      <c r="N191" s="63">
        <f t="shared" si="78"/>
        <v>0</v>
      </c>
      <c r="O191" s="63">
        <f t="shared" si="78"/>
        <v>0</v>
      </c>
      <c r="P191" s="63">
        <f t="shared" si="78"/>
        <v>0</v>
      </c>
      <c r="Q191" s="63">
        <f t="shared" si="78"/>
        <v>0</v>
      </c>
      <c r="R191" s="63">
        <f t="shared" si="79"/>
        <v>0</v>
      </c>
      <c r="S191" s="63">
        <f t="shared" si="79"/>
        <v>0</v>
      </c>
      <c r="T191" s="63">
        <f t="shared" si="79"/>
        <v>0</v>
      </c>
      <c r="U191" s="63">
        <f t="shared" si="79"/>
        <v>0</v>
      </c>
      <c r="V191" s="63">
        <f t="shared" si="79"/>
        <v>0</v>
      </c>
      <c r="W191" s="63">
        <f t="shared" si="79"/>
        <v>0</v>
      </c>
      <c r="X191" s="63">
        <f t="shared" si="79"/>
        <v>0</v>
      </c>
      <c r="Y191" s="63">
        <f t="shared" si="79"/>
        <v>0</v>
      </c>
      <c r="Z191" s="63">
        <f t="shared" si="79"/>
        <v>0</v>
      </c>
      <c r="AA191" s="63">
        <f t="shared" si="79"/>
        <v>0</v>
      </c>
      <c r="AB191" s="63">
        <f t="shared" si="79"/>
        <v>0</v>
      </c>
      <c r="AC191" s="63">
        <f t="shared" si="79"/>
        <v>0</v>
      </c>
      <c r="AD191" s="63">
        <f t="shared" si="79"/>
        <v>0</v>
      </c>
      <c r="AE191" s="63">
        <f t="shared" si="79"/>
        <v>0</v>
      </c>
      <c r="AF191" s="63">
        <f>SUM(H191:AE191)</f>
        <v>57317664.317857109</v>
      </c>
      <c r="AG191" s="58" t="str">
        <f>IF(ABS(AF191-F191)&lt;1,"ok","err")</f>
        <v>ok</v>
      </c>
    </row>
    <row r="192" spans="1:33">
      <c r="A192" s="60">
        <v>548</v>
      </c>
      <c r="B192" s="44" t="s">
        <v>237</v>
      </c>
      <c r="C192" s="44" t="s">
        <v>238</v>
      </c>
      <c r="D192" s="44" t="s">
        <v>646</v>
      </c>
      <c r="F192" s="79">
        <v>280735</v>
      </c>
      <c r="H192" s="63">
        <f t="shared" si="78"/>
        <v>96517.059344905458</v>
      </c>
      <c r="I192" s="63">
        <f t="shared" si="78"/>
        <v>101107.72864568711</v>
      </c>
      <c r="J192" s="63">
        <f t="shared" si="78"/>
        <v>83110.212009407434</v>
      </c>
      <c r="K192" s="63">
        <f t="shared" si="78"/>
        <v>0</v>
      </c>
      <c r="L192" s="63">
        <f t="shared" si="78"/>
        <v>0</v>
      </c>
      <c r="M192" s="63">
        <f t="shared" si="78"/>
        <v>0</v>
      </c>
      <c r="N192" s="63">
        <f t="shared" si="78"/>
        <v>0</v>
      </c>
      <c r="O192" s="63">
        <f t="shared" si="78"/>
        <v>0</v>
      </c>
      <c r="P192" s="63">
        <f t="shared" si="78"/>
        <v>0</v>
      </c>
      <c r="Q192" s="63">
        <f t="shared" si="78"/>
        <v>0</v>
      </c>
      <c r="R192" s="63">
        <f t="shared" si="79"/>
        <v>0</v>
      </c>
      <c r="S192" s="63">
        <f t="shared" si="79"/>
        <v>0</v>
      </c>
      <c r="T192" s="63">
        <f t="shared" si="79"/>
        <v>0</v>
      </c>
      <c r="U192" s="63">
        <f t="shared" si="79"/>
        <v>0</v>
      </c>
      <c r="V192" s="63">
        <f t="shared" si="79"/>
        <v>0</v>
      </c>
      <c r="W192" s="63">
        <f t="shared" si="79"/>
        <v>0</v>
      </c>
      <c r="X192" s="63">
        <f t="shared" si="79"/>
        <v>0</v>
      </c>
      <c r="Y192" s="63">
        <f t="shared" si="79"/>
        <v>0</v>
      </c>
      <c r="Z192" s="63">
        <f t="shared" si="79"/>
        <v>0</v>
      </c>
      <c r="AA192" s="63">
        <f t="shared" si="79"/>
        <v>0</v>
      </c>
      <c r="AB192" s="63">
        <f t="shared" si="79"/>
        <v>0</v>
      </c>
      <c r="AC192" s="63">
        <f t="shared" si="79"/>
        <v>0</v>
      </c>
      <c r="AD192" s="63">
        <f t="shared" si="79"/>
        <v>0</v>
      </c>
      <c r="AE192" s="63">
        <f t="shared" si="79"/>
        <v>0</v>
      </c>
      <c r="AF192" s="63">
        <f>SUM(H192:AE192)</f>
        <v>280735</v>
      </c>
      <c r="AG192" s="58" t="str">
        <f>IF(ABS(AF192-F192)&lt;1,"ok","err")</f>
        <v>ok</v>
      </c>
    </row>
    <row r="193" spans="1:33">
      <c r="A193" s="60">
        <v>549</v>
      </c>
      <c r="B193" s="44" t="s">
        <v>239</v>
      </c>
      <c r="C193" s="44" t="s">
        <v>240</v>
      </c>
      <c r="D193" s="44" t="s">
        <v>646</v>
      </c>
      <c r="F193" s="79">
        <v>1105538</v>
      </c>
      <c r="H193" s="63">
        <f t="shared" si="78"/>
        <v>380085.40707089636</v>
      </c>
      <c r="I193" s="63">
        <f t="shared" si="78"/>
        <v>398163.52115516638</v>
      </c>
      <c r="J193" s="63">
        <f t="shared" si="78"/>
        <v>327289.07177393726</v>
      </c>
      <c r="K193" s="63">
        <f t="shared" si="78"/>
        <v>0</v>
      </c>
      <c r="L193" s="63">
        <f t="shared" si="78"/>
        <v>0</v>
      </c>
      <c r="M193" s="63">
        <f t="shared" si="78"/>
        <v>0</v>
      </c>
      <c r="N193" s="63">
        <f t="shared" si="78"/>
        <v>0</v>
      </c>
      <c r="O193" s="63">
        <f t="shared" si="78"/>
        <v>0</v>
      </c>
      <c r="P193" s="63">
        <f t="shared" si="78"/>
        <v>0</v>
      </c>
      <c r="Q193" s="63">
        <f t="shared" si="78"/>
        <v>0</v>
      </c>
      <c r="R193" s="63">
        <f t="shared" si="79"/>
        <v>0</v>
      </c>
      <c r="S193" s="63">
        <f t="shared" si="79"/>
        <v>0</v>
      </c>
      <c r="T193" s="63">
        <f t="shared" si="79"/>
        <v>0</v>
      </c>
      <c r="U193" s="63">
        <f t="shared" si="79"/>
        <v>0</v>
      </c>
      <c r="V193" s="63">
        <f t="shared" si="79"/>
        <v>0</v>
      </c>
      <c r="W193" s="63">
        <f t="shared" si="79"/>
        <v>0</v>
      </c>
      <c r="X193" s="63">
        <f t="shared" si="79"/>
        <v>0</v>
      </c>
      <c r="Y193" s="63">
        <f t="shared" si="79"/>
        <v>0</v>
      </c>
      <c r="Z193" s="63">
        <f t="shared" si="79"/>
        <v>0</v>
      </c>
      <c r="AA193" s="63">
        <f t="shared" si="79"/>
        <v>0</v>
      </c>
      <c r="AB193" s="63">
        <f t="shared" si="79"/>
        <v>0</v>
      </c>
      <c r="AC193" s="63">
        <f t="shared" si="79"/>
        <v>0</v>
      </c>
      <c r="AD193" s="63">
        <f t="shared" si="79"/>
        <v>0</v>
      </c>
      <c r="AE193" s="63">
        <f t="shared" si="79"/>
        <v>0</v>
      </c>
      <c r="AF193" s="63">
        <f>SUM(H193:AE193)</f>
        <v>1105538</v>
      </c>
      <c r="AG193" s="58" t="str">
        <f>IF(ABS(AF193-F193)&lt;1,"ok","err")</f>
        <v>ok</v>
      </c>
    </row>
    <row r="194" spans="1:33">
      <c r="A194" s="60">
        <v>550</v>
      </c>
      <c r="B194" s="44" t="s">
        <v>1004</v>
      </c>
      <c r="C194" s="44" t="s">
        <v>241</v>
      </c>
      <c r="D194" s="44" t="s">
        <v>646</v>
      </c>
      <c r="F194" s="79">
        <v>5706</v>
      </c>
      <c r="H194" s="63">
        <f t="shared" si="78"/>
        <v>1961.7302460399685</v>
      </c>
      <c r="I194" s="63">
        <f t="shared" si="78"/>
        <v>2055.0365991140779</v>
      </c>
      <c r="J194" s="63">
        <f t="shared" si="78"/>
        <v>1689.2331548459538</v>
      </c>
      <c r="K194" s="63">
        <f t="shared" si="78"/>
        <v>0</v>
      </c>
      <c r="L194" s="63">
        <f t="shared" si="78"/>
        <v>0</v>
      </c>
      <c r="M194" s="63">
        <f t="shared" si="78"/>
        <v>0</v>
      </c>
      <c r="N194" s="63">
        <f t="shared" si="78"/>
        <v>0</v>
      </c>
      <c r="O194" s="63">
        <f t="shared" si="78"/>
        <v>0</v>
      </c>
      <c r="P194" s="63">
        <f t="shared" si="78"/>
        <v>0</v>
      </c>
      <c r="Q194" s="63">
        <f t="shared" si="78"/>
        <v>0</v>
      </c>
      <c r="R194" s="63">
        <f t="shared" si="79"/>
        <v>0</v>
      </c>
      <c r="S194" s="63">
        <f t="shared" si="79"/>
        <v>0</v>
      </c>
      <c r="T194" s="63">
        <f t="shared" si="79"/>
        <v>0</v>
      </c>
      <c r="U194" s="63">
        <f t="shared" si="79"/>
        <v>0</v>
      </c>
      <c r="V194" s="63">
        <f t="shared" si="79"/>
        <v>0</v>
      </c>
      <c r="W194" s="63">
        <f t="shared" si="79"/>
        <v>0</v>
      </c>
      <c r="X194" s="63">
        <f t="shared" si="79"/>
        <v>0</v>
      </c>
      <c r="Y194" s="63">
        <f t="shared" si="79"/>
        <v>0</v>
      </c>
      <c r="Z194" s="63">
        <f t="shared" si="79"/>
        <v>0</v>
      </c>
      <c r="AA194" s="63">
        <f t="shared" si="79"/>
        <v>0</v>
      </c>
      <c r="AB194" s="63">
        <f t="shared" si="79"/>
        <v>0</v>
      </c>
      <c r="AC194" s="63">
        <f t="shared" si="79"/>
        <v>0</v>
      </c>
      <c r="AD194" s="63">
        <f t="shared" si="79"/>
        <v>0</v>
      </c>
      <c r="AE194" s="63">
        <f t="shared" si="79"/>
        <v>0</v>
      </c>
      <c r="AF194" s="63">
        <f>SUM(H194:AE194)</f>
        <v>5706</v>
      </c>
      <c r="AG194" s="58" t="str">
        <f>IF(ABS(AF194-F194)&lt;1,"ok","err")</f>
        <v>ok</v>
      </c>
    </row>
    <row r="195" spans="1:33">
      <c r="A195" s="60"/>
      <c r="F195" s="76"/>
      <c r="W195" s="44"/>
      <c r="AF195" s="63"/>
      <c r="AG195" s="58"/>
    </row>
    <row r="196" spans="1:33">
      <c r="A196" s="60"/>
      <c r="B196" s="44" t="s">
        <v>242</v>
      </c>
      <c r="F196" s="76">
        <f>SUM(F190:F195)</f>
        <v>59313828.317857109</v>
      </c>
      <c r="H196" s="62">
        <f t="shared" ref="H196:M196" si="80">SUM(H190:H195)</f>
        <v>686283.78809255653</v>
      </c>
      <c r="I196" s="62">
        <f t="shared" si="80"/>
        <v>718925.70589448896</v>
      </c>
      <c r="J196" s="62">
        <f t="shared" si="80"/>
        <v>590954.50601295452</v>
      </c>
      <c r="K196" s="62">
        <f t="shared" si="80"/>
        <v>57317664.317857109</v>
      </c>
      <c r="L196" s="62">
        <f t="shared" si="80"/>
        <v>0</v>
      </c>
      <c r="M196" s="62">
        <f t="shared" si="80"/>
        <v>0</v>
      </c>
      <c r="N196" s="62">
        <f>SUM(N190:N195)</f>
        <v>0</v>
      </c>
      <c r="O196" s="62">
        <f>SUM(O190:O195)</f>
        <v>0</v>
      </c>
      <c r="P196" s="62">
        <f>SUM(P190:P195)</f>
        <v>0</v>
      </c>
      <c r="Q196" s="62">
        <f t="shared" ref="Q196:AB196" si="81">SUM(Q190:Q195)</f>
        <v>0</v>
      </c>
      <c r="R196" s="62">
        <f t="shared" si="81"/>
        <v>0</v>
      </c>
      <c r="S196" s="62">
        <f t="shared" si="81"/>
        <v>0</v>
      </c>
      <c r="T196" s="62">
        <f t="shared" si="81"/>
        <v>0</v>
      </c>
      <c r="U196" s="62">
        <f t="shared" si="81"/>
        <v>0</v>
      </c>
      <c r="V196" s="62">
        <f t="shared" si="81"/>
        <v>0</v>
      </c>
      <c r="W196" s="62">
        <f t="shared" si="81"/>
        <v>0</v>
      </c>
      <c r="X196" s="62">
        <f t="shared" si="81"/>
        <v>0</v>
      </c>
      <c r="Y196" s="62">
        <f t="shared" si="81"/>
        <v>0</v>
      </c>
      <c r="Z196" s="62">
        <f t="shared" si="81"/>
        <v>0</v>
      </c>
      <c r="AA196" s="62">
        <f t="shared" si="81"/>
        <v>0</v>
      </c>
      <c r="AB196" s="62">
        <f t="shared" si="81"/>
        <v>0</v>
      </c>
      <c r="AC196" s="62">
        <f>SUM(AC190:AC195)</f>
        <v>0</v>
      </c>
      <c r="AD196" s="62">
        <f>SUM(AD190:AD195)</f>
        <v>0</v>
      </c>
      <c r="AE196" s="62">
        <f>SUM(AE190:AE195)</f>
        <v>0</v>
      </c>
      <c r="AF196" s="63">
        <f>SUM(H196:AE196)</f>
        <v>59313828.317857109</v>
      </c>
      <c r="AG196" s="58" t="str">
        <f>IF(ABS(AF196-F196)&lt;1,"ok","err")</f>
        <v>ok</v>
      </c>
    </row>
    <row r="197" spans="1:33">
      <c r="A197" s="60"/>
      <c r="F197" s="76"/>
      <c r="W197" s="44"/>
      <c r="AG197" s="58"/>
    </row>
    <row r="198" spans="1:33" ht="15">
      <c r="A198" s="59" t="s">
        <v>1024</v>
      </c>
      <c r="F198" s="76"/>
      <c r="W198" s="44"/>
      <c r="AG198" s="58"/>
    </row>
    <row r="199" spans="1:33">
      <c r="A199" s="60"/>
      <c r="F199" s="76"/>
      <c r="W199" s="44"/>
      <c r="AG199" s="58"/>
    </row>
    <row r="200" spans="1:33" ht="15">
      <c r="A200" s="65" t="s">
        <v>243</v>
      </c>
      <c r="F200" s="76"/>
      <c r="W200" s="44"/>
      <c r="AG200" s="58"/>
    </row>
    <row r="201" spans="1:33">
      <c r="A201" s="60">
        <v>551</v>
      </c>
      <c r="B201" s="44" t="s">
        <v>224</v>
      </c>
      <c r="C201" s="44" t="s">
        <v>244</v>
      </c>
      <c r="D201" s="44" t="s">
        <v>646</v>
      </c>
      <c r="F201" s="76">
        <v>256698</v>
      </c>
      <c r="H201" s="63">
        <f t="shared" ref="H201:Q204" si="82">IF(VLOOKUP($D201,$C$6:$AE$653,H$2,)=0,0,((VLOOKUP($D201,$C$6:$AE$653,H$2,)/VLOOKUP($D201,$C$6:$AE$653,4,))*$F201))</f>
        <v>88253.107377842243</v>
      </c>
      <c r="I201" s="63">
        <f t="shared" si="82"/>
        <v>92450.715898945942</v>
      </c>
      <c r="J201" s="63">
        <f t="shared" si="82"/>
        <v>75994.176723211815</v>
      </c>
      <c r="K201" s="63">
        <f t="shared" si="82"/>
        <v>0</v>
      </c>
      <c r="L201" s="63">
        <f t="shared" si="82"/>
        <v>0</v>
      </c>
      <c r="M201" s="63">
        <f t="shared" si="82"/>
        <v>0</v>
      </c>
      <c r="N201" s="63">
        <f t="shared" si="82"/>
        <v>0</v>
      </c>
      <c r="O201" s="63">
        <f t="shared" si="82"/>
        <v>0</v>
      </c>
      <c r="P201" s="63">
        <f t="shared" si="82"/>
        <v>0</v>
      </c>
      <c r="Q201" s="63">
        <f t="shared" si="82"/>
        <v>0</v>
      </c>
      <c r="R201" s="63">
        <f t="shared" ref="R201:AE204" si="83">IF(VLOOKUP($D201,$C$6:$AE$653,R$2,)=0,0,((VLOOKUP($D201,$C$6:$AE$653,R$2,)/VLOOKUP($D201,$C$6:$AE$653,4,))*$F201))</f>
        <v>0</v>
      </c>
      <c r="S201" s="63">
        <f t="shared" si="83"/>
        <v>0</v>
      </c>
      <c r="T201" s="63">
        <f t="shared" si="83"/>
        <v>0</v>
      </c>
      <c r="U201" s="63">
        <f t="shared" si="83"/>
        <v>0</v>
      </c>
      <c r="V201" s="63">
        <f t="shared" si="83"/>
        <v>0</v>
      </c>
      <c r="W201" s="63">
        <f t="shared" si="83"/>
        <v>0</v>
      </c>
      <c r="X201" s="63">
        <f t="shared" si="83"/>
        <v>0</v>
      </c>
      <c r="Y201" s="63">
        <f t="shared" si="83"/>
        <v>0</v>
      </c>
      <c r="Z201" s="63">
        <f t="shared" si="83"/>
        <v>0</v>
      </c>
      <c r="AA201" s="63">
        <f t="shared" si="83"/>
        <v>0</v>
      </c>
      <c r="AB201" s="63">
        <f t="shared" si="83"/>
        <v>0</v>
      </c>
      <c r="AC201" s="63">
        <f t="shared" si="83"/>
        <v>0</v>
      </c>
      <c r="AD201" s="63">
        <f t="shared" si="83"/>
        <v>0</v>
      </c>
      <c r="AE201" s="63">
        <f t="shared" si="83"/>
        <v>0</v>
      </c>
      <c r="AF201" s="63">
        <f>SUM(H201:AE201)</f>
        <v>256698</v>
      </c>
      <c r="AG201" s="58" t="str">
        <f>IF(ABS(AF201-F201)&lt;1,"ok","err")</f>
        <v>ok</v>
      </c>
    </row>
    <row r="202" spans="1:33">
      <c r="A202" s="60">
        <v>552</v>
      </c>
      <c r="B202" s="44" t="s">
        <v>223</v>
      </c>
      <c r="C202" s="44" t="s">
        <v>245</v>
      </c>
      <c r="D202" s="44" t="s">
        <v>646</v>
      </c>
      <c r="F202" s="79">
        <v>560673</v>
      </c>
      <c r="H202" s="63">
        <f t="shared" si="82"/>
        <v>192760.10904976641</v>
      </c>
      <c r="I202" s="63">
        <f t="shared" si="82"/>
        <v>201928.41485017305</v>
      </c>
      <c r="J202" s="63">
        <f t="shared" si="82"/>
        <v>165984.47610006054</v>
      </c>
      <c r="K202" s="63">
        <f t="shared" si="82"/>
        <v>0</v>
      </c>
      <c r="L202" s="63">
        <f t="shared" si="82"/>
        <v>0</v>
      </c>
      <c r="M202" s="63">
        <f t="shared" si="82"/>
        <v>0</v>
      </c>
      <c r="N202" s="63">
        <f t="shared" si="82"/>
        <v>0</v>
      </c>
      <c r="O202" s="63">
        <f t="shared" si="82"/>
        <v>0</v>
      </c>
      <c r="P202" s="63">
        <f t="shared" si="82"/>
        <v>0</v>
      </c>
      <c r="Q202" s="63">
        <f t="shared" si="82"/>
        <v>0</v>
      </c>
      <c r="R202" s="63">
        <f t="shared" si="83"/>
        <v>0</v>
      </c>
      <c r="S202" s="63">
        <f t="shared" si="83"/>
        <v>0</v>
      </c>
      <c r="T202" s="63">
        <f t="shared" si="83"/>
        <v>0</v>
      </c>
      <c r="U202" s="63">
        <f t="shared" si="83"/>
        <v>0</v>
      </c>
      <c r="V202" s="63">
        <f t="shared" si="83"/>
        <v>0</v>
      </c>
      <c r="W202" s="63">
        <f t="shared" si="83"/>
        <v>0</v>
      </c>
      <c r="X202" s="63">
        <f t="shared" si="83"/>
        <v>0</v>
      </c>
      <c r="Y202" s="63">
        <f t="shared" si="83"/>
        <v>0</v>
      </c>
      <c r="Z202" s="63">
        <f t="shared" si="83"/>
        <v>0</v>
      </c>
      <c r="AA202" s="63">
        <f t="shared" si="83"/>
        <v>0</v>
      </c>
      <c r="AB202" s="63">
        <f t="shared" si="83"/>
        <v>0</v>
      </c>
      <c r="AC202" s="63">
        <f t="shared" si="83"/>
        <v>0</v>
      </c>
      <c r="AD202" s="63">
        <f t="shared" si="83"/>
        <v>0</v>
      </c>
      <c r="AE202" s="63">
        <f t="shared" si="83"/>
        <v>0</v>
      </c>
      <c r="AF202" s="63">
        <f>SUM(H202:AE202)</f>
        <v>560673</v>
      </c>
      <c r="AG202" s="58" t="str">
        <f>IF(ABS(AF202-F202)&lt;1,"ok","err")</f>
        <v>ok</v>
      </c>
    </row>
    <row r="203" spans="1:33">
      <c r="A203" s="60">
        <v>553</v>
      </c>
      <c r="B203" s="44" t="s">
        <v>246</v>
      </c>
      <c r="C203" s="44" t="s">
        <v>247</v>
      </c>
      <c r="D203" s="44" t="s">
        <v>646</v>
      </c>
      <c r="F203" s="79">
        <v>2652503</v>
      </c>
      <c r="H203" s="63">
        <f t="shared" si="82"/>
        <v>911933.99278159032</v>
      </c>
      <c r="I203" s="63">
        <f t="shared" si="82"/>
        <v>955308.57768312108</v>
      </c>
      <c r="J203" s="63">
        <f t="shared" si="82"/>
        <v>785260.4295352886</v>
      </c>
      <c r="K203" s="63">
        <f t="shared" si="82"/>
        <v>0</v>
      </c>
      <c r="L203" s="63">
        <f t="shared" si="82"/>
        <v>0</v>
      </c>
      <c r="M203" s="63">
        <f t="shared" si="82"/>
        <v>0</v>
      </c>
      <c r="N203" s="63">
        <f t="shared" si="82"/>
        <v>0</v>
      </c>
      <c r="O203" s="63">
        <f t="shared" si="82"/>
        <v>0</v>
      </c>
      <c r="P203" s="63">
        <f t="shared" si="82"/>
        <v>0</v>
      </c>
      <c r="Q203" s="63">
        <f t="shared" si="82"/>
        <v>0</v>
      </c>
      <c r="R203" s="63">
        <f t="shared" si="83"/>
        <v>0</v>
      </c>
      <c r="S203" s="63">
        <f t="shared" si="83"/>
        <v>0</v>
      </c>
      <c r="T203" s="63">
        <f t="shared" si="83"/>
        <v>0</v>
      </c>
      <c r="U203" s="63">
        <f t="shared" si="83"/>
        <v>0</v>
      </c>
      <c r="V203" s="63">
        <f t="shared" si="83"/>
        <v>0</v>
      </c>
      <c r="W203" s="63">
        <f t="shared" si="83"/>
        <v>0</v>
      </c>
      <c r="X203" s="63">
        <f t="shared" si="83"/>
        <v>0</v>
      </c>
      <c r="Y203" s="63">
        <f t="shared" si="83"/>
        <v>0</v>
      </c>
      <c r="Z203" s="63">
        <f t="shared" si="83"/>
        <v>0</v>
      </c>
      <c r="AA203" s="63">
        <f t="shared" si="83"/>
        <v>0</v>
      </c>
      <c r="AB203" s="63">
        <f t="shared" si="83"/>
        <v>0</v>
      </c>
      <c r="AC203" s="63">
        <f t="shared" si="83"/>
        <v>0</v>
      </c>
      <c r="AD203" s="63">
        <f t="shared" si="83"/>
        <v>0</v>
      </c>
      <c r="AE203" s="63">
        <f t="shared" si="83"/>
        <v>0</v>
      </c>
      <c r="AF203" s="63">
        <f>SUM(H203:AE203)</f>
        <v>2652503</v>
      </c>
      <c r="AG203" s="58" t="str">
        <f>IF(ABS(AF203-F203)&lt;1,"ok","err")</f>
        <v>ok</v>
      </c>
    </row>
    <row r="204" spans="1:33">
      <c r="A204" s="60">
        <v>554</v>
      </c>
      <c r="B204" s="44" t="s">
        <v>248</v>
      </c>
      <c r="C204" s="44" t="s">
        <v>249</v>
      </c>
      <c r="D204" s="44" t="s">
        <v>646</v>
      </c>
      <c r="F204" s="79">
        <v>1112788</v>
      </c>
      <c r="H204" s="63">
        <f t="shared" si="82"/>
        <v>382577.96653177787</v>
      </c>
      <c r="I204" s="63">
        <f t="shared" si="82"/>
        <v>400774.63495530258</v>
      </c>
      <c r="J204" s="63">
        <f t="shared" si="82"/>
        <v>329435.39851291955</v>
      </c>
      <c r="K204" s="63">
        <f t="shared" si="82"/>
        <v>0</v>
      </c>
      <c r="L204" s="63">
        <f t="shared" si="82"/>
        <v>0</v>
      </c>
      <c r="M204" s="63">
        <f t="shared" si="82"/>
        <v>0</v>
      </c>
      <c r="N204" s="63">
        <f t="shared" si="82"/>
        <v>0</v>
      </c>
      <c r="O204" s="63">
        <f t="shared" si="82"/>
        <v>0</v>
      </c>
      <c r="P204" s="63">
        <f t="shared" si="82"/>
        <v>0</v>
      </c>
      <c r="Q204" s="63">
        <f t="shared" si="82"/>
        <v>0</v>
      </c>
      <c r="R204" s="63">
        <f t="shared" si="83"/>
        <v>0</v>
      </c>
      <c r="S204" s="63">
        <f t="shared" si="83"/>
        <v>0</v>
      </c>
      <c r="T204" s="63">
        <f t="shared" si="83"/>
        <v>0</v>
      </c>
      <c r="U204" s="63">
        <f t="shared" si="83"/>
        <v>0</v>
      </c>
      <c r="V204" s="63">
        <f t="shared" si="83"/>
        <v>0</v>
      </c>
      <c r="W204" s="63">
        <f t="shared" si="83"/>
        <v>0</v>
      </c>
      <c r="X204" s="63">
        <f t="shared" si="83"/>
        <v>0</v>
      </c>
      <c r="Y204" s="63">
        <f t="shared" si="83"/>
        <v>0</v>
      </c>
      <c r="Z204" s="63">
        <f t="shared" si="83"/>
        <v>0</v>
      </c>
      <c r="AA204" s="63">
        <f t="shared" si="83"/>
        <v>0</v>
      </c>
      <c r="AB204" s="63">
        <f t="shared" si="83"/>
        <v>0</v>
      </c>
      <c r="AC204" s="63">
        <f t="shared" si="83"/>
        <v>0</v>
      </c>
      <c r="AD204" s="63">
        <f t="shared" si="83"/>
        <v>0</v>
      </c>
      <c r="AE204" s="63">
        <f t="shared" si="83"/>
        <v>0</v>
      </c>
      <c r="AF204" s="63">
        <f>SUM(H204:AE204)</f>
        <v>1112788</v>
      </c>
      <c r="AG204" s="58" t="str">
        <f>IF(ABS(AF204-F204)&lt;1,"ok","err")</f>
        <v>ok</v>
      </c>
    </row>
    <row r="205" spans="1:33">
      <c r="A205" s="60"/>
      <c r="F205" s="76"/>
      <c r="W205" s="44"/>
      <c r="AG205" s="58"/>
    </row>
    <row r="206" spans="1:33">
      <c r="A206" s="60"/>
      <c r="B206" s="44" t="s">
        <v>251</v>
      </c>
      <c r="F206" s="76">
        <f>SUM(F201:F205)</f>
        <v>4582662</v>
      </c>
      <c r="H206" s="62">
        <f t="shared" ref="H206:M206" si="84">SUM(H201:H205)</f>
        <v>1575525.1757409768</v>
      </c>
      <c r="I206" s="62">
        <f t="shared" si="84"/>
        <v>1650462.3433875425</v>
      </c>
      <c r="J206" s="62">
        <f t="shared" si="84"/>
        <v>1356674.4808714804</v>
      </c>
      <c r="K206" s="62">
        <f t="shared" si="84"/>
        <v>0</v>
      </c>
      <c r="L206" s="62">
        <f t="shared" si="84"/>
        <v>0</v>
      </c>
      <c r="M206" s="62">
        <f t="shared" si="84"/>
        <v>0</v>
      </c>
      <c r="N206" s="62">
        <f>SUM(N201:N205)</f>
        <v>0</v>
      </c>
      <c r="O206" s="62">
        <f>SUM(O201:O205)</f>
        <v>0</v>
      </c>
      <c r="P206" s="62">
        <f>SUM(P201:P205)</f>
        <v>0</v>
      </c>
      <c r="Q206" s="62">
        <f t="shared" ref="Q206:AB206" si="85">SUM(Q201:Q205)</f>
        <v>0</v>
      </c>
      <c r="R206" s="62">
        <f t="shared" si="85"/>
        <v>0</v>
      </c>
      <c r="S206" s="62">
        <f t="shared" si="85"/>
        <v>0</v>
      </c>
      <c r="T206" s="62">
        <f t="shared" si="85"/>
        <v>0</v>
      </c>
      <c r="U206" s="62">
        <f t="shared" si="85"/>
        <v>0</v>
      </c>
      <c r="V206" s="62">
        <f t="shared" si="85"/>
        <v>0</v>
      </c>
      <c r="W206" s="62">
        <f t="shared" si="85"/>
        <v>0</v>
      </c>
      <c r="X206" s="62">
        <f t="shared" si="85"/>
        <v>0</v>
      </c>
      <c r="Y206" s="62">
        <f t="shared" si="85"/>
        <v>0</v>
      </c>
      <c r="Z206" s="62">
        <f t="shared" si="85"/>
        <v>0</v>
      </c>
      <c r="AA206" s="62">
        <f t="shared" si="85"/>
        <v>0</v>
      </c>
      <c r="AB206" s="62">
        <f t="shared" si="85"/>
        <v>0</v>
      </c>
      <c r="AC206" s="62">
        <f>SUM(AC201:AC205)</f>
        <v>0</v>
      </c>
      <c r="AD206" s="62">
        <f>SUM(AD201:AD205)</f>
        <v>0</v>
      </c>
      <c r="AE206" s="62">
        <f>SUM(AE201:AE205)</f>
        <v>0</v>
      </c>
      <c r="AF206" s="63">
        <f>SUM(H206:AE206)</f>
        <v>4582662</v>
      </c>
      <c r="AG206" s="58" t="str">
        <f>IF(ABS(AF206-F206)&lt;1,"ok","err")</f>
        <v>ok</v>
      </c>
    </row>
    <row r="207" spans="1:33">
      <c r="A207" s="60"/>
      <c r="F207" s="76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3"/>
      <c r="AG207" s="58"/>
    </row>
    <row r="208" spans="1:33">
      <c r="A208" s="60"/>
      <c r="B208" s="44" t="s">
        <v>250</v>
      </c>
      <c r="F208" s="76">
        <f>F196+F206</f>
        <v>63896490.317857109</v>
      </c>
      <c r="H208" s="62">
        <f t="shared" ref="H208:M208" si="86">H196+H206</f>
        <v>2261808.9638335332</v>
      </c>
      <c r="I208" s="62">
        <f t="shared" si="86"/>
        <v>2369388.0492820316</v>
      </c>
      <c r="J208" s="62">
        <f t="shared" si="86"/>
        <v>1947628.9868844349</v>
      </c>
      <c r="K208" s="62">
        <f t="shared" si="86"/>
        <v>57317664.317857109</v>
      </c>
      <c r="L208" s="62">
        <f t="shared" si="86"/>
        <v>0</v>
      </c>
      <c r="M208" s="62">
        <f t="shared" si="86"/>
        <v>0</v>
      </c>
      <c r="N208" s="62">
        <f>N196+N206</f>
        <v>0</v>
      </c>
      <c r="O208" s="62">
        <f>O196+O206</f>
        <v>0</v>
      </c>
      <c r="P208" s="62">
        <f>P196+P206</f>
        <v>0</v>
      </c>
      <c r="Q208" s="62">
        <f t="shared" ref="Q208:AB208" si="87">Q196+Q206</f>
        <v>0</v>
      </c>
      <c r="R208" s="62">
        <f t="shared" si="87"/>
        <v>0</v>
      </c>
      <c r="S208" s="62">
        <f t="shared" si="87"/>
        <v>0</v>
      </c>
      <c r="T208" s="62">
        <f t="shared" si="87"/>
        <v>0</v>
      </c>
      <c r="U208" s="62">
        <f t="shared" si="87"/>
        <v>0</v>
      </c>
      <c r="V208" s="62">
        <f t="shared" si="87"/>
        <v>0</v>
      </c>
      <c r="W208" s="62">
        <f t="shared" si="87"/>
        <v>0</v>
      </c>
      <c r="X208" s="62">
        <f t="shared" si="87"/>
        <v>0</v>
      </c>
      <c r="Y208" s="62">
        <f t="shared" si="87"/>
        <v>0</v>
      </c>
      <c r="Z208" s="62">
        <f t="shared" si="87"/>
        <v>0</v>
      </c>
      <c r="AA208" s="62">
        <f t="shared" si="87"/>
        <v>0</v>
      </c>
      <c r="AB208" s="62">
        <f t="shared" si="87"/>
        <v>0</v>
      </c>
      <c r="AC208" s="62">
        <f>AC196+AC206</f>
        <v>0</v>
      </c>
      <c r="AD208" s="62">
        <f>AD196+AD206</f>
        <v>0</v>
      </c>
      <c r="AE208" s="62">
        <f>AE196+AE206</f>
        <v>0</v>
      </c>
      <c r="AF208" s="63">
        <f>SUM(H208:AE208)</f>
        <v>63896490.317857109</v>
      </c>
      <c r="AG208" s="58" t="str">
        <f>IF(ABS(AF208-F208)&lt;1,"ok","err")</f>
        <v>ok</v>
      </c>
    </row>
    <row r="209" spans="1:33">
      <c r="A209" s="60"/>
      <c r="F209" s="76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3"/>
      <c r="AG209" s="58"/>
    </row>
    <row r="210" spans="1:33">
      <c r="A210" s="60"/>
      <c r="B210" s="44" t="s">
        <v>252</v>
      </c>
      <c r="F210" s="76">
        <f>F166+F187+F208</f>
        <v>455155390.02952063</v>
      </c>
      <c r="H210" s="62">
        <f t="shared" ref="H210:M210" si="88">H166+H187+H208</f>
        <v>16376100.132399596</v>
      </c>
      <c r="I210" s="62">
        <f t="shared" si="88"/>
        <v>17155001.402854659</v>
      </c>
      <c r="J210" s="62">
        <f t="shared" si="88"/>
        <v>14101353.306127802</v>
      </c>
      <c r="K210" s="62">
        <f t="shared" si="88"/>
        <v>407522935.18813854</v>
      </c>
      <c r="L210" s="62">
        <f t="shared" si="88"/>
        <v>0</v>
      </c>
      <c r="M210" s="62">
        <f t="shared" si="88"/>
        <v>0</v>
      </c>
      <c r="N210" s="62">
        <f>N166+N187+N208</f>
        <v>0</v>
      </c>
      <c r="O210" s="62">
        <f>O166+O187+O208</f>
        <v>0</v>
      </c>
      <c r="P210" s="62">
        <f>P166+P187+P208</f>
        <v>0</v>
      </c>
      <c r="Q210" s="62">
        <f t="shared" ref="Q210:AB210" si="89">Q166+Q187+Q208</f>
        <v>0</v>
      </c>
      <c r="R210" s="62">
        <f t="shared" si="89"/>
        <v>0</v>
      </c>
      <c r="S210" s="62">
        <f t="shared" si="89"/>
        <v>0</v>
      </c>
      <c r="T210" s="62">
        <f t="shared" si="89"/>
        <v>0</v>
      </c>
      <c r="U210" s="62">
        <f t="shared" si="89"/>
        <v>0</v>
      </c>
      <c r="V210" s="62">
        <f t="shared" si="89"/>
        <v>0</v>
      </c>
      <c r="W210" s="62">
        <f t="shared" si="89"/>
        <v>0</v>
      </c>
      <c r="X210" s="62">
        <f t="shared" si="89"/>
        <v>0</v>
      </c>
      <c r="Y210" s="62">
        <f t="shared" si="89"/>
        <v>0</v>
      </c>
      <c r="Z210" s="62">
        <f t="shared" si="89"/>
        <v>0</v>
      </c>
      <c r="AA210" s="62">
        <f t="shared" si="89"/>
        <v>0</v>
      </c>
      <c r="AB210" s="62">
        <f t="shared" si="89"/>
        <v>0</v>
      </c>
      <c r="AC210" s="62">
        <f>AC166+AC187+AC208</f>
        <v>0</v>
      </c>
      <c r="AD210" s="62">
        <f>AD166+AD187+AD208</f>
        <v>0</v>
      </c>
      <c r="AE210" s="62">
        <f>AE166+AE187+AE208</f>
        <v>0</v>
      </c>
      <c r="AF210" s="63">
        <f>SUM(H210:AE210)</f>
        <v>455155390.02952063</v>
      </c>
      <c r="AG210" s="58" t="str">
        <f>IF(ABS(AF210-F210)&lt;1,"ok","err")</f>
        <v>ok</v>
      </c>
    </row>
    <row r="211" spans="1:33">
      <c r="A211" s="60"/>
      <c r="W211" s="44"/>
      <c r="AG211" s="58"/>
    </row>
    <row r="212" spans="1:33" ht="15">
      <c r="A212" s="65" t="s">
        <v>253</v>
      </c>
      <c r="W212" s="44"/>
      <c r="AG212" s="58"/>
    </row>
    <row r="213" spans="1:33">
      <c r="A213" s="60">
        <v>555</v>
      </c>
      <c r="B213" s="44" t="s">
        <v>1151</v>
      </c>
      <c r="C213" s="44" t="s">
        <v>6</v>
      </c>
      <c r="D213" s="44" t="s">
        <v>986</v>
      </c>
      <c r="F213" s="76">
        <v>53937677.621999964</v>
      </c>
      <c r="G213" s="62"/>
      <c r="H213" s="63">
        <f t="shared" ref="H213:Q219" si="90">IF(VLOOKUP($D213,$C$6:$AE$653,H$2,)=0,0,((VLOOKUP($D213,$C$6:$AE$653,H$2,)/VLOOKUP($D213,$C$6:$AE$653,4,))*$F213))</f>
        <v>5575352.811538578</v>
      </c>
      <c r="I213" s="63">
        <f t="shared" si="90"/>
        <v>5840534.9582665889</v>
      </c>
      <c r="J213" s="63">
        <f t="shared" si="90"/>
        <v>4800900.0412907358</v>
      </c>
      <c r="K213" s="63">
        <f t="shared" si="90"/>
        <v>37720889.810904063</v>
      </c>
      <c r="L213" s="63">
        <f t="shared" si="90"/>
        <v>0</v>
      </c>
      <c r="M213" s="63">
        <f t="shared" si="90"/>
        <v>0</v>
      </c>
      <c r="N213" s="63">
        <f t="shared" si="90"/>
        <v>0</v>
      </c>
      <c r="O213" s="63">
        <f t="shared" si="90"/>
        <v>0</v>
      </c>
      <c r="P213" s="63">
        <f t="shared" si="90"/>
        <v>0</v>
      </c>
      <c r="Q213" s="63">
        <f t="shared" si="90"/>
        <v>0</v>
      </c>
      <c r="R213" s="63">
        <f t="shared" ref="R213:AE219" si="91">IF(VLOOKUP($D213,$C$6:$AE$653,R$2,)=0,0,((VLOOKUP($D213,$C$6:$AE$653,R$2,)/VLOOKUP($D213,$C$6:$AE$653,4,))*$F213))</f>
        <v>0</v>
      </c>
      <c r="S213" s="63">
        <f t="shared" si="91"/>
        <v>0</v>
      </c>
      <c r="T213" s="63">
        <f t="shared" si="91"/>
        <v>0</v>
      </c>
      <c r="U213" s="63">
        <f t="shared" si="91"/>
        <v>0</v>
      </c>
      <c r="V213" s="63">
        <f t="shared" si="91"/>
        <v>0</v>
      </c>
      <c r="W213" s="63">
        <f t="shared" si="91"/>
        <v>0</v>
      </c>
      <c r="X213" s="63">
        <f t="shared" si="91"/>
        <v>0</v>
      </c>
      <c r="Y213" s="63">
        <f t="shared" si="91"/>
        <v>0</v>
      </c>
      <c r="Z213" s="63">
        <f t="shared" si="91"/>
        <v>0</v>
      </c>
      <c r="AA213" s="63">
        <f t="shared" si="91"/>
        <v>0</v>
      </c>
      <c r="AB213" s="63">
        <f t="shared" si="91"/>
        <v>0</v>
      </c>
      <c r="AC213" s="63">
        <f t="shared" si="91"/>
        <v>0</v>
      </c>
      <c r="AD213" s="63">
        <f t="shared" si="91"/>
        <v>0</v>
      </c>
      <c r="AE213" s="63">
        <f t="shared" si="91"/>
        <v>0</v>
      </c>
      <c r="AF213" s="63">
        <f t="shared" ref="AF213:AF219" si="92">SUM(H213:AE213)</f>
        <v>53937677.621999964</v>
      </c>
      <c r="AG213" s="58" t="str">
        <f t="shared" ref="AG213:AG219" si="93">IF(ABS(AF213-F213)&lt;1,"ok","err")</f>
        <v>ok</v>
      </c>
    </row>
    <row r="214" spans="1:33">
      <c r="A214" s="60">
        <v>555</v>
      </c>
      <c r="B214" s="44" t="s">
        <v>254</v>
      </c>
      <c r="C214" s="44" t="s">
        <v>255</v>
      </c>
      <c r="D214" s="44" t="s">
        <v>986</v>
      </c>
      <c r="F214" s="79">
        <v>0</v>
      </c>
      <c r="G214" s="62"/>
      <c r="H214" s="63">
        <f t="shared" si="90"/>
        <v>0</v>
      </c>
      <c r="I214" s="63">
        <f t="shared" si="90"/>
        <v>0</v>
      </c>
      <c r="J214" s="63">
        <f t="shared" si="90"/>
        <v>0</v>
      </c>
      <c r="K214" s="63">
        <f t="shared" si="90"/>
        <v>0</v>
      </c>
      <c r="L214" s="63">
        <f t="shared" si="90"/>
        <v>0</v>
      </c>
      <c r="M214" s="63">
        <f t="shared" si="90"/>
        <v>0</v>
      </c>
      <c r="N214" s="63">
        <f t="shared" si="90"/>
        <v>0</v>
      </c>
      <c r="O214" s="63">
        <f t="shared" si="90"/>
        <v>0</v>
      </c>
      <c r="P214" s="63">
        <f t="shared" si="90"/>
        <v>0</v>
      </c>
      <c r="Q214" s="63">
        <f t="shared" si="90"/>
        <v>0</v>
      </c>
      <c r="R214" s="63">
        <f t="shared" si="91"/>
        <v>0</v>
      </c>
      <c r="S214" s="63">
        <f t="shared" si="91"/>
        <v>0</v>
      </c>
      <c r="T214" s="63">
        <f t="shared" si="91"/>
        <v>0</v>
      </c>
      <c r="U214" s="63">
        <f t="shared" si="91"/>
        <v>0</v>
      </c>
      <c r="V214" s="63">
        <f t="shared" si="91"/>
        <v>0</v>
      </c>
      <c r="W214" s="63">
        <f t="shared" si="91"/>
        <v>0</v>
      </c>
      <c r="X214" s="63">
        <f t="shared" si="91"/>
        <v>0</v>
      </c>
      <c r="Y214" s="63">
        <f t="shared" si="91"/>
        <v>0</v>
      </c>
      <c r="Z214" s="63">
        <f t="shared" si="91"/>
        <v>0</v>
      </c>
      <c r="AA214" s="63">
        <f t="shared" si="91"/>
        <v>0</v>
      </c>
      <c r="AB214" s="63">
        <f t="shared" si="91"/>
        <v>0</v>
      </c>
      <c r="AC214" s="63">
        <f t="shared" si="91"/>
        <v>0</v>
      </c>
      <c r="AD214" s="63">
        <f t="shared" si="91"/>
        <v>0</v>
      </c>
      <c r="AE214" s="63">
        <f t="shared" si="91"/>
        <v>0</v>
      </c>
      <c r="AF214" s="63">
        <f t="shared" si="92"/>
        <v>0</v>
      </c>
      <c r="AG214" s="58" t="str">
        <f t="shared" si="93"/>
        <v>ok</v>
      </c>
    </row>
    <row r="215" spans="1:33">
      <c r="A215" s="60">
        <v>555</v>
      </c>
      <c r="B215" s="44" t="s">
        <v>256</v>
      </c>
      <c r="C215" s="44" t="s">
        <v>257</v>
      </c>
      <c r="D215" s="44" t="s">
        <v>986</v>
      </c>
      <c r="F215" s="79">
        <v>0</v>
      </c>
      <c r="G215" s="62"/>
      <c r="H215" s="63">
        <f t="shared" si="90"/>
        <v>0</v>
      </c>
      <c r="I215" s="63">
        <f t="shared" si="90"/>
        <v>0</v>
      </c>
      <c r="J215" s="63">
        <f t="shared" si="90"/>
        <v>0</v>
      </c>
      <c r="K215" s="63">
        <f t="shared" si="90"/>
        <v>0</v>
      </c>
      <c r="L215" s="63">
        <f t="shared" si="90"/>
        <v>0</v>
      </c>
      <c r="M215" s="63">
        <f t="shared" si="90"/>
        <v>0</v>
      </c>
      <c r="N215" s="63">
        <f t="shared" si="90"/>
        <v>0</v>
      </c>
      <c r="O215" s="63">
        <f t="shared" si="90"/>
        <v>0</v>
      </c>
      <c r="P215" s="63">
        <f t="shared" si="90"/>
        <v>0</v>
      </c>
      <c r="Q215" s="63">
        <f t="shared" si="90"/>
        <v>0</v>
      </c>
      <c r="R215" s="63">
        <f t="shared" si="91"/>
        <v>0</v>
      </c>
      <c r="S215" s="63">
        <f t="shared" si="91"/>
        <v>0</v>
      </c>
      <c r="T215" s="63">
        <f t="shared" si="91"/>
        <v>0</v>
      </c>
      <c r="U215" s="63">
        <f t="shared" si="91"/>
        <v>0</v>
      </c>
      <c r="V215" s="63">
        <f t="shared" si="91"/>
        <v>0</v>
      </c>
      <c r="W215" s="63">
        <f t="shared" si="91"/>
        <v>0</v>
      </c>
      <c r="X215" s="63">
        <f t="shared" si="91"/>
        <v>0</v>
      </c>
      <c r="Y215" s="63">
        <f t="shared" si="91"/>
        <v>0</v>
      </c>
      <c r="Z215" s="63">
        <f t="shared" si="91"/>
        <v>0</v>
      </c>
      <c r="AA215" s="63">
        <f t="shared" si="91"/>
        <v>0</v>
      </c>
      <c r="AB215" s="63">
        <f t="shared" si="91"/>
        <v>0</v>
      </c>
      <c r="AC215" s="63">
        <f t="shared" si="91"/>
        <v>0</v>
      </c>
      <c r="AD215" s="63">
        <f t="shared" si="91"/>
        <v>0</v>
      </c>
      <c r="AE215" s="63">
        <f t="shared" si="91"/>
        <v>0</v>
      </c>
      <c r="AF215" s="63">
        <f t="shared" si="92"/>
        <v>0</v>
      </c>
      <c r="AG215" s="58" t="str">
        <f t="shared" si="93"/>
        <v>ok</v>
      </c>
    </row>
    <row r="216" spans="1:33">
      <c r="A216" s="60">
        <v>555</v>
      </c>
      <c r="B216" s="44" t="s">
        <v>258</v>
      </c>
      <c r="C216" s="44" t="s">
        <v>259</v>
      </c>
      <c r="D216" s="44" t="s">
        <v>986</v>
      </c>
      <c r="F216" s="79">
        <v>0</v>
      </c>
      <c r="G216" s="62"/>
      <c r="H216" s="63">
        <f t="shared" si="90"/>
        <v>0</v>
      </c>
      <c r="I216" s="63">
        <f t="shared" si="90"/>
        <v>0</v>
      </c>
      <c r="J216" s="63">
        <f t="shared" si="90"/>
        <v>0</v>
      </c>
      <c r="K216" s="63">
        <f t="shared" si="90"/>
        <v>0</v>
      </c>
      <c r="L216" s="63">
        <f t="shared" si="90"/>
        <v>0</v>
      </c>
      <c r="M216" s="63">
        <f t="shared" si="90"/>
        <v>0</v>
      </c>
      <c r="N216" s="63">
        <f t="shared" si="90"/>
        <v>0</v>
      </c>
      <c r="O216" s="63">
        <f t="shared" si="90"/>
        <v>0</v>
      </c>
      <c r="P216" s="63">
        <f t="shared" si="90"/>
        <v>0</v>
      </c>
      <c r="Q216" s="63">
        <f t="shared" si="90"/>
        <v>0</v>
      </c>
      <c r="R216" s="63">
        <f t="shared" si="91"/>
        <v>0</v>
      </c>
      <c r="S216" s="63">
        <f t="shared" si="91"/>
        <v>0</v>
      </c>
      <c r="T216" s="63">
        <f t="shared" si="91"/>
        <v>0</v>
      </c>
      <c r="U216" s="63">
        <f t="shared" si="91"/>
        <v>0</v>
      </c>
      <c r="V216" s="63">
        <f t="shared" si="91"/>
        <v>0</v>
      </c>
      <c r="W216" s="63">
        <f t="shared" si="91"/>
        <v>0</v>
      </c>
      <c r="X216" s="63">
        <f t="shared" si="91"/>
        <v>0</v>
      </c>
      <c r="Y216" s="63">
        <f t="shared" si="91"/>
        <v>0</v>
      </c>
      <c r="Z216" s="63">
        <f t="shared" si="91"/>
        <v>0</v>
      </c>
      <c r="AA216" s="63">
        <f t="shared" si="91"/>
        <v>0</v>
      </c>
      <c r="AB216" s="63">
        <f t="shared" si="91"/>
        <v>0</v>
      </c>
      <c r="AC216" s="63">
        <f t="shared" si="91"/>
        <v>0</v>
      </c>
      <c r="AD216" s="63">
        <f t="shared" si="91"/>
        <v>0</v>
      </c>
      <c r="AE216" s="63">
        <f t="shared" si="91"/>
        <v>0</v>
      </c>
      <c r="AF216" s="63">
        <f t="shared" si="92"/>
        <v>0</v>
      </c>
      <c r="AG216" s="58" t="str">
        <f t="shared" si="93"/>
        <v>ok</v>
      </c>
    </row>
    <row r="217" spans="1:33">
      <c r="A217" s="60">
        <v>556</v>
      </c>
      <c r="B217" s="44" t="s">
        <v>260</v>
      </c>
      <c r="C217" s="44" t="s">
        <v>261</v>
      </c>
      <c r="D217" s="44" t="s">
        <v>646</v>
      </c>
      <c r="F217" s="79">
        <v>1248388</v>
      </c>
      <c r="G217" s="62"/>
      <c r="H217" s="63">
        <f t="shared" si="90"/>
        <v>429197.42348288541</v>
      </c>
      <c r="I217" s="63">
        <f t="shared" si="90"/>
        <v>449611.46685853932</v>
      </c>
      <c r="J217" s="63">
        <f t="shared" si="90"/>
        <v>369579.10965857527</v>
      </c>
      <c r="K217" s="63">
        <f t="shared" si="90"/>
        <v>0</v>
      </c>
      <c r="L217" s="63">
        <f t="shared" si="90"/>
        <v>0</v>
      </c>
      <c r="M217" s="63">
        <f t="shared" si="90"/>
        <v>0</v>
      </c>
      <c r="N217" s="63">
        <f t="shared" si="90"/>
        <v>0</v>
      </c>
      <c r="O217" s="63">
        <f t="shared" si="90"/>
        <v>0</v>
      </c>
      <c r="P217" s="63">
        <f t="shared" si="90"/>
        <v>0</v>
      </c>
      <c r="Q217" s="63">
        <f t="shared" si="90"/>
        <v>0</v>
      </c>
      <c r="R217" s="63">
        <f t="shared" si="91"/>
        <v>0</v>
      </c>
      <c r="S217" s="63">
        <f t="shared" si="91"/>
        <v>0</v>
      </c>
      <c r="T217" s="63">
        <f t="shared" si="91"/>
        <v>0</v>
      </c>
      <c r="U217" s="63">
        <f t="shared" si="91"/>
        <v>0</v>
      </c>
      <c r="V217" s="63">
        <f t="shared" si="91"/>
        <v>0</v>
      </c>
      <c r="W217" s="63">
        <f t="shared" si="91"/>
        <v>0</v>
      </c>
      <c r="X217" s="63">
        <f t="shared" si="91"/>
        <v>0</v>
      </c>
      <c r="Y217" s="63">
        <f t="shared" si="91"/>
        <v>0</v>
      </c>
      <c r="Z217" s="63">
        <f t="shared" si="91"/>
        <v>0</v>
      </c>
      <c r="AA217" s="63">
        <f t="shared" si="91"/>
        <v>0</v>
      </c>
      <c r="AB217" s="63">
        <f t="shared" si="91"/>
        <v>0</v>
      </c>
      <c r="AC217" s="63">
        <f t="shared" si="91"/>
        <v>0</v>
      </c>
      <c r="AD217" s="63">
        <f t="shared" si="91"/>
        <v>0</v>
      </c>
      <c r="AE217" s="63">
        <f t="shared" si="91"/>
        <v>0</v>
      </c>
      <c r="AF217" s="63">
        <f t="shared" si="92"/>
        <v>1248388</v>
      </c>
      <c r="AG217" s="58" t="str">
        <f t="shared" si="93"/>
        <v>ok</v>
      </c>
    </row>
    <row r="218" spans="1:33">
      <c r="A218" s="60">
        <v>557</v>
      </c>
      <c r="B218" s="44" t="s">
        <v>7</v>
      </c>
      <c r="C218" s="44" t="s">
        <v>8</v>
      </c>
      <c r="D218" s="44" t="s">
        <v>646</v>
      </c>
      <c r="F218" s="79">
        <v>3806.9999999999709</v>
      </c>
      <c r="G218" s="62"/>
      <c r="H218" s="63">
        <f t="shared" si="90"/>
        <v>1308.8515679414832</v>
      </c>
      <c r="I218" s="63">
        <f t="shared" si="90"/>
        <v>1371.1048602921896</v>
      </c>
      <c r="J218" s="63">
        <f t="shared" si="90"/>
        <v>1127.0435717662981</v>
      </c>
      <c r="K218" s="63">
        <f t="shared" si="90"/>
        <v>0</v>
      </c>
      <c r="L218" s="63">
        <f t="shared" si="90"/>
        <v>0</v>
      </c>
      <c r="M218" s="63">
        <f t="shared" si="90"/>
        <v>0</v>
      </c>
      <c r="N218" s="63">
        <f t="shared" si="90"/>
        <v>0</v>
      </c>
      <c r="O218" s="63">
        <f t="shared" si="90"/>
        <v>0</v>
      </c>
      <c r="P218" s="63">
        <f t="shared" si="90"/>
        <v>0</v>
      </c>
      <c r="Q218" s="63">
        <f t="shared" si="90"/>
        <v>0</v>
      </c>
      <c r="R218" s="63">
        <f t="shared" si="91"/>
        <v>0</v>
      </c>
      <c r="S218" s="63">
        <f t="shared" si="91"/>
        <v>0</v>
      </c>
      <c r="T218" s="63">
        <f t="shared" si="91"/>
        <v>0</v>
      </c>
      <c r="U218" s="63">
        <f t="shared" si="91"/>
        <v>0</v>
      </c>
      <c r="V218" s="63">
        <f t="shared" si="91"/>
        <v>0</v>
      </c>
      <c r="W218" s="63">
        <f t="shared" si="91"/>
        <v>0</v>
      </c>
      <c r="X218" s="63">
        <f t="shared" si="91"/>
        <v>0</v>
      </c>
      <c r="Y218" s="63">
        <f t="shared" si="91"/>
        <v>0</v>
      </c>
      <c r="Z218" s="63">
        <f t="shared" si="91"/>
        <v>0</v>
      </c>
      <c r="AA218" s="63">
        <f t="shared" si="91"/>
        <v>0</v>
      </c>
      <c r="AB218" s="63">
        <f t="shared" si="91"/>
        <v>0</v>
      </c>
      <c r="AC218" s="63">
        <f t="shared" si="91"/>
        <v>0</v>
      </c>
      <c r="AD218" s="63">
        <f t="shared" si="91"/>
        <v>0</v>
      </c>
      <c r="AE218" s="63">
        <f t="shared" si="91"/>
        <v>0</v>
      </c>
      <c r="AF218" s="63">
        <f>SUM(H218:AE218)</f>
        <v>3806.9999999999709</v>
      </c>
      <c r="AG218" s="58" t="str">
        <f t="shared" si="93"/>
        <v>ok</v>
      </c>
    </row>
    <row r="219" spans="1:33">
      <c r="A219" s="60">
        <v>558</v>
      </c>
      <c r="B219" s="44" t="s">
        <v>665</v>
      </c>
      <c r="C219" s="44" t="s">
        <v>596</v>
      </c>
      <c r="D219" s="44" t="s">
        <v>930</v>
      </c>
      <c r="F219" s="79">
        <v>0</v>
      </c>
      <c r="G219" s="62"/>
      <c r="H219" s="63">
        <f t="shared" si="90"/>
        <v>0</v>
      </c>
      <c r="I219" s="63">
        <f t="shared" si="90"/>
        <v>0</v>
      </c>
      <c r="J219" s="63">
        <f t="shared" si="90"/>
        <v>0</v>
      </c>
      <c r="K219" s="63">
        <f t="shared" si="90"/>
        <v>0</v>
      </c>
      <c r="L219" s="63">
        <f t="shared" si="90"/>
        <v>0</v>
      </c>
      <c r="M219" s="63">
        <f t="shared" si="90"/>
        <v>0</v>
      </c>
      <c r="N219" s="63">
        <f t="shared" si="90"/>
        <v>0</v>
      </c>
      <c r="O219" s="63">
        <f t="shared" si="90"/>
        <v>0</v>
      </c>
      <c r="P219" s="63">
        <f t="shared" si="90"/>
        <v>0</v>
      </c>
      <c r="Q219" s="63">
        <f t="shared" si="90"/>
        <v>0</v>
      </c>
      <c r="R219" s="63">
        <f t="shared" si="91"/>
        <v>0</v>
      </c>
      <c r="S219" s="63">
        <f t="shared" si="91"/>
        <v>0</v>
      </c>
      <c r="T219" s="63">
        <f t="shared" si="91"/>
        <v>0</v>
      </c>
      <c r="U219" s="63">
        <f t="shared" si="91"/>
        <v>0</v>
      </c>
      <c r="V219" s="63">
        <f t="shared" si="91"/>
        <v>0</v>
      </c>
      <c r="W219" s="63">
        <f t="shared" si="91"/>
        <v>0</v>
      </c>
      <c r="X219" s="63">
        <f t="shared" si="91"/>
        <v>0</v>
      </c>
      <c r="Y219" s="63">
        <f t="shared" si="91"/>
        <v>0</v>
      </c>
      <c r="Z219" s="63">
        <f t="shared" si="91"/>
        <v>0</v>
      </c>
      <c r="AA219" s="63">
        <f t="shared" si="91"/>
        <v>0</v>
      </c>
      <c r="AB219" s="63">
        <f t="shared" si="91"/>
        <v>0</v>
      </c>
      <c r="AC219" s="63">
        <f t="shared" si="91"/>
        <v>0</v>
      </c>
      <c r="AD219" s="63">
        <f t="shared" si="91"/>
        <v>0</v>
      </c>
      <c r="AE219" s="63">
        <f t="shared" si="91"/>
        <v>0</v>
      </c>
      <c r="AF219" s="63">
        <f t="shared" si="92"/>
        <v>0</v>
      </c>
      <c r="AG219" s="58" t="str">
        <f t="shared" si="93"/>
        <v>ok</v>
      </c>
    </row>
    <row r="220" spans="1:33">
      <c r="A220" s="60"/>
      <c r="F220" s="79"/>
      <c r="G220" s="62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58"/>
    </row>
    <row r="221" spans="1:33">
      <c r="A221" s="60"/>
      <c r="B221" s="44" t="s">
        <v>275</v>
      </c>
      <c r="C221" s="44" t="s">
        <v>9</v>
      </c>
      <c r="F221" s="76">
        <f>SUM(F213:F220)</f>
        <v>55189872.621999964</v>
      </c>
      <c r="G221" s="62"/>
      <c r="H221" s="62">
        <f t="shared" ref="H221:M221" si="94">SUM(H213:H220)</f>
        <v>6005859.0865894053</v>
      </c>
      <c r="I221" s="62">
        <f t="shared" si="94"/>
        <v>6291517.5299854204</v>
      </c>
      <c r="J221" s="62">
        <f t="shared" si="94"/>
        <v>5171606.1945210779</v>
      </c>
      <c r="K221" s="62">
        <f t="shared" si="94"/>
        <v>37720889.810904063</v>
      </c>
      <c r="L221" s="62">
        <f t="shared" si="94"/>
        <v>0</v>
      </c>
      <c r="M221" s="62">
        <f t="shared" si="94"/>
        <v>0</v>
      </c>
      <c r="N221" s="62">
        <f>SUM(N213:N220)</f>
        <v>0</v>
      </c>
      <c r="O221" s="62">
        <f>SUM(O213:O220)</f>
        <v>0</v>
      </c>
      <c r="P221" s="62">
        <f>SUM(P213:P220)</f>
        <v>0</v>
      </c>
      <c r="Q221" s="62">
        <f t="shared" ref="Q221:AB221" si="95">SUM(Q213:Q220)</f>
        <v>0</v>
      </c>
      <c r="R221" s="62">
        <f t="shared" si="95"/>
        <v>0</v>
      </c>
      <c r="S221" s="62">
        <f t="shared" si="95"/>
        <v>0</v>
      </c>
      <c r="T221" s="62">
        <f t="shared" si="95"/>
        <v>0</v>
      </c>
      <c r="U221" s="62">
        <f t="shared" si="95"/>
        <v>0</v>
      </c>
      <c r="V221" s="62">
        <f t="shared" si="95"/>
        <v>0</v>
      </c>
      <c r="W221" s="62">
        <f t="shared" si="95"/>
        <v>0</v>
      </c>
      <c r="X221" s="62">
        <f t="shared" si="95"/>
        <v>0</v>
      </c>
      <c r="Y221" s="62">
        <f t="shared" si="95"/>
        <v>0</v>
      </c>
      <c r="Z221" s="62">
        <f t="shared" si="95"/>
        <v>0</v>
      </c>
      <c r="AA221" s="62">
        <f t="shared" si="95"/>
        <v>0</v>
      </c>
      <c r="AB221" s="62">
        <f t="shared" si="95"/>
        <v>0</v>
      </c>
      <c r="AC221" s="62">
        <f>SUM(AC213:AC220)</f>
        <v>0</v>
      </c>
      <c r="AD221" s="62">
        <f>SUM(AD213:AD220)</f>
        <v>0</v>
      </c>
      <c r="AE221" s="62">
        <f>SUM(AE213:AE220)</f>
        <v>0</v>
      </c>
      <c r="AF221" s="63">
        <f>SUM(H221:AE221)</f>
        <v>55189872.621999964</v>
      </c>
      <c r="AG221" s="58" t="str">
        <f>IF(ABS(AF221-F221)&lt;1,"ok","err")</f>
        <v>ok</v>
      </c>
    </row>
    <row r="222" spans="1:33">
      <c r="A222" s="60"/>
      <c r="F222" s="76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3"/>
      <c r="AG222" s="58"/>
    </row>
    <row r="223" spans="1:33">
      <c r="A223" s="60"/>
      <c r="B223" s="44" t="s">
        <v>262</v>
      </c>
      <c r="F223" s="76">
        <f>F210+F221</f>
        <v>510345262.65152061</v>
      </c>
      <c r="G223" s="62"/>
      <c r="H223" s="62">
        <f t="shared" ref="H223:M223" si="96">H210+H221</f>
        <v>22381959.218989</v>
      </c>
      <c r="I223" s="62">
        <f t="shared" si="96"/>
        <v>23446518.932840079</v>
      </c>
      <c r="J223" s="62">
        <f t="shared" si="96"/>
        <v>19272959.500648879</v>
      </c>
      <c r="K223" s="62">
        <f t="shared" si="96"/>
        <v>445243824.99904263</v>
      </c>
      <c r="L223" s="62">
        <f t="shared" si="96"/>
        <v>0</v>
      </c>
      <c r="M223" s="62">
        <f t="shared" si="96"/>
        <v>0</v>
      </c>
      <c r="N223" s="62">
        <f>N210+N221</f>
        <v>0</v>
      </c>
      <c r="O223" s="62">
        <f>O210+O221</f>
        <v>0</v>
      </c>
      <c r="P223" s="62">
        <f>P210+P221</f>
        <v>0</v>
      </c>
      <c r="Q223" s="62">
        <f t="shared" ref="Q223:AB223" si="97">Q210+Q221</f>
        <v>0</v>
      </c>
      <c r="R223" s="62">
        <f t="shared" si="97"/>
        <v>0</v>
      </c>
      <c r="S223" s="62">
        <f t="shared" si="97"/>
        <v>0</v>
      </c>
      <c r="T223" s="62">
        <f t="shared" si="97"/>
        <v>0</v>
      </c>
      <c r="U223" s="62">
        <f t="shared" si="97"/>
        <v>0</v>
      </c>
      <c r="V223" s="62">
        <f t="shared" si="97"/>
        <v>0</v>
      </c>
      <c r="W223" s="62">
        <f t="shared" si="97"/>
        <v>0</v>
      </c>
      <c r="X223" s="62">
        <f t="shared" si="97"/>
        <v>0</v>
      </c>
      <c r="Y223" s="62">
        <f t="shared" si="97"/>
        <v>0</v>
      </c>
      <c r="Z223" s="62">
        <f t="shared" si="97"/>
        <v>0</v>
      </c>
      <c r="AA223" s="62">
        <f t="shared" si="97"/>
        <v>0</v>
      </c>
      <c r="AB223" s="62">
        <f t="shared" si="97"/>
        <v>0</v>
      </c>
      <c r="AC223" s="62">
        <f>AC210+AC221</f>
        <v>0</v>
      </c>
      <c r="AD223" s="62">
        <f>AD210+AD221</f>
        <v>0</v>
      </c>
      <c r="AE223" s="62">
        <f>AE210+AE221</f>
        <v>0</v>
      </c>
      <c r="AF223" s="63">
        <f>SUM(H223:AE223)</f>
        <v>510345262.65152061</v>
      </c>
      <c r="AG223" s="58" t="str">
        <f>IF(ABS(AF223-F223)&lt;1,"ok","err")</f>
        <v>ok</v>
      </c>
    </row>
    <row r="224" spans="1:33">
      <c r="A224" s="60"/>
      <c r="F224" s="76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3"/>
      <c r="AG224" s="58"/>
    </row>
    <row r="225" spans="1:33" ht="15">
      <c r="A225" s="65" t="s">
        <v>1143</v>
      </c>
      <c r="F225" s="76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3"/>
      <c r="AG225" s="58"/>
    </row>
    <row r="226" spans="1:33">
      <c r="A226" s="60">
        <v>560</v>
      </c>
      <c r="B226" s="44" t="s">
        <v>1146</v>
      </c>
      <c r="C226" s="44" t="s">
        <v>11</v>
      </c>
      <c r="D226" s="44" t="s">
        <v>666</v>
      </c>
      <c r="F226" s="76">
        <v>1013327</v>
      </c>
      <c r="G226" s="62"/>
      <c r="H226" s="63">
        <f t="shared" ref="H226:Q239" si="98">IF(VLOOKUP($D226,$C$6:$AE$653,H$2,)=0,0,((VLOOKUP($D226,$C$6:$AE$653,H$2,)/VLOOKUP($D226,$C$6:$AE$653,4,))*$F226))</f>
        <v>0</v>
      </c>
      <c r="I226" s="63">
        <f t="shared" si="98"/>
        <v>0</v>
      </c>
      <c r="J226" s="63">
        <f t="shared" si="98"/>
        <v>0</v>
      </c>
      <c r="K226" s="63">
        <f t="shared" si="98"/>
        <v>0</v>
      </c>
      <c r="L226" s="63">
        <f t="shared" si="98"/>
        <v>0</v>
      </c>
      <c r="M226" s="63">
        <f t="shared" si="98"/>
        <v>0</v>
      </c>
      <c r="N226" s="63">
        <f t="shared" si="98"/>
        <v>1013327</v>
      </c>
      <c r="O226" s="63">
        <f t="shared" si="98"/>
        <v>0</v>
      </c>
      <c r="P226" s="63">
        <f t="shared" si="98"/>
        <v>0</v>
      </c>
      <c r="Q226" s="63">
        <f t="shared" si="98"/>
        <v>0</v>
      </c>
      <c r="R226" s="63">
        <f t="shared" ref="R226:AE239" si="99">IF(VLOOKUP($D226,$C$6:$AE$653,R$2,)=0,0,((VLOOKUP($D226,$C$6:$AE$653,R$2,)/VLOOKUP($D226,$C$6:$AE$653,4,))*$F226))</f>
        <v>0</v>
      </c>
      <c r="S226" s="63">
        <f t="shared" si="99"/>
        <v>0</v>
      </c>
      <c r="T226" s="63">
        <f t="shared" si="99"/>
        <v>0</v>
      </c>
      <c r="U226" s="63">
        <f t="shared" si="99"/>
        <v>0</v>
      </c>
      <c r="V226" s="63">
        <f t="shared" si="99"/>
        <v>0</v>
      </c>
      <c r="W226" s="63">
        <f t="shared" si="99"/>
        <v>0</v>
      </c>
      <c r="X226" s="63">
        <f t="shared" si="99"/>
        <v>0</v>
      </c>
      <c r="Y226" s="63">
        <f t="shared" si="99"/>
        <v>0</v>
      </c>
      <c r="Z226" s="63">
        <f t="shared" si="99"/>
        <v>0</v>
      </c>
      <c r="AA226" s="63">
        <f t="shared" si="99"/>
        <v>0</v>
      </c>
      <c r="AB226" s="63">
        <f t="shared" si="99"/>
        <v>0</v>
      </c>
      <c r="AC226" s="63">
        <f t="shared" si="99"/>
        <v>0</v>
      </c>
      <c r="AD226" s="63">
        <f t="shared" si="99"/>
        <v>0</v>
      </c>
      <c r="AE226" s="63">
        <f t="shared" si="99"/>
        <v>0</v>
      </c>
      <c r="AF226" s="63">
        <f t="shared" ref="AF226:AF231" si="100">SUM(H226:AE226)</f>
        <v>1013327</v>
      </c>
      <c r="AG226" s="58" t="str">
        <f t="shared" ref="AG226:AG239" si="101">IF(ABS(AF226-F226)&lt;1,"ok","err")</f>
        <v>ok</v>
      </c>
    </row>
    <row r="227" spans="1:33">
      <c r="A227" s="60">
        <v>561</v>
      </c>
      <c r="B227" s="44" t="s">
        <v>990</v>
      </c>
      <c r="C227" s="44" t="s">
        <v>12</v>
      </c>
      <c r="D227" s="44" t="s">
        <v>666</v>
      </c>
      <c r="F227" s="79">
        <f>1815175+393408</f>
        <v>2208583</v>
      </c>
      <c r="G227" s="62"/>
      <c r="H227" s="63">
        <f t="shared" si="98"/>
        <v>0</v>
      </c>
      <c r="I227" s="63">
        <f t="shared" si="98"/>
        <v>0</v>
      </c>
      <c r="J227" s="63">
        <f t="shared" si="98"/>
        <v>0</v>
      </c>
      <c r="K227" s="63">
        <f t="shared" si="98"/>
        <v>0</v>
      </c>
      <c r="L227" s="63">
        <f t="shared" si="98"/>
        <v>0</v>
      </c>
      <c r="M227" s="63">
        <f t="shared" si="98"/>
        <v>0</v>
      </c>
      <c r="N227" s="63">
        <f t="shared" si="98"/>
        <v>2208583</v>
      </c>
      <c r="O227" s="63">
        <f t="shared" si="98"/>
        <v>0</v>
      </c>
      <c r="P227" s="63">
        <f t="shared" si="98"/>
        <v>0</v>
      </c>
      <c r="Q227" s="63">
        <f t="shared" si="98"/>
        <v>0</v>
      </c>
      <c r="R227" s="63">
        <f t="shared" si="99"/>
        <v>0</v>
      </c>
      <c r="S227" s="63">
        <f t="shared" si="99"/>
        <v>0</v>
      </c>
      <c r="T227" s="63">
        <f t="shared" si="99"/>
        <v>0</v>
      </c>
      <c r="U227" s="63">
        <f t="shared" si="99"/>
        <v>0</v>
      </c>
      <c r="V227" s="63">
        <f t="shared" si="99"/>
        <v>0</v>
      </c>
      <c r="W227" s="63">
        <f t="shared" si="99"/>
        <v>0</v>
      </c>
      <c r="X227" s="63">
        <f t="shared" si="99"/>
        <v>0</v>
      </c>
      <c r="Y227" s="63">
        <f t="shared" si="99"/>
        <v>0</v>
      </c>
      <c r="Z227" s="63">
        <f t="shared" si="99"/>
        <v>0</v>
      </c>
      <c r="AA227" s="63">
        <f t="shared" si="99"/>
        <v>0</v>
      </c>
      <c r="AB227" s="63">
        <f t="shared" si="99"/>
        <v>0</v>
      </c>
      <c r="AC227" s="63">
        <f t="shared" si="99"/>
        <v>0</v>
      </c>
      <c r="AD227" s="63">
        <f t="shared" si="99"/>
        <v>0</v>
      </c>
      <c r="AE227" s="63">
        <f t="shared" si="99"/>
        <v>0</v>
      </c>
      <c r="AF227" s="63">
        <f t="shared" si="100"/>
        <v>2208583</v>
      </c>
      <c r="AG227" s="58" t="str">
        <f t="shared" si="101"/>
        <v>ok</v>
      </c>
    </row>
    <row r="228" spans="1:33">
      <c r="A228" s="60">
        <v>562</v>
      </c>
      <c r="B228" s="44" t="s">
        <v>1144</v>
      </c>
      <c r="C228" s="44" t="s">
        <v>13</v>
      </c>
      <c r="D228" s="44" t="s">
        <v>666</v>
      </c>
      <c r="F228" s="79">
        <f>928949</f>
        <v>928949</v>
      </c>
      <c r="G228" s="62"/>
      <c r="H228" s="63">
        <f t="shared" si="98"/>
        <v>0</v>
      </c>
      <c r="I228" s="63">
        <f t="shared" si="98"/>
        <v>0</v>
      </c>
      <c r="J228" s="63">
        <f t="shared" si="98"/>
        <v>0</v>
      </c>
      <c r="K228" s="63">
        <f t="shared" si="98"/>
        <v>0</v>
      </c>
      <c r="L228" s="63">
        <f t="shared" si="98"/>
        <v>0</v>
      </c>
      <c r="M228" s="63">
        <f t="shared" si="98"/>
        <v>0</v>
      </c>
      <c r="N228" s="63">
        <f t="shared" si="98"/>
        <v>928949</v>
      </c>
      <c r="O228" s="63">
        <f t="shared" si="98"/>
        <v>0</v>
      </c>
      <c r="P228" s="63">
        <f t="shared" si="98"/>
        <v>0</v>
      </c>
      <c r="Q228" s="63">
        <f t="shared" si="98"/>
        <v>0</v>
      </c>
      <c r="R228" s="63">
        <f t="shared" si="99"/>
        <v>0</v>
      </c>
      <c r="S228" s="63">
        <f t="shared" si="99"/>
        <v>0</v>
      </c>
      <c r="T228" s="63">
        <f t="shared" si="99"/>
        <v>0</v>
      </c>
      <c r="U228" s="63">
        <f t="shared" si="99"/>
        <v>0</v>
      </c>
      <c r="V228" s="63">
        <f t="shared" si="99"/>
        <v>0</v>
      </c>
      <c r="W228" s="63">
        <f t="shared" si="99"/>
        <v>0</v>
      </c>
      <c r="X228" s="63">
        <f t="shared" si="99"/>
        <v>0</v>
      </c>
      <c r="Y228" s="63">
        <f t="shared" si="99"/>
        <v>0</v>
      </c>
      <c r="Z228" s="63">
        <f t="shared" si="99"/>
        <v>0</v>
      </c>
      <c r="AA228" s="63">
        <f t="shared" si="99"/>
        <v>0</v>
      </c>
      <c r="AB228" s="63">
        <f t="shared" si="99"/>
        <v>0</v>
      </c>
      <c r="AC228" s="63">
        <f t="shared" si="99"/>
        <v>0</v>
      </c>
      <c r="AD228" s="63">
        <f t="shared" si="99"/>
        <v>0</v>
      </c>
      <c r="AE228" s="63">
        <f t="shared" si="99"/>
        <v>0</v>
      </c>
      <c r="AF228" s="63">
        <f t="shared" si="100"/>
        <v>928949</v>
      </c>
      <c r="AG228" s="58" t="str">
        <f t="shared" si="101"/>
        <v>ok</v>
      </c>
    </row>
    <row r="229" spans="1:33">
      <c r="A229" s="60">
        <v>563</v>
      </c>
      <c r="B229" s="44" t="s">
        <v>992</v>
      </c>
      <c r="C229" s="44" t="s">
        <v>14</v>
      </c>
      <c r="D229" s="44" t="s">
        <v>666</v>
      </c>
      <c r="F229" s="79">
        <f>244298</f>
        <v>244298</v>
      </c>
      <c r="G229" s="62"/>
      <c r="H229" s="63">
        <f t="shared" si="98"/>
        <v>0</v>
      </c>
      <c r="I229" s="63">
        <f t="shared" si="98"/>
        <v>0</v>
      </c>
      <c r="J229" s="63">
        <f t="shared" si="98"/>
        <v>0</v>
      </c>
      <c r="K229" s="63">
        <f t="shared" si="98"/>
        <v>0</v>
      </c>
      <c r="L229" s="63">
        <f t="shared" si="98"/>
        <v>0</v>
      </c>
      <c r="M229" s="63">
        <f t="shared" si="98"/>
        <v>0</v>
      </c>
      <c r="N229" s="63">
        <f t="shared" si="98"/>
        <v>244298</v>
      </c>
      <c r="O229" s="63">
        <f t="shared" si="98"/>
        <v>0</v>
      </c>
      <c r="P229" s="63">
        <f t="shared" si="98"/>
        <v>0</v>
      </c>
      <c r="Q229" s="63">
        <f t="shared" si="98"/>
        <v>0</v>
      </c>
      <c r="R229" s="63">
        <f t="shared" si="99"/>
        <v>0</v>
      </c>
      <c r="S229" s="63">
        <f t="shared" si="99"/>
        <v>0</v>
      </c>
      <c r="T229" s="63">
        <f t="shared" si="99"/>
        <v>0</v>
      </c>
      <c r="U229" s="63">
        <f t="shared" si="99"/>
        <v>0</v>
      </c>
      <c r="V229" s="63">
        <f t="shared" si="99"/>
        <v>0</v>
      </c>
      <c r="W229" s="63">
        <f t="shared" si="99"/>
        <v>0</v>
      </c>
      <c r="X229" s="63">
        <f t="shared" si="99"/>
        <v>0</v>
      </c>
      <c r="Y229" s="63">
        <f t="shared" si="99"/>
        <v>0</v>
      </c>
      <c r="Z229" s="63">
        <f t="shared" si="99"/>
        <v>0</v>
      </c>
      <c r="AA229" s="63">
        <f t="shared" si="99"/>
        <v>0</v>
      </c>
      <c r="AB229" s="63">
        <f t="shared" si="99"/>
        <v>0</v>
      </c>
      <c r="AC229" s="63">
        <f t="shared" si="99"/>
        <v>0</v>
      </c>
      <c r="AD229" s="63">
        <f t="shared" si="99"/>
        <v>0</v>
      </c>
      <c r="AE229" s="63">
        <f t="shared" si="99"/>
        <v>0</v>
      </c>
      <c r="AF229" s="63">
        <f t="shared" si="100"/>
        <v>244298</v>
      </c>
      <c r="AG229" s="58" t="str">
        <f t="shared" si="101"/>
        <v>ok</v>
      </c>
    </row>
    <row r="230" spans="1:33">
      <c r="A230" s="60">
        <v>565</v>
      </c>
      <c r="B230" s="44" t="s">
        <v>263</v>
      </c>
      <c r="C230" s="44" t="s">
        <v>264</v>
      </c>
      <c r="D230" s="44" t="s">
        <v>666</v>
      </c>
      <c r="F230" s="79">
        <v>36637.999999999767</v>
      </c>
      <c r="G230" s="62"/>
      <c r="H230" s="63">
        <f t="shared" si="98"/>
        <v>0</v>
      </c>
      <c r="I230" s="63">
        <f t="shared" si="98"/>
        <v>0</v>
      </c>
      <c r="J230" s="63">
        <f t="shared" si="98"/>
        <v>0</v>
      </c>
      <c r="K230" s="63">
        <f t="shared" si="98"/>
        <v>0</v>
      </c>
      <c r="L230" s="63">
        <f t="shared" si="98"/>
        <v>0</v>
      </c>
      <c r="M230" s="63">
        <f t="shared" si="98"/>
        <v>0</v>
      </c>
      <c r="N230" s="63">
        <f t="shared" si="98"/>
        <v>36637.999999999767</v>
      </c>
      <c r="O230" s="63">
        <f t="shared" si="98"/>
        <v>0</v>
      </c>
      <c r="P230" s="63">
        <f t="shared" si="98"/>
        <v>0</v>
      </c>
      <c r="Q230" s="63">
        <f t="shared" si="98"/>
        <v>0</v>
      </c>
      <c r="R230" s="63">
        <f t="shared" si="99"/>
        <v>0</v>
      </c>
      <c r="S230" s="63">
        <f t="shared" si="99"/>
        <v>0</v>
      </c>
      <c r="T230" s="63">
        <f t="shared" si="99"/>
        <v>0</v>
      </c>
      <c r="U230" s="63">
        <f t="shared" si="99"/>
        <v>0</v>
      </c>
      <c r="V230" s="63">
        <f t="shared" si="99"/>
        <v>0</v>
      </c>
      <c r="W230" s="63">
        <f t="shared" si="99"/>
        <v>0</v>
      </c>
      <c r="X230" s="63">
        <f t="shared" si="99"/>
        <v>0</v>
      </c>
      <c r="Y230" s="63">
        <f t="shared" si="99"/>
        <v>0</v>
      </c>
      <c r="Z230" s="63">
        <f t="shared" si="99"/>
        <v>0</v>
      </c>
      <c r="AA230" s="63">
        <f t="shared" si="99"/>
        <v>0</v>
      </c>
      <c r="AB230" s="63">
        <f t="shared" si="99"/>
        <v>0</v>
      </c>
      <c r="AC230" s="63">
        <f t="shared" si="99"/>
        <v>0</v>
      </c>
      <c r="AD230" s="63">
        <f t="shared" si="99"/>
        <v>0</v>
      </c>
      <c r="AE230" s="63">
        <f t="shared" si="99"/>
        <v>0</v>
      </c>
      <c r="AF230" s="63">
        <f t="shared" si="100"/>
        <v>36637.999999999767</v>
      </c>
      <c r="AG230" s="58" t="str">
        <f t="shared" si="101"/>
        <v>ok</v>
      </c>
    </row>
    <row r="231" spans="1:33">
      <c r="A231" s="60">
        <v>566</v>
      </c>
      <c r="B231" s="44" t="s">
        <v>147</v>
      </c>
      <c r="C231" s="44" t="s">
        <v>148</v>
      </c>
      <c r="D231" s="44" t="s">
        <v>1161</v>
      </c>
      <c r="F231" s="79">
        <f>1703065+5245875</f>
        <v>6948940</v>
      </c>
      <c r="G231" s="62"/>
      <c r="H231" s="63">
        <f t="shared" si="98"/>
        <v>0</v>
      </c>
      <c r="I231" s="63">
        <f t="shared" si="98"/>
        <v>0</v>
      </c>
      <c r="J231" s="63">
        <f t="shared" si="98"/>
        <v>0</v>
      </c>
      <c r="K231" s="63">
        <f t="shared" si="98"/>
        <v>0</v>
      </c>
      <c r="L231" s="63">
        <f t="shared" si="98"/>
        <v>0</v>
      </c>
      <c r="M231" s="63">
        <f t="shared" si="98"/>
        <v>0</v>
      </c>
      <c r="N231" s="63">
        <f t="shared" si="98"/>
        <v>6948940</v>
      </c>
      <c r="O231" s="63">
        <f t="shared" si="98"/>
        <v>0</v>
      </c>
      <c r="P231" s="63">
        <f t="shared" si="98"/>
        <v>0</v>
      </c>
      <c r="Q231" s="63">
        <f t="shared" si="98"/>
        <v>0</v>
      </c>
      <c r="R231" s="63">
        <f t="shared" si="99"/>
        <v>0</v>
      </c>
      <c r="S231" s="63">
        <f t="shared" si="99"/>
        <v>0</v>
      </c>
      <c r="T231" s="63">
        <f t="shared" si="99"/>
        <v>0</v>
      </c>
      <c r="U231" s="63">
        <f t="shared" si="99"/>
        <v>0</v>
      </c>
      <c r="V231" s="63">
        <f t="shared" si="99"/>
        <v>0</v>
      </c>
      <c r="W231" s="63">
        <f t="shared" si="99"/>
        <v>0</v>
      </c>
      <c r="X231" s="63">
        <f t="shared" si="99"/>
        <v>0</v>
      </c>
      <c r="Y231" s="63">
        <f t="shared" si="99"/>
        <v>0</v>
      </c>
      <c r="Z231" s="63">
        <f t="shared" si="99"/>
        <v>0</v>
      </c>
      <c r="AA231" s="63">
        <f t="shared" si="99"/>
        <v>0</v>
      </c>
      <c r="AB231" s="63">
        <f t="shared" si="99"/>
        <v>0</v>
      </c>
      <c r="AC231" s="63">
        <f t="shared" si="99"/>
        <v>0</v>
      </c>
      <c r="AD231" s="63">
        <f t="shared" si="99"/>
        <v>0</v>
      </c>
      <c r="AE231" s="63">
        <f t="shared" si="99"/>
        <v>0</v>
      </c>
      <c r="AF231" s="63">
        <f t="shared" si="100"/>
        <v>6948940</v>
      </c>
      <c r="AG231" s="58" t="str">
        <f t="shared" si="101"/>
        <v>ok</v>
      </c>
    </row>
    <row r="232" spans="1:33">
      <c r="A232" s="60">
        <v>567</v>
      </c>
      <c r="B232" s="44" t="s">
        <v>1004</v>
      </c>
      <c r="C232" s="44" t="s">
        <v>265</v>
      </c>
      <c r="D232" s="44" t="s">
        <v>1161</v>
      </c>
      <c r="F232" s="79">
        <f>63552+3948</f>
        <v>67500</v>
      </c>
      <c r="G232" s="62"/>
      <c r="H232" s="63">
        <f t="shared" si="98"/>
        <v>0</v>
      </c>
      <c r="I232" s="63">
        <f t="shared" si="98"/>
        <v>0</v>
      </c>
      <c r="J232" s="63">
        <f t="shared" si="98"/>
        <v>0</v>
      </c>
      <c r="K232" s="63">
        <f t="shared" si="98"/>
        <v>0</v>
      </c>
      <c r="L232" s="63">
        <f t="shared" si="98"/>
        <v>0</v>
      </c>
      <c r="M232" s="63">
        <f t="shared" si="98"/>
        <v>0</v>
      </c>
      <c r="N232" s="63">
        <f t="shared" si="98"/>
        <v>67500</v>
      </c>
      <c r="O232" s="63">
        <f t="shared" si="98"/>
        <v>0</v>
      </c>
      <c r="P232" s="63">
        <f t="shared" si="98"/>
        <v>0</v>
      </c>
      <c r="Q232" s="63">
        <f t="shared" si="98"/>
        <v>0</v>
      </c>
      <c r="R232" s="63">
        <f t="shared" si="99"/>
        <v>0</v>
      </c>
      <c r="S232" s="63">
        <f t="shared" si="99"/>
        <v>0</v>
      </c>
      <c r="T232" s="63">
        <f t="shared" si="99"/>
        <v>0</v>
      </c>
      <c r="U232" s="63">
        <f t="shared" si="99"/>
        <v>0</v>
      </c>
      <c r="V232" s="63">
        <f t="shared" si="99"/>
        <v>0</v>
      </c>
      <c r="W232" s="63">
        <f t="shared" si="99"/>
        <v>0</v>
      </c>
      <c r="X232" s="63">
        <f t="shared" si="99"/>
        <v>0</v>
      </c>
      <c r="Y232" s="63">
        <f t="shared" si="99"/>
        <v>0</v>
      </c>
      <c r="Z232" s="63">
        <f t="shared" si="99"/>
        <v>0</v>
      </c>
      <c r="AA232" s="63">
        <f t="shared" si="99"/>
        <v>0</v>
      </c>
      <c r="AB232" s="63">
        <f t="shared" si="99"/>
        <v>0</v>
      </c>
      <c r="AC232" s="63">
        <f t="shared" si="99"/>
        <v>0</v>
      </c>
      <c r="AD232" s="63">
        <f t="shared" si="99"/>
        <v>0</v>
      </c>
      <c r="AE232" s="63">
        <f t="shared" si="99"/>
        <v>0</v>
      </c>
      <c r="AF232" s="63">
        <f t="shared" ref="AF232:AF238" si="102">SUM(H232:AE232)</f>
        <v>67500</v>
      </c>
      <c r="AG232" s="58" t="str">
        <f t="shared" si="101"/>
        <v>ok</v>
      </c>
    </row>
    <row r="233" spans="1:33">
      <c r="A233" s="60">
        <v>568</v>
      </c>
      <c r="B233" s="44" t="s">
        <v>1145</v>
      </c>
      <c r="C233" s="44" t="s">
        <v>15</v>
      </c>
      <c r="D233" s="44" t="s">
        <v>666</v>
      </c>
      <c r="F233" s="79"/>
      <c r="G233" s="62"/>
      <c r="H233" s="63">
        <f t="shared" si="98"/>
        <v>0</v>
      </c>
      <c r="I233" s="63">
        <f t="shared" si="98"/>
        <v>0</v>
      </c>
      <c r="J233" s="63">
        <f t="shared" si="98"/>
        <v>0</v>
      </c>
      <c r="K233" s="63">
        <f t="shared" si="98"/>
        <v>0</v>
      </c>
      <c r="L233" s="63">
        <f t="shared" si="98"/>
        <v>0</v>
      </c>
      <c r="M233" s="63">
        <f t="shared" si="98"/>
        <v>0</v>
      </c>
      <c r="N233" s="63">
        <f t="shared" si="98"/>
        <v>0</v>
      </c>
      <c r="O233" s="63">
        <f t="shared" si="98"/>
        <v>0</v>
      </c>
      <c r="P233" s="63">
        <f t="shared" si="98"/>
        <v>0</v>
      </c>
      <c r="Q233" s="63">
        <f t="shared" si="98"/>
        <v>0</v>
      </c>
      <c r="R233" s="63">
        <f t="shared" si="99"/>
        <v>0</v>
      </c>
      <c r="S233" s="63">
        <f t="shared" si="99"/>
        <v>0</v>
      </c>
      <c r="T233" s="63">
        <f t="shared" si="99"/>
        <v>0</v>
      </c>
      <c r="U233" s="63">
        <f t="shared" si="99"/>
        <v>0</v>
      </c>
      <c r="V233" s="63">
        <f t="shared" si="99"/>
        <v>0</v>
      </c>
      <c r="W233" s="63">
        <f t="shared" si="99"/>
        <v>0</v>
      </c>
      <c r="X233" s="63">
        <f t="shared" si="99"/>
        <v>0</v>
      </c>
      <c r="Y233" s="63">
        <f t="shared" si="99"/>
        <v>0</v>
      </c>
      <c r="Z233" s="63">
        <f t="shared" si="99"/>
        <v>0</v>
      </c>
      <c r="AA233" s="63">
        <f t="shared" si="99"/>
        <v>0</v>
      </c>
      <c r="AB233" s="63">
        <f t="shared" si="99"/>
        <v>0</v>
      </c>
      <c r="AC233" s="63">
        <f t="shared" si="99"/>
        <v>0</v>
      </c>
      <c r="AD233" s="63">
        <f t="shared" si="99"/>
        <v>0</v>
      </c>
      <c r="AE233" s="63">
        <f t="shared" si="99"/>
        <v>0</v>
      </c>
      <c r="AF233" s="63">
        <f t="shared" si="102"/>
        <v>0</v>
      </c>
      <c r="AG233" s="58" t="str">
        <f t="shared" si="101"/>
        <v>ok</v>
      </c>
    </row>
    <row r="234" spans="1:33">
      <c r="A234" s="60">
        <v>569</v>
      </c>
      <c r="B234" s="44" t="s">
        <v>266</v>
      </c>
      <c r="C234" s="44" t="s">
        <v>267</v>
      </c>
      <c r="D234" s="44" t="s">
        <v>666</v>
      </c>
      <c r="F234" s="79">
        <v>0</v>
      </c>
      <c r="G234" s="62"/>
      <c r="H234" s="63">
        <f t="shared" si="98"/>
        <v>0</v>
      </c>
      <c r="I234" s="63">
        <f t="shared" si="98"/>
        <v>0</v>
      </c>
      <c r="J234" s="63">
        <f t="shared" si="98"/>
        <v>0</v>
      </c>
      <c r="K234" s="63">
        <f t="shared" si="98"/>
        <v>0</v>
      </c>
      <c r="L234" s="63">
        <f t="shared" si="98"/>
        <v>0</v>
      </c>
      <c r="M234" s="63">
        <f t="shared" si="98"/>
        <v>0</v>
      </c>
      <c r="N234" s="63">
        <f t="shared" si="98"/>
        <v>0</v>
      </c>
      <c r="O234" s="63">
        <f t="shared" si="98"/>
        <v>0</v>
      </c>
      <c r="P234" s="63">
        <f t="shared" si="98"/>
        <v>0</v>
      </c>
      <c r="Q234" s="63">
        <f t="shared" si="98"/>
        <v>0</v>
      </c>
      <c r="R234" s="63">
        <f t="shared" si="99"/>
        <v>0</v>
      </c>
      <c r="S234" s="63">
        <f t="shared" si="99"/>
        <v>0</v>
      </c>
      <c r="T234" s="63">
        <f t="shared" si="99"/>
        <v>0</v>
      </c>
      <c r="U234" s="63">
        <f t="shared" si="99"/>
        <v>0</v>
      </c>
      <c r="V234" s="63">
        <f t="shared" si="99"/>
        <v>0</v>
      </c>
      <c r="W234" s="63">
        <f t="shared" si="99"/>
        <v>0</v>
      </c>
      <c r="X234" s="63">
        <f t="shared" si="99"/>
        <v>0</v>
      </c>
      <c r="Y234" s="63">
        <f t="shared" si="99"/>
        <v>0</v>
      </c>
      <c r="Z234" s="63">
        <f t="shared" si="99"/>
        <v>0</v>
      </c>
      <c r="AA234" s="63">
        <f t="shared" si="99"/>
        <v>0</v>
      </c>
      <c r="AB234" s="63">
        <f t="shared" si="99"/>
        <v>0</v>
      </c>
      <c r="AC234" s="63">
        <f t="shared" si="99"/>
        <v>0</v>
      </c>
      <c r="AD234" s="63">
        <f t="shared" si="99"/>
        <v>0</v>
      </c>
      <c r="AE234" s="63">
        <f t="shared" si="99"/>
        <v>0</v>
      </c>
      <c r="AF234" s="63">
        <f t="shared" si="102"/>
        <v>0</v>
      </c>
      <c r="AG234" s="58" t="str">
        <f t="shared" si="101"/>
        <v>ok</v>
      </c>
    </row>
    <row r="235" spans="1:33">
      <c r="A235" s="60">
        <v>570</v>
      </c>
      <c r="B235" s="44" t="s">
        <v>1147</v>
      </c>
      <c r="C235" s="44" t="s">
        <v>16</v>
      </c>
      <c r="D235" s="44" t="s">
        <v>666</v>
      </c>
      <c r="F235" s="79">
        <f>1490332</f>
        <v>1490332</v>
      </c>
      <c r="G235" s="62"/>
      <c r="H235" s="63">
        <f t="shared" si="98"/>
        <v>0</v>
      </c>
      <c r="I235" s="63">
        <f t="shared" si="98"/>
        <v>0</v>
      </c>
      <c r="J235" s="63">
        <f t="shared" si="98"/>
        <v>0</v>
      </c>
      <c r="K235" s="63">
        <f t="shared" si="98"/>
        <v>0</v>
      </c>
      <c r="L235" s="63">
        <f t="shared" si="98"/>
        <v>0</v>
      </c>
      <c r="M235" s="63">
        <f t="shared" si="98"/>
        <v>0</v>
      </c>
      <c r="N235" s="63">
        <f t="shared" si="98"/>
        <v>1490332</v>
      </c>
      <c r="O235" s="63">
        <f t="shared" si="98"/>
        <v>0</v>
      </c>
      <c r="P235" s="63">
        <f t="shared" si="98"/>
        <v>0</v>
      </c>
      <c r="Q235" s="63">
        <f t="shared" si="98"/>
        <v>0</v>
      </c>
      <c r="R235" s="63">
        <f t="shared" si="99"/>
        <v>0</v>
      </c>
      <c r="S235" s="63">
        <f t="shared" si="99"/>
        <v>0</v>
      </c>
      <c r="T235" s="63">
        <f t="shared" si="99"/>
        <v>0</v>
      </c>
      <c r="U235" s="63">
        <f t="shared" si="99"/>
        <v>0</v>
      </c>
      <c r="V235" s="63">
        <f t="shared" si="99"/>
        <v>0</v>
      </c>
      <c r="W235" s="63">
        <f t="shared" si="99"/>
        <v>0</v>
      </c>
      <c r="X235" s="63">
        <f t="shared" si="99"/>
        <v>0</v>
      </c>
      <c r="Y235" s="63">
        <f t="shared" si="99"/>
        <v>0</v>
      </c>
      <c r="Z235" s="63">
        <f t="shared" si="99"/>
        <v>0</v>
      </c>
      <c r="AA235" s="63">
        <f t="shared" si="99"/>
        <v>0</v>
      </c>
      <c r="AB235" s="63">
        <f t="shared" si="99"/>
        <v>0</v>
      </c>
      <c r="AC235" s="63">
        <f t="shared" si="99"/>
        <v>0</v>
      </c>
      <c r="AD235" s="63">
        <f t="shared" si="99"/>
        <v>0</v>
      </c>
      <c r="AE235" s="63">
        <f t="shared" si="99"/>
        <v>0</v>
      </c>
      <c r="AF235" s="63">
        <f t="shared" si="102"/>
        <v>1490332</v>
      </c>
      <c r="AG235" s="58" t="str">
        <f t="shared" si="101"/>
        <v>ok</v>
      </c>
    </row>
    <row r="236" spans="1:33">
      <c r="A236" s="60">
        <v>571</v>
      </c>
      <c r="B236" s="44" t="s">
        <v>1148</v>
      </c>
      <c r="C236" s="44" t="s">
        <v>17</v>
      </c>
      <c r="D236" s="44" t="s">
        <v>666</v>
      </c>
      <c r="F236" s="79">
        <f>3342881</f>
        <v>3342881</v>
      </c>
      <c r="G236" s="62"/>
      <c r="H236" s="63">
        <f t="shared" si="98"/>
        <v>0</v>
      </c>
      <c r="I236" s="63">
        <f t="shared" si="98"/>
        <v>0</v>
      </c>
      <c r="J236" s="63">
        <f t="shared" si="98"/>
        <v>0</v>
      </c>
      <c r="K236" s="63">
        <f t="shared" si="98"/>
        <v>0</v>
      </c>
      <c r="L236" s="63">
        <f t="shared" si="98"/>
        <v>0</v>
      </c>
      <c r="M236" s="63">
        <f t="shared" si="98"/>
        <v>0</v>
      </c>
      <c r="N236" s="63">
        <f t="shared" si="98"/>
        <v>3342881</v>
      </c>
      <c r="O236" s="63">
        <f t="shared" si="98"/>
        <v>0</v>
      </c>
      <c r="P236" s="63">
        <f t="shared" si="98"/>
        <v>0</v>
      </c>
      <c r="Q236" s="63">
        <f t="shared" si="98"/>
        <v>0</v>
      </c>
      <c r="R236" s="63">
        <f t="shared" si="99"/>
        <v>0</v>
      </c>
      <c r="S236" s="63">
        <f t="shared" si="99"/>
        <v>0</v>
      </c>
      <c r="T236" s="63">
        <f t="shared" si="99"/>
        <v>0</v>
      </c>
      <c r="U236" s="63">
        <f t="shared" si="99"/>
        <v>0</v>
      </c>
      <c r="V236" s="63">
        <f t="shared" si="99"/>
        <v>0</v>
      </c>
      <c r="W236" s="63">
        <f t="shared" si="99"/>
        <v>0</v>
      </c>
      <c r="X236" s="63">
        <f t="shared" si="99"/>
        <v>0</v>
      </c>
      <c r="Y236" s="63">
        <f t="shared" si="99"/>
        <v>0</v>
      </c>
      <c r="Z236" s="63">
        <f t="shared" si="99"/>
        <v>0</v>
      </c>
      <c r="AA236" s="63">
        <f t="shared" si="99"/>
        <v>0</v>
      </c>
      <c r="AB236" s="63">
        <f t="shared" si="99"/>
        <v>0</v>
      </c>
      <c r="AC236" s="63">
        <f t="shared" si="99"/>
        <v>0</v>
      </c>
      <c r="AD236" s="63">
        <f t="shared" si="99"/>
        <v>0</v>
      </c>
      <c r="AE236" s="63">
        <f t="shared" si="99"/>
        <v>0</v>
      </c>
      <c r="AF236" s="63">
        <f t="shared" si="102"/>
        <v>3342881</v>
      </c>
      <c r="AG236" s="58" t="str">
        <f t="shared" si="101"/>
        <v>ok</v>
      </c>
    </row>
    <row r="237" spans="1:33">
      <c r="A237" s="60">
        <v>572</v>
      </c>
      <c r="B237" s="44" t="s">
        <v>268</v>
      </c>
      <c r="C237" s="44" t="s">
        <v>269</v>
      </c>
      <c r="D237" s="44" t="s">
        <v>666</v>
      </c>
      <c r="F237" s="79">
        <v>0</v>
      </c>
      <c r="G237" s="62"/>
      <c r="H237" s="63">
        <f t="shared" si="98"/>
        <v>0</v>
      </c>
      <c r="I237" s="63">
        <f t="shared" si="98"/>
        <v>0</v>
      </c>
      <c r="J237" s="63">
        <f t="shared" si="98"/>
        <v>0</v>
      </c>
      <c r="K237" s="63">
        <f t="shared" si="98"/>
        <v>0</v>
      </c>
      <c r="L237" s="63">
        <f t="shared" si="98"/>
        <v>0</v>
      </c>
      <c r="M237" s="63">
        <f t="shared" si="98"/>
        <v>0</v>
      </c>
      <c r="N237" s="63">
        <f t="shared" si="98"/>
        <v>0</v>
      </c>
      <c r="O237" s="63">
        <f t="shared" si="98"/>
        <v>0</v>
      </c>
      <c r="P237" s="63">
        <f t="shared" si="98"/>
        <v>0</v>
      </c>
      <c r="Q237" s="63">
        <f t="shared" si="98"/>
        <v>0</v>
      </c>
      <c r="R237" s="63">
        <f t="shared" si="99"/>
        <v>0</v>
      </c>
      <c r="S237" s="63">
        <f t="shared" si="99"/>
        <v>0</v>
      </c>
      <c r="T237" s="63">
        <f t="shared" si="99"/>
        <v>0</v>
      </c>
      <c r="U237" s="63">
        <f t="shared" si="99"/>
        <v>0</v>
      </c>
      <c r="V237" s="63">
        <f t="shared" si="99"/>
        <v>0</v>
      </c>
      <c r="W237" s="63">
        <f t="shared" si="99"/>
        <v>0</v>
      </c>
      <c r="X237" s="63">
        <f t="shared" si="99"/>
        <v>0</v>
      </c>
      <c r="Y237" s="63">
        <f t="shared" si="99"/>
        <v>0</v>
      </c>
      <c r="Z237" s="63">
        <f t="shared" si="99"/>
        <v>0</v>
      </c>
      <c r="AA237" s="63">
        <f t="shared" si="99"/>
        <v>0</v>
      </c>
      <c r="AB237" s="63">
        <f t="shared" si="99"/>
        <v>0</v>
      </c>
      <c r="AC237" s="63">
        <f t="shared" si="99"/>
        <v>0</v>
      </c>
      <c r="AD237" s="63">
        <f t="shared" si="99"/>
        <v>0</v>
      </c>
      <c r="AE237" s="63">
        <f t="shared" si="99"/>
        <v>0</v>
      </c>
      <c r="AF237" s="63">
        <f t="shared" si="102"/>
        <v>0</v>
      </c>
      <c r="AG237" s="58" t="str">
        <f t="shared" si="101"/>
        <v>ok</v>
      </c>
    </row>
    <row r="238" spans="1:33">
      <c r="A238" s="60">
        <v>573</v>
      </c>
      <c r="B238" s="44" t="s">
        <v>270</v>
      </c>
      <c r="C238" s="44" t="s">
        <v>271</v>
      </c>
      <c r="D238" s="44" t="s">
        <v>1161</v>
      </c>
      <c r="F238" s="79">
        <f>228063</f>
        <v>228063</v>
      </c>
      <c r="G238" s="62"/>
      <c r="H238" s="63">
        <f t="shared" si="98"/>
        <v>0</v>
      </c>
      <c r="I238" s="63">
        <f t="shared" si="98"/>
        <v>0</v>
      </c>
      <c r="J238" s="63">
        <f t="shared" si="98"/>
        <v>0</v>
      </c>
      <c r="K238" s="63">
        <f t="shared" si="98"/>
        <v>0</v>
      </c>
      <c r="L238" s="63">
        <f t="shared" si="98"/>
        <v>0</v>
      </c>
      <c r="M238" s="63">
        <f t="shared" si="98"/>
        <v>0</v>
      </c>
      <c r="N238" s="63">
        <f t="shared" si="98"/>
        <v>228063</v>
      </c>
      <c r="O238" s="63">
        <f t="shared" si="98"/>
        <v>0</v>
      </c>
      <c r="P238" s="63">
        <f t="shared" si="98"/>
        <v>0</v>
      </c>
      <c r="Q238" s="63">
        <f t="shared" si="98"/>
        <v>0</v>
      </c>
      <c r="R238" s="63">
        <f t="shared" si="99"/>
        <v>0</v>
      </c>
      <c r="S238" s="63">
        <f t="shared" si="99"/>
        <v>0</v>
      </c>
      <c r="T238" s="63">
        <f t="shared" si="99"/>
        <v>0</v>
      </c>
      <c r="U238" s="63">
        <f t="shared" si="99"/>
        <v>0</v>
      </c>
      <c r="V238" s="63">
        <f t="shared" si="99"/>
        <v>0</v>
      </c>
      <c r="W238" s="63">
        <f t="shared" si="99"/>
        <v>0</v>
      </c>
      <c r="X238" s="63">
        <f t="shared" si="99"/>
        <v>0</v>
      </c>
      <c r="Y238" s="63">
        <f t="shared" si="99"/>
        <v>0</v>
      </c>
      <c r="Z238" s="63">
        <f t="shared" si="99"/>
        <v>0</v>
      </c>
      <c r="AA238" s="63">
        <f t="shared" si="99"/>
        <v>0</v>
      </c>
      <c r="AB238" s="63">
        <f t="shared" si="99"/>
        <v>0</v>
      </c>
      <c r="AC238" s="63">
        <f t="shared" si="99"/>
        <v>0</v>
      </c>
      <c r="AD238" s="63">
        <f t="shared" si="99"/>
        <v>0</v>
      </c>
      <c r="AE238" s="63">
        <f t="shared" si="99"/>
        <v>0</v>
      </c>
      <c r="AF238" s="63">
        <f t="shared" si="102"/>
        <v>228063</v>
      </c>
      <c r="AG238" s="58" t="str">
        <f t="shared" si="101"/>
        <v>ok</v>
      </c>
    </row>
    <row r="239" spans="1:33">
      <c r="A239" s="60">
        <v>575</v>
      </c>
      <c r="B239" s="60" t="s">
        <v>916</v>
      </c>
      <c r="C239" s="60" t="s">
        <v>917</v>
      </c>
      <c r="D239" s="44" t="s">
        <v>666</v>
      </c>
      <c r="F239" s="79">
        <v>0</v>
      </c>
      <c r="G239" s="62"/>
      <c r="H239" s="63">
        <f t="shared" si="98"/>
        <v>0</v>
      </c>
      <c r="I239" s="63">
        <f t="shared" si="98"/>
        <v>0</v>
      </c>
      <c r="J239" s="63">
        <f t="shared" si="98"/>
        <v>0</v>
      </c>
      <c r="K239" s="63">
        <f t="shared" si="98"/>
        <v>0</v>
      </c>
      <c r="L239" s="63">
        <f t="shared" si="98"/>
        <v>0</v>
      </c>
      <c r="M239" s="63">
        <f t="shared" si="98"/>
        <v>0</v>
      </c>
      <c r="N239" s="63">
        <f t="shared" si="98"/>
        <v>0</v>
      </c>
      <c r="O239" s="63">
        <f t="shared" si="98"/>
        <v>0</v>
      </c>
      <c r="P239" s="63">
        <f t="shared" si="98"/>
        <v>0</v>
      </c>
      <c r="Q239" s="63">
        <f t="shared" si="98"/>
        <v>0</v>
      </c>
      <c r="R239" s="63">
        <f t="shared" si="99"/>
        <v>0</v>
      </c>
      <c r="S239" s="63">
        <f t="shared" si="99"/>
        <v>0</v>
      </c>
      <c r="T239" s="63">
        <f t="shared" si="99"/>
        <v>0</v>
      </c>
      <c r="U239" s="63">
        <f t="shared" si="99"/>
        <v>0</v>
      </c>
      <c r="V239" s="63">
        <f t="shared" si="99"/>
        <v>0</v>
      </c>
      <c r="W239" s="63">
        <f t="shared" si="99"/>
        <v>0</v>
      </c>
      <c r="X239" s="63">
        <f t="shared" si="99"/>
        <v>0</v>
      </c>
      <c r="Y239" s="63">
        <f t="shared" si="99"/>
        <v>0</v>
      </c>
      <c r="Z239" s="63">
        <f t="shared" si="99"/>
        <v>0</v>
      </c>
      <c r="AA239" s="63">
        <f t="shared" si="99"/>
        <v>0</v>
      </c>
      <c r="AB239" s="63">
        <f t="shared" si="99"/>
        <v>0</v>
      </c>
      <c r="AC239" s="63">
        <f t="shared" si="99"/>
        <v>0</v>
      </c>
      <c r="AD239" s="63">
        <f t="shared" si="99"/>
        <v>0</v>
      </c>
      <c r="AE239" s="63">
        <f t="shared" si="99"/>
        <v>0</v>
      </c>
      <c r="AF239" s="63">
        <f>SUM(H239:AE239)</f>
        <v>0</v>
      </c>
      <c r="AG239" s="58" t="str">
        <f t="shared" si="101"/>
        <v>ok</v>
      </c>
    </row>
    <row r="240" spans="1:33">
      <c r="A240" s="60"/>
      <c r="F240" s="76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3"/>
      <c r="AG240" s="58"/>
    </row>
    <row r="241" spans="1:33">
      <c r="A241" s="60" t="s">
        <v>1149</v>
      </c>
      <c r="F241" s="80">
        <f>SUM(F226:F239)</f>
        <v>16509511</v>
      </c>
      <c r="G241" s="64">
        <f>SUM(G226:G236)</f>
        <v>0</v>
      </c>
      <c r="H241" s="64">
        <f t="shared" ref="H241:N241" si="103">SUM(H226:H239)</f>
        <v>0</v>
      </c>
      <c r="I241" s="64">
        <f t="shared" si="103"/>
        <v>0</v>
      </c>
      <c r="J241" s="64">
        <f t="shared" si="103"/>
        <v>0</v>
      </c>
      <c r="K241" s="64">
        <f t="shared" si="103"/>
        <v>0</v>
      </c>
      <c r="L241" s="64">
        <f t="shared" si="103"/>
        <v>0</v>
      </c>
      <c r="M241" s="64">
        <f t="shared" si="103"/>
        <v>0</v>
      </c>
      <c r="N241" s="64">
        <f t="shared" si="103"/>
        <v>16509511</v>
      </c>
      <c r="O241" s="64">
        <f t="shared" ref="O241:AE241" si="104">SUM(O226:O239)</f>
        <v>0</v>
      </c>
      <c r="P241" s="64">
        <f t="shared" si="104"/>
        <v>0</v>
      </c>
      <c r="Q241" s="64">
        <f t="shared" si="104"/>
        <v>0</v>
      </c>
      <c r="R241" s="64">
        <f t="shared" si="104"/>
        <v>0</v>
      </c>
      <c r="S241" s="64">
        <f t="shared" si="104"/>
        <v>0</v>
      </c>
      <c r="T241" s="64">
        <f t="shared" si="104"/>
        <v>0</v>
      </c>
      <c r="U241" s="64">
        <f t="shared" si="104"/>
        <v>0</v>
      </c>
      <c r="V241" s="64">
        <f t="shared" si="104"/>
        <v>0</v>
      </c>
      <c r="W241" s="64">
        <f t="shared" si="104"/>
        <v>0</v>
      </c>
      <c r="X241" s="64">
        <f t="shared" si="104"/>
        <v>0</v>
      </c>
      <c r="Y241" s="64">
        <f t="shared" si="104"/>
        <v>0</v>
      </c>
      <c r="Z241" s="64">
        <f t="shared" si="104"/>
        <v>0</v>
      </c>
      <c r="AA241" s="64">
        <f t="shared" si="104"/>
        <v>0</v>
      </c>
      <c r="AB241" s="64">
        <f t="shared" si="104"/>
        <v>0</v>
      </c>
      <c r="AC241" s="64">
        <f t="shared" si="104"/>
        <v>0</v>
      </c>
      <c r="AD241" s="64">
        <f t="shared" si="104"/>
        <v>0</v>
      </c>
      <c r="AE241" s="64">
        <f t="shared" si="104"/>
        <v>0</v>
      </c>
      <c r="AF241" s="62">
        <f>SUM(H241:AE241)</f>
        <v>16509511</v>
      </c>
      <c r="AG241" s="58" t="str">
        <f>IF(ABS(AF241-F241)&lt;1,"ok","err")</f>
        <v>ok</v>
      </c>
    </row>
    <row r="242" spans="1:33">
      <c r="A242" s="60"/>
      <c r="W242" s="44"/>
      <c r="AG242" s="58"/>
    </row>
    <row r="243" spans="1:33" ht="15">
      <c r="A243" s="59" t="s">
        <v>1024</v>
      </c>
      <c r="W243" s="44"/>
      <c r="AG243" s="58"/>
    </row>
    <row r="244" spans="1:33">
      <c r="A244" s="60"/>
      <c r="W244" s="44"/>
      <c r="AG244" s="58"/>
    </row>
    <row r="245" spans="1:33" ht="15">
      <c r="A245" s="65" t="s">
        <v>987</v>
      </c>
      <c r="W245" s="44"/>
      <c r="AG245" s="58"/>
    </row>
    <row r="246" spans="1:33">
      <c r="A246" s="60">
        <v>580</v>
      </c>
      <c r="B246" s="44" t="s">
        <v>988</v>
      </c>
      <c r="C246" s="44" t="s">
        <v>989</v>
      </c>
      <c r="D246" s="44" t="s">
        <v>64</v>
      </c>
      <c r="F246" s="76">
        <v>1814624</v>
      </c>
      <c r="H246" s="63">
        <f t="shared" ref="H246:Q257" si="105">IF(VLOOKUP($D246,$C$6:$AE$653,H$2,)=0,0,((VLOOKUP($D246,$C$6:$AE$653,H$2,)/VLOOKUP($D246,$C$6:$AE$653,4,))*$F246))</f>
        <v>0</v>
      </c>
      <c r="I246" s="63">
        <f t="shared" si="105"/>
        <v>0</v>
      </c>
      <c r="J246" s="63">
        <f t="shared" si="105"/>
        <v>0</v>
      </c>
      <c r="K246" s="63">
        <f t="shared" si="105"/>
        <v>0</v>
      </c>
      <c r="L246" s="63">
        <f t="shared" si="105"/>
        <v>0</v>
      </c>
      <c r="M246" s="63">
        <f t="shared" si="105"/>
        <v>0</v>
      </c>
      <c r="N246" s="63">
        <f t="shared" si="105"/>
        <v>0</v>
      </c>
      <c r="O246" s="63">
        <f t="shared" si="105"/>
        <v>0</v>
      </c>
      <c r="P246" s="63">
        <f t="shared" si="105"/>
        <v>0</v>
      </c>
      <c r="Q246" s="63">
        <f t="shared" si="105"/>
        <v>0</v>
      </c>
      <c r="R246" s="63">
        <f t="shared" ref="R246:AE257" si="106">IF(VLOOKUP($D246,$C$6:$AE$653,R$2,)=0,0,((VLOOKUP($D246,$C$6:$AE$653,R$2,)/VLOOKUP($D246,$C$6:$AE$653,4,))*$F246))</f>
        <v>336694.95423976053</v>
      </c>
      <c r="S246" s="63">
        <f t="shared" si="106"/>
        <v>0</v>
      </c>
      <c r="T246" s="63">
        <f t="shared" si="106"/>
        <v>182918.09062910196</v>
      </c>
      <c r="U246" s="63">
        <f t="shared" si="106"/>
        <v>278034.71734831348</v>
      </c>
      <c r="V246" s="63">
        <f t="shared" si="106"/>
        <v>58766.155009527873</v>
      </c>
      <c r="W246" s="63">
        <f t="shared" si="106"/>
        <v>86953.27580664141</v>
      </c>
      <c r="X246" s="63">
        <f t="shared" si="106"/>
        <v>23619.462679762364</v>
      </c>
      <c r="Y246" s="63">
        <f t="shared" si="106"/>
        <v>16518.326827387926</v>
      </c>
      <c r="Z246" s="63">
        <f t="shared" si="106"/>
        <v>8203.3099562878961</v>
      </c>
      <c r="AA246" s="63">
        <f t="shared" si="106"/>
        <v>796842.23200671258</v>
      </c>
      <c r="AB246" s="63">
        <f t="shared" si="106"/>
        <v>26073.475496503932</v>
      </c>
      <c r="AC246" s="63">
        <f t="shared" si="106"/>
        <v>0</v>
      </c>
      <c r="AD246" s="63">
        <f t="shared" si="106"/>
        <v>0</v>
      </c>
      <c r="AE246" s="63">
        <f t="shared" si="106"/>
        <v>0</v>
      </c>
      <c r="AF246" s="63">
        <f t="shared" ref="AF246:AF257" si="107">SUM(H246:AE246)</f>
        <v>1814624</v>
      </c>
      <c r="AG246" s="58" t="str">
        <f t="shared" ref="AG246:AG257" si="108">IF(ABS(AF246-F246)&lt;1,"ok","err")</f>
        <v>ok</v>
      </c>
    </row>
    <row r="247" spans="1:33">
      <c r="A247" s="60">
        <v>581</v>
      </c>
      <c r="B247" s="44" t="s">
        <v>990</v>
      </c>
      <c r="C247" s="44" t="s">
        <v>991</v>
      </c>
      <c r="D247" s="44" t="s">
        <v>939</v>
      </c>
      <c r="F247" s="79">
        <v>741674</v>
      </c>
      <c r="H247" s="63">
        <f t="shared" si="105"/>
        <v>0</v>
      </c>
      <c r="I247" s="63">
        <f t="shared" si="105"/>
        <v>0</v>
      </c>
      <c r="J247" s="63">
        <f t="shared" si="105"/>
        <v>0</v>
      </c>
      <c r="K247" s="63">
        <f t="shared" si="105"/>
        <v>0</v>
      </c>
      <c r="L247" s="63">
        <f t="shared" si="105"/>
        <v>0</v>
      </c>
      <c r="M247" s="63">
        <f t="shared" si="105"/>
        <v>0</v>
      </c>
      <c r="N247" s="63">
        <f t="shared" si="105"/>
        <v>0</v>
      </c>
      <c r="O247" s="63">
        <f t="shared" si="105"/>
        <v>0</v>
      </c>
      <c r="P247" s="63">
        <f t="shared" si="105"/>
        <v>0</v>
      </c>
      <c r="Q247" s="63">
        <f t="shared" si="105"/>
        <v>0</v>
      </c>
      <c r="R247" s="63">
        <f t="shared" si="106"/>
        <v>741674</v>
      </c>
      <c r="S247" s="63">
        <f t="shared" si="106"/>
        <v>0</v>
      </c>
      <c r="T247" s="63">
        <f t="shared" si="106"/>
        <v>0</v>
      </c>
      <c r="U247" s="63">
        <f t="shared" si="106"/>
        <v>0</v>
      </c>
      <c r="V247" s="63">
        <f t="shared" si="106"/>
        <v>0</v>
      </c>
      <c r="W247" s="63">
        <f t="shared" si="106"/>
        <v>0</v>
      </c>
      <c r="X247" s="63">
        <f t="shared" si="106"/>
        <v>0</v>
      </c>
      <c r="Y247" s="63">
        <f t="shared" si="106"/>
        <v>0</v>
      </c>
      <c r="Z247" s="63">
        <f t="shared" si="106"/>
        <v>0</v>
      </c>
      <c r="AA247" s="63">
        <f t="shared" si="106"/>
        <v>0</v>
      </c>
      <c r="AB247" s="63">
        <f t="shared" si="106"/>
        <v>0</v>
      </c>
      <c r="AC247" s="63">
        <f t="shared" si="106"/>
        <v>0</v>
      </c>
      <c r="AD247" s="63">
        <f t="shared" si="106"/>
        <v>0</v>
      </c>
      <c r="AE247" s="63">
        <f t="shared" si="106"/>
        <v>0</v>
      </c>
      <c r="AF247" s="63">
        <f t="shared" si="107"/>
        <v>741674</v>
      </c>
      <c r="AG247" s="58" t="str">
        <f t="shared" si="108"/>
        <v>ok</v>
      </c>
    </row>
    <row r="248" spans="1:33">
      <c r="A248" s="60">
        <v>582</v>
      </c>
      <c r="B248" s="44" t="s">
        <v>1144</v>
      </c>
      <c r="C248" s="44" t="s">
        <v>1150</v>
      </c>
      <c r="D248" s="44" t="s">
        <v>939</v>
      </c>
      <c r="F248" s="79">
        <v>1941657</v>
      </c>
      <c r="H248" s="63">
        <f t="shared" si="105"/>
        <v>0</v>
      </c>
      <c r="I248" s="63">
        <f t="shared" si="105"/>
        <v>0</v>
      </c>
      <c r="J248" s="63">
        <f t="shared" si="105"/>
        <v>0</v>
      </c>
      <c r="K248" s="63">
        <f t="shared" si="105"/>
        <v>0</v>
      </c>
      <c r="L248" s="63">
        <f t="shared" si="105"/>
        <v>0</v>
      </c>
      <c r="M248" s="63">
        <f t="shared" si="105"/>
        <v>0</v>
      </c>
      <c r="N248" s="63">
        <f t="shared" si="105"/>
        <v>0</v>
      </c>
      <c r="O248" s="63">
        <f t="shared" si="105"/>
        <v>0</v>
      </c>
      <c r="P248" s="63">
        <f t="shared" si="105"/>
        <v>0</v>
      </c>
      <c r="Q248" s="63">
        <f t="shared" si="105"/>
        <v>0</v>
      </c>
      <c r="R248" s="63">
        <f t="shared" si="106"/>
        <v>1941657</v>
      </c>
      <c r="S248" s="63">
        <f t="shared" si="106"/>
        <v>0</v>
      </c>
      <c r="T248" s="63">
        <f t="shared" si="106"/>
        <v>0</v>
      </c>
      <c r="U248" s="63">
        <f t="shared" si="106"/>
        <v>0</v>
      </c>
      <c r="V248" s="63">
        <f t="shared" si="106"/>
        <v>0</v>
      </c>
      <c r="W248" s="63">
        <f t="shared" si="106"/>
        <v>0</v>
      </c>
      <c r="X248" s="63">
        <f t="shared" si="106"/>
        <v>0</v>
      </c>
      <c r="Y248" s="63">
        <f t="shared" si="106"/>
        <v>0</v>
      </c>
      <c r="Z248" s="63">
        <f t="shared" si="106"/>
        <v>0</v>
      </c>
      <c r="AA248" s="63">
        <f t="shared" si="106"/>
        <v>0</v>
      </c>
      <c r="AB248" s="63">
        <f t="shared" si="106"/>
        <v>0</v>
      </c>
      <c r="AC248" s="63">
        <f t="shared" si="106"/>
        <v>0</v>
      </c>
      <c r="AD248" s="63">
        <f t="shared" si="106"/>
        <v>0</v>
      </c>
      <c r="AE248" s="63">
        <f t="shared" si="106"/>
        <v>0</v>
      </c>
      <c r="AF248" s="63">
        <f t="shared" si="107"/>
        <v>1941657</v>
      </c>
      <c r="AG248" s="58" t="str">
        <f t="shared" si="108"/>
        <v>ok</v>
      </c>
    </row>
    <row r="249" spans="1:33">
      <c r="A249" s="60">
        <v>583</v>
      </c>
      <c r="B249" s="44" t="s">
        <v>992</v>
      </c>
      <c r="C249" s="44" t="s">
        <v>993</v>
      </c>
      <c r="D249" s="44" t="s">
        <v>942</v>
      </c>
      <c r="F249" s="79">
        <v>5880672</v>
      </c>
      <c r="H249" s="63">
        <f t="shared" si="105"/>
        <v>0</v>
      </c>
      <c r="I249" s="63">
        <f t="shared" si="105"/>
        <v>0</v>
      </c>
      <c r="J249" s="63">
        <f t="shared" si="105"/>
        <v>0</v>
      </c>
      <c r="K249" s="63">
        <f t="shared" si="105"/>
        <v>0</v>
      </c>
      <c r="L249" s="63">
        <f t="shared" si="105"/>
        <v>0</v>
      </c>
      <c r="M249" s="63">
        <f t="shared" si="105"/>
        <v>0</v>
      </c>
      <c r="N249" s="63">
        <f t="shared" si="105"/>
        <v>0</v>
      </c>
      <c r="O249" s="63">
        <f t="shared" si="105"/>
        <v>0</v>
      </c>
      <c r="P249" s="63">
        <f t="shared" si="105"/>
        <v>0</v>
      </c>
      <c r="Q249" s="63">
        <f t="shared" si="105"/>
        <v>0</v>
      </c>
      <c r="R249" s="63">
        <f t="shared" si="106"/>
        <v>0</v>
      </c>
      <c r="S249" s="63">
        <f t="shared" si="106"/>
        <v>0</v>
      </c>
      <c r="T249" s="63">
        <f t="shared" si="106"/>
        <v>1756248.46157376</v>
      </c>
      <c r="U249" s="63">
        <f t="shared" si="106"/>
        <v>2547227.3080262397</v>
      </c>
      <c r="V249" s="63">
        <f t="shared" si="106"/>
        <v>643653.78162624</v>
      </c>
      <c r="W249" s="63">
        <f t="shared" si="106"/>
        <v>933542.44877376</v>
      </c>
      <c r="X249" s="63">
        <f t="shared" si="106"/>
        <v>0</v>
      </c>
      <c r="Y249" s="63">
        <f t="shared" si="106"/>
        <v>0</v>
      </c>
      <c r="Z249" s="63">
        <f t="shared" si="106"/>
        <v>0</v>
      </c>
      <c r="AA249" s="63">
        <f t="shared" si="106"/>
        <v>0</v>
      </c>
      <c r="AB249" s="63">
        <f t="shared" si="106"/>
        <v>0</v>
      </c>
      <c r="AC249" s="63">
        <f t="shared" si="106"/>
        <v>0</v>
      </c>
      <c r="AD249" s="63">
        <f t="shared" si="106"/>
        <v>0</v>
      </c>
      <c r="AE249" s="63">
        <f t="shared" si="106"/>
        <v>0</v>
      </c>
      <c r="AF249" s="63">
        <f t="shared" si="107"/>
        <v>5880672.0000000009</v>
      </c>
      <c r="AG249" s="58" t="str">
        <f t="shared" si="108"/>
        <v>ok</v>
      </c>
    </row>
    <row r="250" spans="1:33">
      <c r="A250" s="60">
        <v>584</v>
      </c>
      <c r="B250" s="44" t="s">
        <v>994</v>
      </c>
      <c r="C250" s="44" t="s">
        <v>995</v>
      </c>
      <c r="D250" s="44" t="s">
        <v>945</v>
      </c>
      <c r="F250" s="79">
        <v>535725</v>
      </c>
      <c r="H250" s="63">
        <f t="shared" si="105"/>
        <v>0</v>
      </c>
      <c r="I250" s="63">
        <f t="shared" si="105"/>
        <v>0</v>
      </c>
      <c r="J250" s="63">
        <f t="shared" si="105"/>
        <v>0</v>
      </c>
      <c r="K250" s="63">
        <f t="shared" si="105"/>
        <v>0</v>
      </c>
      <c r="L250" s="63">
        <f t="shared" si="105"/>
        <v>0</v>
      </c>
      <c r="M250" s="63">
        <f t="shared" si="105"/>
        <v>0</v>
      </c>
      <c r="N250" s="63">
        <f t="shared" si="105"/>
        <v>0</v>
      </c>
      <c r="O250" s="63">
        <f t="shared" si="105"/>
        <v>0</v>
      </c>
      <c r="P250" s="63">
        <f t="shared" si="105"/>
        <v>0</v>
      </c>
      <c r="Q250" s="63">
        <f t="shared" si="105"/>
        <v>0</v>
      </c>
      <c r="R250" s="63">
        <f t="shared" si="106"/>
        <v>0</v>
      </c>
      <c r="S250" s="63">
        <f t="shared" si="106"/>
        <v>0</v>
      </c>
      <c r="T250" s="63">
        <f t="shared" si="106"/>
        <v>168164.23821750001</v>
      </c>
      <c r="U250" s="63">
        <f t="shared" si="106"/>
        <v>303809.48678250005</v>
      </c>
      <c r="V250" s="63">
        <f t="shared" si="106"/>
        <v>22714.579282499999</v>
      </c>
      <c r="W250" s="63">
        <f t="shared" si="106"/>
        <v>41036.695717499999</v>
      </c>
      <c r="X250" s="63">
        <f t="shared" si="106"/>
        <v>0</v>
      </c>
      <c r="Y250" s="63">
        <f t="shared" si="106"/>
        <v>0</v>
      </c>
      <c r="Z250" s="63">
        <f t="shared" si="106"/>
        <v>0</v>
      </c>
      <c r="AA250" s="63">
        <f t="shared" si="106"/>
        <v>0</v>
      </c>
      <c r="AB250" s="63">
        <f t="shared" si="106"/>
        <v>0</v>
      </c>
      <c r="AC250" s="63">
        <f t="shared" si="106"/>
        <v>0</v>
      </c>
      <c r="AD250" s="63">
        <f t="shared" si="106"/>
        <v>0</v>
      </c>
      <c r="AE250" s="63">
        <f t="shared" si="106"/>
        <v>0</v>
      </c>
      <c r="AF250" s="63">
        <f t="shared" si="107"/>
        <v>535725.00000000012</v>
      </c>
      <c r="AG250" s="58" t="str">
        <f t="shared" si="108"/>
        <v>ok</v>
      </c>
    </row>
    <row r="251" spans="1:33">
      <c r="A251" s="60">
        <v>585</v>
      </c>
      <c r="B251" s="44" t="s">
        <v>996</v>
      </c>
      <c r="C251" s="44" t="s">
        <v>997</v>
      </c>
      <c r="D251" s="44" t="s">
        <v>953</v>
      </c>
      <c r="F251" s="79">
        <v>0</v>
      </c>
      <c r="H251" s="63">
        <f t="shared" si="105"/>
        <v>0</v>
      </c>
      <c r="I251" s="63">
        <f t="shared" si="105"/>
        <v>0</v>
      </c>
      <c r="J251" s="63">
        <f t="shared" si="105"/>
        <v>0</v>
      </c>
      <c r="K251" s="63">
        <f t="shared" si="105"/>
        <v>0</v>
      </c>
      <c r="L251" s="63">
        <f t="shared" si="105"/>
        <v>0</v>
      </c>
      <c r="M251" s="63">
        <f t="shared" si="105"/>
        <v>0</v>
      </c>
      <c r="N251" s="63">
        <f t="shared" si="105"/>
        <v>0</v>
      </c>
      <c r="O251" s="63">
        <f t="shared" si="105"/>
        <v>0</v>
      </c>
      <c r="P251" s="63">
        <f t="shared" si="105"/>
        <v>0</v>
      </c>
      <c r="Q251" s="63">
        <f t="shared" si="105"/>
        <v>0</v>
      </c>
      <c r="R251" s="63">
        <f t="shared" si="106"/>
        <v>0</v>
      </c>
      <c r="S251" s="63">
        <f t="shared" si="106"/>
        <v>0</v>
      </c>
      <c r="T251" s="63">
        <f t="shared" si="106"/>
        <v>0</v>
      </c>
      <c r="U251" s="63">
        <f t="shared" si="106"/>
        <v>0</v>
      </c>
      <c r="V251" s="63">
        <f t="shared" si="106"/>
        <v>0</v>
      </c>
      <c r="W251" s="63">
        <f t="shared" si="106"/>
        <v>0</v>
      </c>
      <c r="X251" s="63">
        <f t="shared" si="106"/>
        <v>0</v>
      </c>
      <c r="Y251" s="63">
        <f t="shared" si="106"/>
        <v>0</v>
      </c>
      <c r="Z251" s="63">
        <f t="shared" si="106"/>
        <v>0</v>
      </c>
      <c r="AA251" s="63">
        <f t="shared" si="106"/>
        <v>0</v>
      </c>
      <c r="AB251" s="63">
        <f t="shared" si="106"/>
        <v>0</v>
      </c>
      <c r="AC251" s="63">
        <f t="shared" si="106"/>
        <v>0</v>
      </c>
      <c r="AD251" s="63">
        <f t="shared" si="106"/>
        <v>0</v>
      </c>
      <c r="AE251" s="63">
        <f t="shared" si="106"/>
        <v>0</v>
      </c>
      <c r="AF251" s="63">
        <f t="shared" si="107"/>
        <v>0</v>
      </c>
      <c r="AG251" s="58" t="str">
        <f t="shared" si="108"/>
        <v>ok</v>
      </c>
    </row>
    <row r="252" spans="1:33">
      <c r="A252" s="60">
        <v>586</v>
      </c>
      <c r="B252" s="44" t="s">
        <v>998</v>
      </c>
      <c r="C252" s="44" t="s">
        <v>999</v>
      </c>
      <c r="D252" s="44" t="s">
        <v>950</v>
      </c>
      <c r="F252" s="79">
        <v>8277541</v>
      </c>
      <c r="H252" s="63">
        <f t="shared" si="105"/>
        <v>0</v>
      </c>
      <c r="I252" s="63">
        <f t="shared" si="105"/>
        <v>0</v>
      </c>
      <c r="J252" s="63">
        <f t="shared" si="105"/>
        <v>0</v>
      </c>
      <c r="K252" s="63">
        <f t="shared" si="105"/>
        <v>0</v>
      </c>
      <c r="L252" s="63">
        <f t="shared" si="105"/>
        <v>0</v>
      </c>
      <c r="M252" s="63">
        <f t="shared" si="105"/>
        <v>0</v>
      </c>
      <c r="N252" s="63">
        <f t="shared" si="105"/>
        <v>0</v>
      </c>
      <c r="O252" s="63">
        <f t="shared" si="105"/>
        <v>0</v>
      </c>
      <c r="P252" s="63">
        <f t="shared" si="105"/>
        <v>0</v>
      </c>
      <c r="Q252" s="63">
        <f t="shared" si="105"/>
        <v>0</v>
      </c>
      <c r="R252" s="63">
        <f t="shared" si="106"/>
        <v>0</v>
      </c>
      <c r="S252" s="63">
        <f t="shared" si="106"/>
        <v>0</v>
      </c>
      <c r="T252" s="63">
        <f t="shared" si="106"/>
        <v>0</v>
      </c>
      <c r="U252" s="63">
        <f t="shared" si="106"/>
        <v>0</v>
      </c>
      <c r="V252" s="63">
        <f t="shared" si="106"/>
        <v>0</v>
      </c>
      <c r="W252" s="63">
        <f t="shared" si="106"/>
        <v>0</v>
      </c>
      <c r="X252" s="63">
        <f t="shared" si="106"/>
        <v>0</v>
      </c>
      <c r="Y252" s="63">
        <f t="shared" si="106"/>
        <v>0</v>
      </c>
      <c r="Z252" s="63">
        <f t="shared" si="106"/>
        <v>0</v>
      </c>
      <c r="AA252" s="63">
        <f t="shared" si="106"/>
        <v>8277541</v>
      </c>
      <c r="AB252" s="63">
        <f t="shared" si="106"/>
        <v>0</v>
      </c>
      <c r="AC252" s="63">
        <f t="shared" si="106"/>
        <v>0</v>
      </c>
      <c r="AD252" s="63">
        <f t="shared" si="106"/>
        <v>0</v>
      </c>
      <c r="AE252" s="63">
        <f t="shared" si="106"/>
        <v>0</v>
      </c>
      <c r="AF252" s="63">
        <f t="shared" si="107"/>
        <v>8277541</v>
      </c>
      <c r="AG252" s="58" t="str">
        <f t="shared" si="108"/>
        <v>ok</v>
      </c>
    </row>
    <row r="253" spans="1:33">
      <c r="A253" s="60">
        <v>586</v>
      </c>
      <c r="B253" s="44" t="s">
        <v>27</v>
      </c>
      <c r="C253" s="44" t="s">
        <v>28</v>
      </c>
      <c r="D253" s="44" t="s">
        <v>42</v>
      </c>
      <c r="F253" s="79">
        <v>0</v>
      </c>
      <c r="H253" s="63">
        <f t="shared" si="105"/>
        <v>0</v>
      </c>
      <c r="I253" s="63">
        <f t="shared" si="105"/>
        <v>0</v>
      </c>
      <c r="J253" s="63">
        <f t="shared" si="105"/>
        <v>0</v>
      </c>
      <c r="K253" s="63">
        <f t="shared" si="105"/>
        <v>0</v>
      </c>
      <c r="L253" s="63">
        <f t="shared" si="105"/>
        <v>0</v>
      </c>
      <c r="M253" s="63">
        <f t="shared" si="105"/>
        <v>0</v>
      </c>
      <c r="N253" s="63">
        <f t="shared" si="105"/>
        <v>0</v>
      </c>
      <c r="O253" s="63">
        <f t="shared" si="105"/>
        <v>0</v>
      </c>
      <c r="P253" s="63">
        <f t="shared" si="105"/>
        <v>0</v>
      </c>
      <c r="Q253" s="63">
        <f t="shared" si="105"/>
        <v>0</v>
      </c>
      <c r="R253" s="63">
        <f t="shared" si="106"/>
        <v>0</v>
      </c>
      <c r="S253" s="63">
        <f t="shared" si="106"/>
        <v>0</v>
      </c>
      <c r="T253" s="63">
        <f t="shared" si="106"/>
        <v>0</v>
      </c>
      <c r="U253" s="63">
        <f t="shared" si="106"/>
        <v>0</v>
      </c>
      <c r="V253" s="63">
        <f t="shared" si="106"/>
        <v>0</v>
      </c>
      <c r="W253" s="63">
        <f t="shared" si="106"/>
        <v>0</v>
      </c>
      <c r="X253" s="63">
        <f t="shared" si="106"/>
        <v>0</v>
      </c>
      <c r="Y253" s="63">
        <f t="shared" si="106"/>
        <v>0</v>
      </c>
      <c r="Z253" s="63">
        <f t="shared" si="106"/>
        <v>0</v>
      </c>
      <c r="AA253" s="63">
        <f t="shared" si="106"/>
        <v>0</v>
      </c>
      <c r="AB253" s="63">
        <f t="shared" si="106"/>
        <v>0</v>
      </c>
      <c r="AC253" s="63">
        <f t="shared" si="106"/>
        <v>0</v>
      </c>
      <c r="AD253" s="63">
        <f t="shared" si="106"/>
        <v>0</v>
      </c>
      <c r="AE253" s="63">
        <f t="shared" si="106"/>
        <v>0</v>
      </c>
      <c r="AF253" s="63">
        <f t="shared" si="107"/>
        <v>0</v>
      </c>
      <c r="AG253" s="58" t="str">
        <f t="shared" si="108"/>
        <v>ok</v>
      </c>
    </row>
    <row r="254" spans="1:33">
      <c r="A254" s="60">
        <v>587</v>
      </c>
      <c r="B254" s="44" t="s">
        <v>1000</v>
      </c>
      <c r="C254" s="44" t="s">
        <v>1001</v>
      </c>
      <c r="D254" s="44" t="s">
        <v>935</v>
      </c>
      <c r="F254" s="79">
        <f>-79200</f>
        <v>-79200</v>
      </c>
      <c r="H254" s="63">
        <f t="shared" si="105"/>
        <v>0</v>
      </c>
      <c r="I254" s="63">
        <f t="shared" si="105"/>
        <v>0</v>
      </c>
      <c r="J254" s="63">
        <f t="shared" si="105"/>
        <v>0</v>
      </c>
      <c r="K254" s="63">
        <f t="shared" si="105"/>
        <v>0</v>
      </c>
      <c r="L254" s="63">
        <f t="shared" si="105"/>
        <v>0</v>
      </c>
      <c r="M254" s="63">
        <f t="shared" si="105"/>
        <v>0</v>
      </c>
      <c r="N254" s="63">
        <f t="shared" si="105"/>
        <v>0</v>
      </c>
      <c r="O254" s="63">
        <f t="shared" si="105"/>
        <v>0</v>
      </c>
      <c r="P254" s="63">
        <f t="shared" si="105"/>
        <v>0</v>
      </c>
      <c r="Q254" s="63">
        <f t="shared" si="105"/>
        <v>0</v>
      </c>
      <c r="R254" s="63">
        <f t="shared" si="106"/>
        <v>-8873.7543122379684</v>
      </c>
      <c r="S254" s="63">
        <f t="shared" si="106"/>
        <v>0</v>
      </c>
      <c r="T254" s="63">
        <f t="shared" si="106"/>
        <v>-15175.032628823605</v>
      </c>
      <c r="U254" s="63">
        <f t="shared" si="106"/>
        <v>-24149.116980579362</v>
      </c>
      <c r="V254" s="63">
        <f t="shared" si="106"/>
        <v>-4171.6734976716343</v>
      </c>
      <c r="W254" s="63">
        <f t="shared" si="106"/>
        <v>-6339.5089338972275</v>
      </c>
      <c r="X254" s="63">
        <f t="shared" si="106"/>
        <v>-5766.5113926825243</v>
      </c>
      <c r="Y254" s="63">
        <f t="shared" si="106"/>
        <v>-4032.8233173483941</v>
      </c>
      <c r="Z254" s="63">
        <f t="shared" si="106"/>
        <v>-2002.7754636929808</v>
      </c>
      <c r="AA254" s="63">
        <f t="shared" si="106"/>
        <v>-2323.1635964977295</v>
      </c>
      <c r="AB254" s="63">
        <f t="shared" si="106"/>
        <v>-6365.6398765685744</v>
      </c>
      <c r="AC254" s="63">
        <f t="shared" si="106"/>
        <v>0</v>
      </c>
      <c r="AD254" s="63">
        <f t="shared" si="106"/>
        <v>0</v>
      </c>
      <c r="AE254" s="63">
        <f t="shared" si="106"/>
        <v>0</v>
      </c>
      <c r="AF254" s="63">
        <f t="shared" si="107"/>
        <v>-79199.999999999985</v>
      </c>
      <c r="AG254" s="58" t="str">
        <f t="shared" si="108"/>
        <v>ok</v>
      </c>
    </row>
    <row r="255" spans="1:33">
      <c r="A255" s="60">
        <v>588</v>
      </c>
      <c r="B255" s="44" t="s">
        <v>1002</v>
      </c>
      <c r="C255" s="44" t="s">
        <v>1003</v>
      </c>
      <c r="D255" s="44" t="s">
        <v>935</v>
      </c>
      <c r="F255" s="79">
        <f>5593730</f>
        <v>5593730</v>
      </c>
      <c r="H255" s="63">
        <f t="shared" si="105"/>
        <v>0</v>
      </c>
      <c r="I255" s="63">
        <f t="shared" si="105"/>
        <v>0</v>
      </c>
      <c r="J255" s="63">
        <f t="shared" si="105"/>
        <v>0</v>
      </c>
      <c r="K255" s="63">
        <f t="shared" si="105"/>
        <v>0</v>
      </c>
      <c r="L255" s="63">
        <f t="shared" si="105"/>
        <v>0</v>
      </c>
      <c r="M255" s="63">
        <f t="shared" si="105"/>
        <v>0</v>
      </c>
      <c r="N255" s="63">
        <f t="shared" si="105"/>
        <v>0</v>
      </c>
      <c r="O255" s="63">
        <f t="shared" si="105"/>
        <v>0</v>
      </c>
      <c r="P255" s="63">
        <f t="shared" si="105"/>
        <v>0</v>
      </c>
      <c r="Q255" s="63">
        <f t="shared" si="105"/>
        <v>0</v>
      </c>
      <c r="R255" s="63">
        <f t="shared" si="106"/>
        <v>626734.66804286477</v>
      </c>
      <c r="S255" s="63">
        <f t="shared" si="106"/>
        <v>0</v>
      </c>
      <c r="T255" s="63">
        <f t="shared" si="106"/>
        <v>1071780.7483185539</v>
      </c>
      <c r="U255" s="63">
        <f t="shared" si="106"/>
        <v>1705601.5167648508</v>
      </c>
      <c r="V255" s="63">
        <f t="shared" si="106"/>
        <v>294636.55548144889</v>
      </c>
      <c r="W255" s="63">
        <f t="shared" si="106"/>
        <v>447746.22864657751</v>
      </c>
      <c r="X255" s="63">
        <f t="shared" si="106"/>
        <v>407276.61329027801</v>
      </c>
      <c r="Y255" s="63">
        <f t="shared" si="106"/>
        <v>284829.85826958629</v>
      </c>
      <c r="Z255" s="63">
        <f t="shared" si="106"/>
        <v>141451.83326418357</v>
      </c>
      <c r="AA255" s="63">
        <f t="shared" si="106"/>
        <v>164080.17556360157</v>
      </c>
      <c r="AB255" s="63">
        <f t="shared" si="106"/>
        <v>449591.80235805473</v>
      </c>
      <c r="AC255" s="63">
        <f t="shared" si="106"/>
        <v>0</v>
      </c>
      <c r="AD255" s="63">
        <f t="shared" si="106"/>
        <v>0</v>
      </c>
      <c r="AE255" s="63">
        <f t="shared" si="106"/>
        <v>0</v>
      </c>
      <c r="AF255" s="63">
        <f t="shared" si="107"/>
        <v>5593729.9999999991</v>
      </c>
      <c r="AG255" s="58" t="str">
        <f t="shared" si="108"/>
        <v>ok</v>
      </c>
    </row>
    <row r="256" spans="1:33">
      <c r="A256" s="60">
        <v>588</v>
      </c>
      <c r="B256" s="44" t="s">
        <v>174</v>
      </c>
      <c r="C256" s="44" t="s">
        <v>118</v>
      </c>
      <c r="D256" s="44" t="s">
        <v>935</v>
      </c>
      <c r="F256" s="79"/>
      <c r="H256" s="63">
        <f t="shared" si="105"/>
        <v>0</v>
      </c>
      <c r="I256" s="63">
        <f t="shared" si="105"/>
        <v>0</v>
      </c>
      <c r="J256" s="63">
        <f t="shared" si="105"/>
        <v>0</v>
      </c>
      <c r="K256" s="63">
        <f t="shared" si="105"/>
        <v>0</v>
      </c>
      <c r="L256" s="63">
        <f t="shared" si="105"/>
        <v>0</v>
      </c>
      <c r="M256" s="63">
        <f t="shared" si="105"/>
        <v>0</v>
      </c>
      <c r="N256" s="63">
        <f t="shared" si="105"/>
        <v>0</v>
      </c>
      <c r="O256" s="63">
        <f t="shared" si="105"/>
        <v>0</v>
      </c>
      <c r="P256" s="63">
        <f t="shared" si="105"/>
        <v>0</v>
      </c>
      <c r="Q256" s="63">
        <f t="shared" si="105"/>
        <v>0</v>
      </c>
      <c r="R256" s="63">
        <f t="shared" si="106"/>
        <v>0</v>
      </c>
      <c r="S256" s="63">
        <f t="shared" si="106"/>
        <v>0</v>
      </c>
      <c r="T256" s="63">
        <f t="shared" si="106"/>
        <v>0</v>
      </c>
      <c r="U256" s="63">
        <f t="shared" si="106"/>
        <v>0</v>
      </c>
      <c r="V256" s="63">
        <f t="shared" si="106"/>
        <v>0</v>
      </c>
      <c r="W256" s="63">
        <f t="shared" si="106"/>
        <v>0</v>
      </c>
      <c r="X256" s="63">
        <f t="shared" si="106"/>
        <v>0</v>
      </c>
      <c r="Y256" s="63">
        <f t="shared" si="106"/>
        <v>0</v>
      </c>
      <c r="Z256" s="63">
        <f t="shared" si="106"/>
        <v>0</v>
      </c>
      <c r="AA256" s="63">
        <f t="shared" si="106"/>
        <v>0</v>
      </c>
      <c r="AB256" s="63">
        <f t="shared" si="106"/>
        <v>0</v>
      </c>
      <c r="AC256" s="63">
        <f t="shared" si="106"/>
        <v>0</v>
      </c>
      <c r="AD256" s="63">
        <f t="shared" si="106"/>
        <v>0</v>
      </c>
      <c r="AE256" s="63">
        <f t="shared" si="106"/>
        <v>0</v>
      </c>
      <c r="AF256" s="63">
        <f t="shared" si="107"/>
        <v>0</v>
      </c>
      <c r="AG256" s="58" t="str">
        <f t="shared" si="108"/>
        <v>ok</v>
      </c>
    </row>
    <row r="257" spans="1:33">
      <c r="A257" s="60">
        <v>589</v>
      </c>
      <c r="B257" s="44" t="s">
        <v>1004</v>
      </c>
      <c r="C257" s="44" t="s">
        <v>1005</v>
      </c>
      <c r="D257" s="44" t="s">
        <v>935</v>
      </c>
      <c r="F257" s="79">
        <v>8165</v>
      </c>
      <c r="H257" s="63">
        <f t="shared" si="105"/>
        <v>0</v>
      </c>
      <c r="I257" s="63">
        <f t="shared" si="105"/>
        <v>0</v>
      </c>
      <c r="J257" s="63">
        <f t="shared" si="105"/>
        <v>0</v>
      </c>
      <c r="K257" s="63">
        <f t="shared" si="105"/>
        <v>0</v>
      </c>
      <c r="L257" s="63">
        <f t="shared" si="105"/>
        <v>0</v>
      </c>
      <c r="M257" s="63">
        <f t="shared" si="105"/>
        <v>0</v>
      </c>
      <c r="N257" s="63">
        <f t="shared" si="105"/>
        <v>0</v>
      </c>
      <c r="O257" s="63">
        <f t="shared" si="105"/>
        <v>0</v>
      </c>
      <c r="P257" s="63">
        <f t="shared" si="105"/>
        <v>0</v>
      </c>
      <c r="Q257" s="63">
        <f t="shared" si="105"/>
        <v>0</v>
      </c>
      <c r="R257" s="63">
        <f t="shared" si="106"/>
        <v>914.82580756847244</v>
      </c>
      <c r="S257" s="63">
        <f t="shared" si="106"/>
        <v>0</v>
      </c>
      <c r="T257" s="63">
        <f t="shared" si="106"/>
        <v>1564.4462299791001</v>
      </c>
      <c r="U257" s="63">
        <f t="shared" si="106"/>
        <v>2489.6154058892739</v>
      </c>
      <c r="V257" s="63">
        <f t="shared" si="106"/>
        <v>430.07214783445579</v>
      </c>
      <c r="W257" s="63">
        <f t="shared" si="106"/>
        <v>653.56174804634929</v>
      </c>
      <c r="X257" s="63">
        <f t="shared" si="106"/>
        <v>594.48946365218205</v>
      </c>
      <c r="Y257" s="63">
        <f t="shared" si="106"/>
        <v>415.75760588572774</v>
      </c>
      <c r="Z257" s="63">
        <f t="shared" si="106"/>
        <v>206.4730007708736</v>
      </c>
      <c r="AA257" s="63">
        <f t="shared" si="106"/>
        <v>239.50291370459547</v>
      </c>
      <c r="AB257" s="63">
        <f t="shared" si="106"/>
        <v>656.25567666896984</v>
      </c>
      <c r="AC257" s="63">
        <f t="shared" si="106"/>
        <v>0</v>
      </c>
      <c r="AD257" s="63">
        <f t="shared" si="106"/>
        <v>0</v>
      </c>
      <c r="AE257" s="63">
        <f t="shared" si="106"/>
        <v>0</v>
      </c>
      <c r="AF257" s="63">
        <f t="shared" si="107"/>
        <v>8165</v>
      </c>
      <c r="AG257" s="58" t="str">
        <f t="shared" si="108"/>
        <v>ok</v>
      </c>
    </row>
    <row r="258" spans="1:33">
      <c r="A258" s="60"/>
      <c r="F258" s="79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G258" s="58"/>
    </row>
    <row r="259" spans="1:33">
      <c r="A259" s="60" t="s">
        <v>1006</v>
      </c>
      <c r="C259" s="44" t="s">
        <v>1007</v>
      </c>
      <c r="F259" s="76">
        <f t="shared" ref="F259:M259" si="109">SUM(F246:F258)</f>
        <v>24714588</v>
      </c>
      <c r="G259" s="62">
        <f t="shared" si="109"/>
        <v>0</v>
      </c>
      <c r="H259" s="62">
        <f t="shared" si="109"/>
        <v>0</v>
      </c>
      <c r="I259" s="62">
        <f t="shared" si="109"/>
        <v>0</v>
      </c>
      <c r="J259" s="62">
        <f t="shared" si="109"/>
        <v>0</v>
      </c>
      <c r="K259" s="62">
        <f t="shared" si="109"/>
        <v>0</v>
      </c>
      <c r="L259" s="62">
        <f t="shared" si="109"/>
        <v>0</v>
      </c>
      <c r="M259" s="62">
        <f t="shared" si="109"/>
        <v>0</v>
      </c>
      <c r="N259" s="62">
        <f>SUM(N246:N258)</f>
        <v>0</v>
      </c>
      <c r="O259" s="62">
        <f>SUM(O246:O258)</f>
        <v>0</v>
      </c>
      <c r="P259" s="62">
        <f>SUM(P246:P258)</f>
        <v>0</v>
      </c>
      <c r="Q259" s="62">
        <f t="shared" ref="Q259:AB259" si="110">SUM(Q246:Q258)</f>
        <v>0</v>
      </c>
      <c r="R259" s="62">
        <f t="shared" si="110"/>
        <v>3638801.6937779556</v>
      </c>
      <c r="S259" s="62">
        <f t="shared" si="110"/>
        <v>0</v>
      </c>
      <c r="T259" s="62">
        <f t="shared" si="110"/>
        <v>3165500.9523400711</v>
      </c>
      <c r="U259" s="62">
        <f t="shared" si="110"/>
        <v>4813013.5273472145</v>
      </c>
      <c r="V259" s="62">
        <f t="shared" si="110"/>
        <v>1016029.4700498796</v>
      </c>
      <c r="W259" s="62">
        <f t="shared" si="110"/>
        <v>1503592.7017586282</v>
      </c>
      <c r="X259" s="62">
        <f t="shared" si="110"/>
        <v>425724.05404101004</v>
      </c>
      <c r="Y259" s="62">
        <f t="shared" si="110"/>
        <v>297731.11938551156</v>
      </c>
      <c r="Z259" s="62">
        <f t="shared" si="110"/>
        <v>147858.84075754936</v>
      </c>
      <c r="AA259" s="62">
        <f t="shared" si="110"/>
        <v>9236379.74688752</v>
      </c>
      <c r="AB259" s="62">
        <f t="shared" si="110"/>
        <v>469955.89365465904</v>
      </c>
      <c r="AC259" s="62">
        <f>SUM(AC246:AC258)</f>
        <v>0</v>
      </c>
      <c r="AD259" s="62">
        <f>SUM(AD246:AD258)</f>
        <v>0</v>
      </c>
      <c r="AE259" s="62">
        <f>SUM(AE246:AE258)</f>
        <v>0</v>
      </c>
      <c r="AF259" s="63">
        <f>SUM(H259:AE259)</f>
        <v>24714588</v>
      </c>
      <c r="AG259" s="58" t="str">
        <f>IF(ABS(AF259-F259)&lt;1,"ok","err")</f>
        <v>ok</v>
      </c>
    </row>
    <row r="260" spans="1:33">
      <c r="A260" s="60"/>
      <c r="F260" s="76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3"/>
      <c r="AG260" s="58"/>
    </row>
    <row r="261" spans="1:33">
      <c r="A261" s="60"/>
      <c r="F261" s="79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G261" s="58"/>
    </row>
    <row r="262" spans="1:33" ht="15">
      <c r="A262" s="65" t="s">
        <v>1008</v>
      </c>
      <c r="F262" s="79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G262" s="58"/>
    </row>
    <row r="263" spans="1:33">
      <c r="A263" s="60">
        <v>590</v>
      </c>
      <c r="B263" s="60" t="s">
        <v>1009</v>
      </c>
      <c r="C263" s="44" t="s">
        <v>1010</v>
      </c>
      <c r="D263" s="44" t="s">
        <v>73</v>
      </c>
      <c r="F263" s="76">
        <v>77850</v>
      </c>
      <c r="H263" s="63">
        <f t="shared" ref="H263:Q271" si="111">IF(VLOOKUP($D263,$C$6:$AE$653,H$2,)=0,0,((VLOOKUP($D263,$C$6:$AE$653,H$2,)/VLOOKUP($D263,$C$6:$AE$653,4,))*$F263))</f>
        <v>0</v>
      </c>
      <c r="I263" s="63">
        <f t="shared" si="111"/>
        <v>0</v>
      </c>
      <c r="J263" s="63">
        <f t="shared" si="111"/>
        <v>0</v>
      </c>
      <c r="K263" s="63">
        <f t="shared" si="111"/>
        <v>0</v>
      </c>
      <c r="L263" s="63">
        <f t="shared" si="111"/>
        <v>0</v>
      </c>
      <c r="M263" s="63">
        <f t="shared" si="111"/>
        <v>0</v>
      </c>
      <c r="N263" s="63">
        <f t="shared" si="111"/>
        <v>0</v>
      </c>
      <c r="O263" s="63">
        <f t="shared" si="111"/>
        <v>0</v>
      </c>
      <c r="P263" s="63">
        <f t="shared" si="111"/>
        <v>0</v>
      </c>
      <c r="Q263" s="63">
        <f t="shared" si="111"/>
        <v>0</v>
      </c>
      <c r="R263" s="63">
        <f t="shared" ref="R263:AE271" si="112">IF(VLOOKUP($D263,$C$6:$AE$653,R$2,)=0,0,((VLOOKUP($D263,$C$6:$AE$653,R$2,)/VLOOKUP($D263,$C$6:$AE$653,4,))*$F263))</f>
        <v>4736.0094645903264</v>
      </c>
      <c r="S263" s="63">
        <f t="shared" si="112"/>
        <v>0</v>
      </c>
      <c r="T263" s="63">
        <f t="shared" si="112"/>
        <v>21381.116377059487</v>
      </c>
      <c r="U263" s="63">
        <f t="shared" si="112"/>
        <v>32084.851849457875</v>
      </c>
      <c r="V263" s="63">
        <f t="shared" si="112"/>
        <v>7138.2869506657107</v>
      </c>
      <c r="W263" s="63">
        <f t="shared" si="112"/>
        <v>10498.311680242781</v>
      </c>
      <c r="X263" s="63">
        <f t="shared" si="112"/>
        <v>1088.4088778245496</v>
      </c>
      <c r="Y263" s="63">
        <f t="shared" si="112"/>
        <v>761.18131091699013</v>
      </c>
      <c r="Z263" s="63">
        <f t="shared" si="112"/>
        <v>0</v>
      </c>
      <c r="AA263" s="63">
        <f t="shared" si="112"/>
        <v>0</v>
      </c>
      <c r="AB263" s="63">
        <f t="shared" si="112"/>
        <v>161.8334892422825</v>
      </c>
      <c r="AC263" s="63">
        <f t="shared" si="112"/>
        <v>0</v>
      </c>
      <c r="AD263" s="63">
        <f t="shared" si="112"/>
        <v>0</v>
      </c>
      <c r="AE263" s="63">
        <f t="shared" si="112"/>
        <v>0</v>
      </c>
      <c r="AF263" s="63">
        <f t="shared" ref="AF263:AF271" si="113">SUM(H263:AE263)</f>
        <v>77850</v>
      </c>
      <c r="AG263" s="58" t="str">
        <f>IF(ABS(AF263-F263)&lt;1,"ok","err")</f>
        <v>ok</v>
      </c>
    </row>
    <row r="264" spans="1:33">
      <c r="A264" s="60">
        <v>591</v>
      </c>
      <c r="B264" s="60" t="s">
        <v>266</v>
      </c>
      <c r="C264" s="44" t="s">
        <v>272</v>
      </c>
      <c r="D264" s="44" t="s">
        <v>939</v>
      </c>
      <c r="F264" s="79">
        <v>0</v>
      </c>
      <c r="H264" s="63">
        <f t="shared" si="111"/>
        <v>0</v>
      </c>
      <c r="I264" s="63">
        <f t="shared" si="111"/>
        <v>0</v>
      </c>
      <c r="J264" s="63">
        <f t="shared" si="111"/>
        <v>0</v>
      </c>
      <c r="K264" s="63">
        <f t="shared" si="111"/>
        <v>0</v>
      </c>
      <c r="L264" s="63">
        <f t="shared" si="111"/>
        <v>0</v>
      </c>
      <c r="M264" s="63">
        <f t="shared" si="111"/>
        <v>0</v>
      </c>
      <c r="N264" s="63">
        <f t="shared" si="111"/>
        <v>0</v>
      </c>
      <c r="O264" s="63">
        <f t="shared" si="111"/>
        <v>0</v>
      </c>
      <c r="P264" s="63">
        <f t="shared" si="111"/>
        <v>0</v>
      </c>
      <c r="Q264" s="63">
        <f t="shared" si="111"/>
        <v>0</v>
      </c>
      <c r="R264" s="63">
        <f t="shared" si="112"/>
        <v>0</v>
      </c>
      <c r="S264" s="63">
        <f t="shared" si="112"/>
        <v>0</v>
      </c>
      <c r="T264" s="63">
        <f t="shared" si="112"/>
        <v>0</v>
      </c>
      <c r="U264" s="63">
        <f t="shared" si="112"/>
        <v>0</v>
      </c>
      <c r="V264" s="63">
        <f t="shared" si="112"/>
        <v>0</v>
      </c>
      <c r="W264" s="63">
        <f t="shared" si="112"/>
        <v>0</v>
      </c>
      <c r="X264" s="63">
        <f t="shared" si="112"/>
        <v>0</v>
      </c>
      <c r="Y264" s="63">
        <f t="shared" si="112"/>
        <v>0</v>
      </c>
      <c r="Z264" s="63">
        <f t="shared" si="112"/>
        <v>0</v>
      </c>
      <c r="AA264" s="63">
        <f t="shared" si="112"/>
        <v>0</v>
      </c>
      <c r="AB264" s="63">
        <f t="shared" si="112"/>
        <v>0</v>
      </c>
      <c r="AC264" s="63">
        <f t="shared" si="112"/>
        <v>0</v>
      </c>
      <c r="AD264" s="63">
        <f t="shared" si="112"/>
        <v>0</v>
      </c>
      <c r="AE264" s="63">
        <f t="shared" si="112"/>
        <v>0</v>
      </c>
      <c r="AF264" s="63"/>
      <c r="AG264" s="58"/>
    </row>
    <row r="265" spans="1:33">
      <c r="A265" s="60">
        <v>592</v>
      </c>
      <c r="B265" s="60" t="s">
        <v>1011</v>
      </c>
      <c r="C265" s="44" t="s">
        <v>1012</v>
      </c>
      <c r="D265" s="44" t="s">
        <v>939</v>
      </c>
      <c r="F265" s="79">
        <v>1167866</v>
      </c>
      <c r="H265" s="63">
        <f t="shared" si="111"/>
        <v>0</v>
      </c>
      <c r="I265" s="63">
        <f t="shared" si="111"/>
        <v>0</v>
      </c>
      <c r="J265" s="63">
        <f t="shared" si="111"/>
        <v>0</v>
      </c>
      <c r="K265" s="63">
        <f t="shared" si="111"/>
        <v>0</v>
      </c>
      <c r="L265" s="63">
        <f t="shared" si="111"/>
        <v>0</v>
      </c>
      <c r="M265" s="63">
        <f t="shared" si="111"/>
        <v>0</v>
      </c>
      <c r="N265" s="63">
        <f t="shared" si="111"/>
        <v>0</v>
      </c>
      <c r="O265" s="63">
        <f t="shared" si="111"/>
        <v>0</v>
      </c>
      <c r="P265" s="63">
        <f t="shared" si="111"/>
        <v>0</v>
      </c>
      <c r="Q265" s="63">
        <f t="shared" si="111"/>
        <v>0</v>
      </c>
      <c r="R265" s="63">
        <f t="shared" si="112"/>
        <v>1167866</v>
      </c>
      <c r="S265" s="63">
        <f t="shared" si="112"/>
        <v>0</v>
      </c>
      <c r="T265" s="63">
        <f t="shared" si="112"/>
        <v>0</v>
      </c>
      <c r="U265" s="63">
        <f t="shared" si="112"/>
        <v>0</v>
      </c>
      <c r="V265" s="63">
        <f t="shared" si="112"/>
        <v>0</v>
      </c>
      <c r="W265" s="63">
        <f t="shared" si="112"/>
        <v>0</v>
      </c>
      <c r="X265" s="63">
        <f t="shared" si="112"/>
        <v>0</v>
      </c>
      <c r="Y265" s="63">
        <f t="shared" si="112"/>
        <v>0</v>
      </c>
      <c r="Z265" s="63">
        <f t="shared" si="112"/>
        <v>0</v>
      </c>
      <c r="AA265" s="63">
        <f t="shared" si="112"/>
        <v>0</v>
      </c>
      <c r="AB265" s="63">
        <f t="shared" si="112"/>
        <v>0</v>
      </c>
      <c r="AC265" s="63">
        <f t="shared" si="112"/>
        <v>0</v>
      </c>
      <c r="AD265" s="63">
        <f t="shared" si="112"/>
        <v>0</v>
      </c>
      <c r="AE265" s="63">
        <f t="shared" si="112"/>
        <v>0</v>
      </c>
      <c r="AF265" s="63">
        <f t="shared" si="113"/>
        <v>1167866</v>
      </c>
      <c r="AG265" s="58" t="str">
        <f t="shared" ref="AG265:AG271" si="114">IF(ABS(AF265-F265)&lt;1,"ok","err")</f>
        <v>ok</v>
      </c>
    </row>
    <row r="266" spans="1:33">
      <c r="A266" s="60">
        <v>593</v>
      </c>
      <c r="B266" s="60" t="s">
        <v>1013</v>
      </c>
      <c r="C266" s="44" t="s">
        <v>1014</v>
      </c>
      <c r="D266" s="44" t="s">
        <v>942</v>
      </c>
      <c r="F266" s="79">
        <v>23665349</v>
      </c>
      <c r="H266" s="63">
        <f t="shared" si="111"/>
        <v>0</v>
      </c>
      <c r="I266" s="63">
        <f t="shared" si="111"/>
        <v>0</v>
      </c>
      <c r="J266" s="63">
        <f t="shared" si="111"/>
        <v>0</v>
      </c>
      <c r="K266" s="63">
        <f t="shared" si="111"/>
        <v>0</v>
      </c>
      <c r="L266" s="63">
        <f t="shared" si="111"/>
        <v>0</v>
      </c>
      <c r="M266" s="63">
        <f t="shared" si="111"/>
        <v>0</v>
      </c>
      <c r="N266" s="63">
        <f t="shared" si="111"/>
        <v>0</v>
      </c>
      <c r="O266" s="63">
        <f t="shared" si="111"/>
        <v>0</v>
      </c>
      <c r="P266" s="63">
        <f t="shared" si="111"/>
        <v>0</v>
      </c>
      <c r="Q266" s="63">
        <f t="shared" si="111"/>
        <v>0</v>
      </c>
      <c r="R266" s="63">
        <f t="shared" si="112"/>
        <v>0</v>
      </c>
      <c r="S266" s="63">
        <f t="shared" si="112"/>
        <v>0</v>
      </c>
      <c r="T266" s="63">
        <f t="shared" si="112"/>
        <v>7067599.2087054206</v>
      </c>
      <c r="U266" s="63">
        <f t="shared" si="112"/>
        <v>10250703.18949458</v>
      </c>
      <c r="V266" s="63">
        <f t="shared" si="112"/>
        <v>2590229.7181945802</v>
      </c>
      <c r="W266" s="63">
        <f t="shared" si="112"/>
        <v>3756816.8836054201</v>
      </c>
      <c r="X266" s="63">
        <f t="shared" si="112"/>
        <v>0</v>
      </c>
      <c r="Y266" s="63">
        <f t="shared" si="112"/>
        <v>0</v>
      </c>
      <c r="Z266" s="63">
        <f t="shared" si="112"/>
        <v>0</v>
      </c>
      <c r="AA266" s="63">
        <f t="shared" si="112"/>
        <v>0</v>
      </c>
      <c r="AB266" s="63">
        <f t="shared" si="112"/>
        <v>0</v>
      </c>
      <c r="AC266" s="63">
        <f t="shared" si="112"/>
        <v>0</v>
      </c>
      <c r="AD266" s="63">
        <f t="shared" si="112"/>
        <v>0</v>
      </c>
      <c r="AE266" s="63">
        <f t="shared" si="112"/>
        <v>0</v>
      </c>
      <c r="AF266" s="63">
        <f t="shared" si="113"/>
        <v>23665349.000000004</v>
      </c>
      <c r="AG266" s="58" t="str">
        <f t="shared" si="114"/>
        <v>ok</v>
      </c>
    </row>
    <row r="267" spans="1:33">
      <c r="A267" s="60">
        <v>594</v>
      </c>
      <c r="B267" s="60" t="s">
        <v>1015</v>
      </c>
      <c r="C267" s="44" t="s">
        <v>1016</v>
      </c>
      <c r="D267" s="44" t="s">
        <v>945</v>
      </c>
      <c r="F267" s="79">
        <v>1604057</v>
      </c>
      <c r="H267" s="63">
        <f t="shared" si="111"/>
        <v>0</v>
      </c>
      <c r="I267" s="63">
        <f t="shared" si="111"/>
        <v>0</v>
      </c>
      <c r="J267" s="63">
        <f t="shared" si="111"/>
        <v>0</v>
      </c>
      <c r="K267" s="63">
        <f t="shared" si="111"/>
        <v>0</v>
      </c>
      <c r="L267" s="63">
        <f t="shared" si="111"/>
        <v>0</v>
      </c>
      <c r="M267" s="63">
        <f t="shared" si="111"/>
        <v>0</v>
      </c>
      <c r="N267" s="63">
        <f t="shared" si="111"/>
        <v>0</v>
      </c>
      <c r="O267" s="63">
        <f t="shared" si="111"/>
        <v>0</v>
      </c>
      <c r="P267" s="63">
        <f t="shared" si="111"/>
        <v>0</v>
      </c>
      <c r="Q267" s="63">
        <f t="shared" si="111"/>
        <v>0</v>
      </c>
      <c r="R267" s="63">
        <f t="shared" si="112"/>
        <v>0</v>
      </c>
      <c r="S267" s="63">
        <f t="shared" si="112"/>
        <v>0</v>
      </c>
      <c r="T267" s="63">
        <f t="shared" si="112"/>
        <v>503513.97351710004</v>
      </c>
      <c r="U267" s="63">
        <f t="shared" si="112"/>
        <v>909660.2434829002</v>
      </c>
      <c r="V267" s="63">
        <f t="shared" si="112"/>
        <v>68011.535582900004</v>
      </c>
      <c r="W267" s="63">
        <f t="shared" si="112"/>
        <v>122871.24741709999</v>
      </c>
      <c r="X267" s="63">
        <f t="shared" si="112"/>
        <v>0</v>
      </c>
      <c r="Y267" s="63">
        <f t="shared" si="112"/>
        <v>0</v>
      </c>
      <c r="Z267" s="63">
        <f t="shared" si="112"/>
        <v>0</v>
      </c>
      <c r="AA267" s="63">
        <f t="shared" si="112"/>
        <v>0</v>
      </c>
      <c r="AB267" s="63">
        <f t="shared" si="112"/>
        <v>0</v>
      </c>
      <c r="AC267" s="63">
        <f t="shared" si="112"/>
        <v>0</v>
      </c>
      <c r="AD267" s="63">
        <f t="shared" si="112"/>
        <v>0</v>
      </c>
      <c r="AE267" s="63">
        <f t="shared" si="112"/>
        <v>0</v>
      </c>
      <c r="AF267" s="63">
        <f t="shared" si="113"/>
        <v>1604057.0000000002</v>
      </c>
      <c r="AG267" s="58" t="str">
        <f t="shared" si="114"/>
        <v>ok</v>
      </c>
    </row>
    <row r="268" spans="1:33">
      <c r="A268" s="60">
        <v>595</v>
      </c>
      <c r="B268" s="60" t="s">
        <v>1017</v>
      </c>
      <c r="C268" s="44" t="s">
        <v>1018</v>
      </c>
      <c r="D268" s="44" t="s">
        <v>946</v>
      </c>
      <c r="F268" s="79">
        <v>334735</v>
      </c>
      <c r="H268" s="63">
        <f t="shared" si="111"/>
        <v>0</v>
      </c>
      <c r="I268" s="63">
        <f t="shared" si="111"/>
        <v>0</v>
      </c>
      <c r="J268" s="63">
        <f t="shared" si="111"/>
        <v>0</v>
      </c>
      <c r="K268" s="63">
        <f t="shared" si="111"/>
        <v>0</v>
      </c>
      <c r="L268" s="63">
        <f t="shared" si="111"/>
        <v>0</v>
      </c>
      <c r="M268" s="63">
        <f t="shared" si="111"/>
        <v>0</v>
      </c>
      <c r="N268" s="63">
        <f t="shared" si="111"/>
        <v>0</v>
      </c>
      <c r="O268" s="63">
        <f t="shared" si="111"/>
        <v>0</v>
      </c>
      <c r="P268" s="63">
        <f t="shared" si="111"/>
        <v>0</v>
      </c>
      <c r="Q268" s="63">
        <f t="shared" si="111"/>
        <v>0</v>
      </c>
      <c r="R268" s="63">
        <f t="shared" si="112"/>
        <v>0</v>
      </c>
      <c r="S268" s="63">
        <f t="shared" si="112"/>
        <v>0</v>
      </c>
      <c r="T268" s="63">
        <f t="shared" si="112"/>
        <v>0</v>
      </c>
      <c r="U268" s="63">
        <f t="shared" si="112"/>
        <v>0</v>
      </c>
      <c r="V268" s="63">
        <f t="shared" si="112"/>
        <v>0</v>
      </c>
      <c r="W268" s="63">
        <f t="shared" si="112"/>
        <v>0</v>
      </c>
      <c r="X268" s="63">
        <f t="shared" si="112"/>
        <v>196977.98352103587</v>
      </c>
      <c r="Y268" s="63">
        <f t="shared" si="112"/>
        <v>137757.01647896416</v>
      </c>
      <c r="Z268" s="63">
        <f t="shared" si="112"/>
        <v>0</v>
      </c>
      <c r="AA268" s="63">
        <f t="shared" si="112"/>
        <v>0</v>
      </c>
      <c r="AB268" s="63">
        <f t="shared" si="112"/>
        <v>0</v>
      </c>
      <c r="AC268" s="63">
        <f t="shared" si="112"/>
        <v>0</v>
      </c>
      <c r="AD268" s="63">
        <f t="shared" si="112"/>
        <v>0</v>
      </c>
      <c r="AE268" s="63">
        <f t="shared" si="112"/>
        <v>0</v>
      </c>
      <c r="AF268" s="63">
        <f t="shared" si="113"/>
        <v>334735</v>
      </c>
      <c r="AG268" s="58" t="str">
        <f t="shared" si="114"/>
        <v>ok</v>
      </c>
    </row>
    <row r="269" spans="1:33">
      <c r="A269" s="60">
        <v>596</v>
      </c>
      <c r="B269" s="60" t="s">
        <v>1152</v>
      </c>
      <c r="C269" s="44" t="s">
        <v>1153</v>
      </c>
      <c r="D269" s="44" t="s">
        <v>953</v>
      </c>
      <c r="F269" s="79">
        <v>355341</v>
      </c>
      <c r="H269" s="63">
        <f t="shared" si="111"/>
        <v>0</v>
      </c>
      <c r="I269" s="63">
        <f t="shared" si="111"/>
        <v>0</v>
      </c>
      <c r="J269" s="63">
        <f t="shared" si="111"/>
        <v>0</v>
      </c>
      <c r="K269" s="63">
        <f t="shared" si="111"/>
        <v>0</v>
      </c>
      <c r="L269" s="63">
        <f t="shared" si="111"/>
        <v>0</v>
      </c>
      <c r="M269" s="63">
        <f t="shared" si="111"/>
        <v>0</v>
      </c>
      <c r="N269" s="63">
        <f t="shared" si="111"/>
        <v>0</v>
      </c>
      <c r="O269" s="63">
        <f t="shared" si="111"/>
        <v>0</v>
      </c>
      <c r="P269" s="63">
        <f t="shared" si="111"/>
        <v>0</v>
      </c>
      <c r="Q269" s="63">
        <f t="shared" si="111"/>
        <v>0</v>
      </c>
      <c r="R269" s="63">
        <f t="shared" si="112"/>
        <v>0</v>
      </c>
      <c r="S269" s="63">
        <f t="shared" si="112"/>
        <v>0</v>
      </c>
      <c r="T269" s="63">
        <f t="shared" si="112"/>
        <v>0</v>
      </c>
      <c r="U269" s="63">
        <f t="shared" si="112"/>
        <v>0</v>
      </c>
      <c r="V269" s="63">
        <f t="shared" si="112"/>
        <v>0</v>
      </c>
      <c r="W269" s="63">
        <f t="shared" si="112"/>
        <v>0</v>
      </c>
      <c r="X269" s="63">
        <f t="shared" si="112"/>
        <v>0</v>
      </c>
      <c r="Y269" s="63">
        <f t="shared" si="112"/>
        <v>0</v>
      </c>
      <c r="Z269" s="63">
        <f t="shared" si="112"/>
        <v>0</v>
      </c>
      <c r="AA269" s="63">
        <f t="shared" si="112"/>
        <v>0</v>
      </c>
      <c r="AB269" s="63">
        <f t="shared" si="112"/>
        <v>355341</v>
      </c>
      <c r="AC269" s="63">
        <f t="shared" si="112"/>
        <v>0</v>
      </c>
      <c r="AD269" s="63">
        <f t="shared" si="112"/>
        <v>0</v>
      </c>
      <c r="AE269" s="63">
        <f t="shared" si="112"/>
        <v>0</v>
      </c>
      <c r="AF269" s="63">
        <f t="shared" si="113"/>
        <v>355341</v>
      </c>
      <c r="AG269" s="58" t="str">
        <f t="shared" si="114"/>
        <v>ok</v>
      </c>
    </row>
    <row r="270" spans="1:33">
      <c r="A270" s="60">
        <v>597</v>
      </c>
      <c r="B270" s="60" t="s">
        <v>1019</v>
      </c>
      <c r="C270" s="44" t="s">
        <v>1020</v>
      </c>
      <c r="D270" s="44" t="s">
        <v>950</v>
      </c>
      <c r="F270" s="79">
        <v>1427898</v>
      </c>
      <c r="H270" s="63">
        <f t="shared" si="111"/>
        <v>0</v>
      </c>
      <c r="I270" s="63">
        <f t="shared" si="111"/>
        <v>0</v>
      </c>
      <c r="J270" s="63">
        <f t="shared" si="111"/>
        <v>0</v>
      </c>
      <c r="K270" s="63">
        <f t="shared" si="111"/>
        <v>0</v>
      </c>
      <c r="L270" s="63">
        <f t="shared" si="111"/>
        <v>0</v>
      </c>
      <c r="M270" s="63">
        <f t="shared" si="111"/>
        <v>0</v>
      </c>
      <c r="N270" s="63">
        <f t="shared" si="111"/>
        <v>0</v>
      </c>
      <c r="O270" s="63">
        <f t="shared" si="111"/>
        <v>0</v>
      </c>
      <c r="P270" s="63">
        <f t="shared" si="111"/>
        <v>0</v>
      </c>
      <c r="Q270" s="63">
        <f t="shared" si="111"/>
        <v>0</v>
      </c>
      <c r="R270" s="63">
        <f t="shared" si="112"/>
        <v>0</v>
      </c>
      <c r="S270" s="63">
        <f t="shared" si="112"/>
        <v>0</v>
      </c>
      <c r="T270" s="63">
        <f t="shared" si="112"/>
        <v>0</v>
      </c>
      <c r="U270" s="63">
        <f t="shared" si="112"/>
        <v>0</v>
      </c>
      <c r="V270" s="63">
        <f t="shared" si="112"/>
        <v>0</v>
      </c>
      <c r="W270" s="63">
        <f t="shared" si="112"/>
        <v>0</v>
      </c>
      <c r="X270" s="63">
        <f t="shared" si="112"/>
        <v>0</v>
      </c>
      <c r="Y270" s="63">
        <f t="shared" si="112"/>
        <v>0</v>
      </c>
      <c r="Z270" s="63">
        <f t="shared" si="112"/>
        <v>0</v>
      </c>
      <c r="AA270" s="63">
        <f t="shared" si="112"/>
        <v>1427898</v>
      </c>
      <c r="AB270" s="63">
        <f t="shared" si="112"/>
        <v>0</v>
      </c>
      <c r="AC270" s="63">
        <f t="shared" si="112"/>
        <v>0</v>
      </c>
      <c r="AD270" s="63">
        <f t="shared" si="112"/>
        <v>0</v>
      </c>
      <c r="AE270" s="63">
        <f t="shared" si="112"/>
        <v>0</v>
      </c>
      <c r="AF270" s="63">
        <f t="shared" si="113"/>
        <v>1427898</v>
      </c>
      <c r="AG270" s="58" t="str">
        <f t="shared" si="114"/>
        <v>ok</v>
      </c>
    </row>
    <row r="271" spans="1:33">
      <c r="A271" s="60">
        <v>598</v>
      </c>
      <c r="B271" s="60" t="s">
        <v>273</v>
      </c>
      <c r="C271" s="44" t="s">
        <v>274</v>
      </c>
      <c r="D271" s="44" t="s">
        <v>935</v>
      </c>
      <c r="F271" s="79">
        <v>671832</v>
      </c>
      <c r="H271" s="63">
        <f t="shared" si="111"/>
        <v>0</v>
      </c>
      <c r="I271" s="63">
        <f t="shared" si="111"/>
        <v>0</v>
      </c>
      <c r="J271" s="63">
        <f t="shared" si="111"/>
        <v>0</v>
      </c>
      <c r="K271" s="63">
        <f t="shared" si="111"/>
        <v>0</v>
      </c>
      <c r="L271" s="63">
        <f t="shared" si="111"/>
        <v>0</v>
      </c>
      <c r="M271" s="63">
        <f t="shared" si="111"/>
        <v>0</v>
      </c>
      <c r="N271" s="63">
        <f t="shared" si="111"/>
        <v>0</v>
      </c>
      <c r="O271" s="63">
        <f t="shared" si="111"/>
        <v>0</v>
      </c>
      <c r="P271" s="63">
        <f t="shared" si="111"/>
        <v>0</v>
      </c>
      <c r="Q271" s="63">
        <f t="shared" si="111"/>
        <v>0</v>
      </c>
      <c r="R271" s="63">
        <f t="shared" si="112"/>
        <v>75273.637715902267</v>
      </c>
      <c r="S271" s="63">
        <f t="shared" si="112"/>
        <v>0</v>
      </c>
      <c r="T271" s="63">
        <f t="shared" si="112"/>
        <v>128725.66314504822</v>
      </c>
      <c r="U271" s="63">
        <f t="shared" si="112"/>
        <v>204850.37322344183</v>
      </c>
      <c r="V271" s="63">
        <f t="shared" si="112"/>
        <v>35387.168551612747</v>
      </c>
      <c r="W271" s="63">
        <f t="shared" si="112"/>
        <v>53776.325329268213</v>
      </c>
      <c r="X271" s="63">
        <f t="shared" si="112"/>
        <v>48915.743459200581</v>
      </c>
      <c r="Y271" s="63">
        <f t="shared" si="112"/>
        <v>34209.340340161696</v>
      </c>
      <c r="Z271" s="63">
        <f t="shared" si="112"/>
        <v>16988.99804701746</v>
      </c>
      <c r="AA271" s="63">
        <f t="shared" si="112"/>
        <v>19706.763199018467</v>
      </c>
      <c r="AB271" s="63">
        <f t="shared" si="112"/>
        <v>53997.986989328521</v>
      </c>
      <c r="AC271" s="63">
        <f t="shared" si="112"/>
        <v>0</v>
      </c>
      <c r="AD271" s="63">
        <f t="shared" si="112"/>
        <v>0</v>
      </c>
      <c r="AE271" s="63">
        <f t="shared" si="112"/>
        <v>0</v>
      </c>
      <c r="AF271" s="63">
        <f t="shared" si="113"/>
        <v>671832</v>
      </c>
      <c r="AG271" s="58" t="str">
        <f t="shared" si="114"/>
        <v>ok</v>
      </c>
    </row>
    <row r="272" spans="1:33">
      <c r="A272" s="60"/>
      <c r="B272" s="60"/>
      <c r="F272" s="79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58"/>
    </row>
    <row r="273" spans="1:33">
      <c r="A273" s="60" t="s">
        <v>1021</v>
      </c>
      <c r="B273" s="60"/>
      <c r="C273" s="44" t="s">
        <v>1022</v>
      </c>
      <c r="F273" s="76">
        <f t="shared" ref="F273:M273" si="115">SUM(F263:F272)</f>
        <v>29304928</v>
      </c>
      <c r="G273" s="62">
        <f t="shared" si="115"/>
        <v>0</v>
      </c>
      <c r="H273" s="62">
        <f t="shared" si="115"/>
        <v>0</v>
      </c>
      <c r="I273" s="62">
        <f t="shared" si="115"/>
        <v>0</v>
      </c>
      <c r="J273" s="62">
        <f t="shared" si="115"/>
        <v>0</v>
      </c>
      <c r="K273" s="62">
        <f t="shared" si="115"/>
        <v>0</v>
      </c>
      <c r="L273" s="62">
        <f t="shared" si="115"/>
        <v>0</v>
      </c>
      <c r="M273" s="62">
        <f t="shared" si="115"/>
        <v>0</v>
      </c>
      <c r="N273" s="62">
        <f>SUM(N263:N272)</f>
        <v>0</v>
      </c>
      <c r="O273" s="62">
        <f>SUM(O263:O272)</f>
        <v>0</v>
      </c>
      <c r="P273" s="62">
        <f>SUM(P263:P272)</f>
        <v>0</v>
      </c>
      <c r="Q273" s="62">
        <f t="shared" ref="Q273:AB273" si="116">SUM(Q263:Q272)</f>
        <v>0</v>
      </c>
      <c r="R273" s="62">
        <f t="shared" si="116"/>
        <v>1247875.6471804925</v>
      </c>
      <c r="S273" s="62">
        <f t="shared" si="116"/>
        <v>0</v>
      </c>
      <c r="T273" s="62">
        <f t="shared" si="116"/>
        <v>7721219.9617446288</v>
      </c>
      <c r="U273" s="62">
        <f t="shared" si="116"/>
        <v>11397298.658050381</v>
      </c>
      <c r="V273" s="62">
        <f t="shared" si="116"/>
        <v>2700766.7092797584</v>
      </c>
      <c r="W273" s="62">
        <f t="shared" si="116"/>
        <v>3943962.7680320311</v>
      </c>
      <c r="X273" s="62">
        <f t="shared" si="116"/>
        <v>246982.135858061</v>
      </c>
      <c r="Y273" s="62">
        <f t="shared" si="116"/>
        <v>172727.53813004284</v>
      </c>
      <c r="Z273" s="62">
        <f t="shared" si="116"/>
        <v>16988.99804701746</v>
      </c>
      <c r="AA273" s="62">
        <f t="shared" si="116"/>
        <v>1447604.7631990185</v>
      </c>
      <c r="AB273" s="62">
        <f t="shared" si="116"/>
        <v>409500.82047857082</v>
      </c>
      <c r="AC273" s="62">
        <f>SUM(AC263:AC272)</f>
        <v>0</v>
      </c>
      <c r="AD273" s="62">
        <f>SUM(AD263:AD272)</f>
        <v>0</v>
      </c>
      <c r="AE273" s="62">
        <f>SUM(AE263:AE272)</f>
        <v>0</v>
      </c>
      <c r="AF273" s="63">
        <f>SUM(H273:AE273)</f>
        <v>29304928</v>
      </c>
      <c r="AG273" s="58" t="str">
        <f>IF(ABS(AF273-F273)&lt;1,"ok","err")</f>
        <v>ok</v>
      </c>
    </row>
    <row r="274" spans="1:33">
      <c r="A274" s="60"/>
      <c r="B274" s="60"/>
      <c r="F274" s="79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G274" s="58"/>
    </row>
    <row r="275" spans="1:33">
      <c r="A275" s="60" t="s">
        <v>1154</v>
      </c>
      <c r="B275" s="60"/>
      <c r="F275" s="76">
        <f>F259+F273</f>
        <v>54019516</v>
      </c>
      <c r="G275" s="63">
        <f t="shared" ref="G275:M275" si="117">G259+G273</f>
        <v>0</v>
      </c>
      <c r="H275" s="63">
        <f t="shared" si="117"/>
        <v>0</v>
      </c>
      <c r="I275" s="63">
        <f t="shared" si="117"/>
        <v>0</v>
      </c>
      <c r="J275" s="63">
        <f t="shared" si="117"/>
        <v>0</v>
      </c>
      <c r="K275" s="63">
        <f t="shared" si="117"/>
        <v>0</v>
      </c>
      <c r="L275" s="63">
        <f t="shared" si="117"/>
        <v>0</v>
      </c>
      <c r="M275" s="63">
        <f t="shared" si="117"/>
        <v>0</v>
      </c>
      <c r="N275" s="63">
        <f>N259+N273</f>
        <v>0</v>
      </c>
      <c r="O275" s="63">
        <f>O259+O273</f>
        <v>0</v>
      </c>
      <c r="P275" s="63">
        <f>P259+P273</f>
        <v>0</v>
      </c>
      <c r="Q275" s="63">
        <f t="shared" ref="Q275:AB275" si="118">Q259+Q273</f>
        <v>0</v>
      </c>
      <c r="R275" s="63">
        <f t="shared" si="118"/>
        <v>4886677.3409584481</v>
      </c>
      <c r="S275" s="63">
        <f t="shared" si="118"/>
        <v>0</v>
      </c>
      <c r="T275" s="63">
        <f t="shared" si="118"/>
        <v>10886720.914084699</v>
      </c>
      <c r="U275" s="63">
        <f t="shared" si="118"/>
        <v>16210312.185397595</v>
      </c>
      <c r="V275" s="63">
        <f t="shared" si="118"/>
        <v>3716796.1793296379</v>
      </c>
      <c r="W275" s="63">
        <f t="shared" si="118"/>
        <v>5447555.4697906598</v>
      </c>
      <c r="X275" s="63">
        <f t="shared" si="118"/>
        <v>672706.189899071</v>
      </c>
      <c r="Y275" s="63">
        <f t="shared" si="118"/>
        <v>470458.6575155544</v>
      </c>
      <c r="Z275" s="63">
        <f t="shared" si="118"/>
        <v>164847.83880456683</v>
      </c>
      <c r="AA275" s="63">
        <f t="shared" si="118"/>
        <v>10683984.510086538</v>
      </c>
      <c r="AB275" s="63">
        <f t="shared" si="118"/>
        <v>879456.71413322981</v>
      </c>
      <c r="AC275" s="63">
        <f>AC259+AC273</f>
        <v>0</v>
      </c>
      <c r="AD275" s="63">
        <f>AD259+AD273</f>
        <v>0</v>
      </c>
      <c r="AE275" s="63">
        <f>AE259+AE273</f>
        <v>0</v>
      </c>
      <c r="AF275" s="63">
        <f>SUM(H275:AE275)</f>
        <v>54019516.000000007</v>
      </c>
      <c r="AG275" s="58" t="str">
        <f>IF(ABS(AF275-F275)&lt;1,"ok","err")</f>
        <v>ok</v>
      </c>
    </row>
    <row r="276" spans="1:33">
      <c r="A276" s="60"/>
      <c r="B276" s="60"/>
      <c r="F276" s="79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G276" s="58"/>
    </row>
    <row r="277" spans="1:33">
      <c r="A277" s="60" t="s">
        <v>1155</v>
      </c>
      <c r="B277" s="60"/>
      <c r="F277" s="76">
        <f t="shared" ref="F277:M277" si="119">F275+F241</f>
        <v>70529027</v>
      </c>
      <c r="G277" s="63">
        <f t="shared" si="119"/>
        <v>0</v>
      </c>
      <c r="H277" s="63">
        <f t="shared" si="119"/>
        <v>0</v>
      </c>
      <c r="I277" s="63">
        <f t="shared" si="119"/>
        <v>0</v>
      </c>
      <c r="J277" s="63">
        <f t="shared" si="119"/>
        <v>0</v>
      </c>
      <c r="K277" s="63">
        <f t="shared" si="119"/>
        <v>0</v>
      </c>
      <c r="L277" s="63">
        <f t="shared" si="119"/>
        <v>0</v>
      </c>
      <c r="M277" s="63">
        <f t="shared" si="119"/>
        <v>0</v>
      </c>
      <c r="N277" s="63">
        <f>N275+N241</f>
        <v>16509511</v>
      </c>
      <c r="O277" s="63">
        <f>O275+O241</f>
        <v>0</v>
      </c>
      <c r="P277" s="63">
        <f>P275+P241</f>
        <v>0</v>
      </c>
      <c r="Q277" s="63">
        <f t="shared" ref="Q277:AB277" si="120">Q275+Q241</f>
        <v>0</v>
      </c>
      <c r="R277" s="63">
        <f t="shared" si="120"/>
        <v>4886677.3409584481</v>
      </c>
      <c r="S277" s="63">
        <f t="shared" si="120"/>
        <v>0</v>
      </c>
      <c r="T277" s="63">
        <f t="shared" si="120"/>
        <v>10886720.914084699</v>
      </c>
      <c r="U277" s="63">
        <f t="shared" si="120"/>
        <v>16210312.185397595</v>
      </c>
      <c r="V277" s="63">
        <f t="shared" si="120"/>
        <v>3716796.1793296379</v>
      </c>
      <c r="W277" s="63">
        <f t="shared" si="120"/>
        <v>5447555.4697906598</v>
      </c>
      <c r="X277" s="63">
        <f t="shared" si="120"/>
        <v>672706.189899071</v>
      </c>
      <c r="Y277" s="63">
        <f t="shared" si="120"/>
        <v>470458.6575155544</v>
      </c>
      <c r="Z277" s="63">
        <f t="shared" si="120"/>
        <v>164847.83880456683</v>
      </c>
      <c r="AA277" s="63">
        <f t="shared" si="120"/>
        <v>10683984.510086538</v>
      </c>
      <c r="AB277" s="63">
        <f t="shared" si="120"/>
        <v>879456.71413322981</v>
      </c>
      <c r="AC277" s="63">
        <f>AC275+AC241</f>
        <v>0</v>
      </c>
      <c r="AD277" s="63">
        <f>AD275+AD241</f>
        <v>0</v>
      </c>
      <c r="AE277" s="63">
        <f>AE275+AE241</f>
        <v>0</v>
      </c>
      <c r="AF277" s="63">
        <f>SUM(H277:AE277)</f>
        <v>70529027.000000015</v>
      </c>
      <c r="AG277" s="58" t="str">
        <f>IF(ABS(AF277-F277)&lt;1,"ok","err")</f>
        <v>ok</v>
      </c>
    </row>
    <row r="278" spans="1:33">
      <c r="A278" s="60"/>
      <c r="B278" s="60"/>
      <c r="F278" s="79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G278" s="58"/>
    </row>
    <row r="279" spans="1:33">
      <c r="A279" s="60" t="s">
        <v>276</v>
      </c>
      <c r="B279" s="60"/>
      <c r="C279" s="44" t="s">
        <v>1023</v>
      </c>
      <c r="F279" s="76">
        <f>F223+F241+F275</f>
        <v>580874289.65152061</v>
      </c>
      <c r="G279" s="62">
        <f>G277+G221</f>
        <v>0</v>
      </c>
      <c r="H279" s="62">
        <f t="shared" ref="H279:M279" si="121">H223+H241+H275</f>
        <v>22381959.218989</v>
      </c>
      <c r="I279" s="62">
        <f t="shared" si="121"/>
        <v>23446518.932840079</v>
      </c>
      <c r="J279" s="62">
        <f t="shared" si="121"/>
        <v>19272959.500648879</v>
      </c>
      <c r="K279" s="62">
        <f t="shared" si="121"/>
        <v>445243824.99904263</v>
      </c>
      <c r="L279" s="62">
        <f t="shared" si="121"/>
        <v>0</v>
      </c>
      <c r="M279" s="62">
        <f t="shared" si="121"/>
        <v>0</v>
      </c>
      <c r="N279" s="62">
        <f>N223+N241+N275</f>
        <v>16509511</v>
      </c>
      <c r="O279" s="62">
        <f>O223+O241+O275</f>
        <v>0</v>
      </c>
      <c r="P279" s="62">
        <f>P223+P241+P275</f>
        <v>0</v>
      </c>
      <c r="Q279" s="62">
        <f t="shared" ref="Q279:AB279" si="122">Q223+Q241+Q275</f>
        <v>0</v>
      </c>
      <c r="R279" s="62">
        <f t="shared" si="122"/>
        <v>4886677.3409584481</v>
      </c>
      <c r="S279" s="62">
        <f t="shared" si="122"/>
        <v>0</v>
      </c>
      <c r="T279" s="62">
        <f t="shared" si="122"/>
        <v>10886720.914084699</v>
      </c>
      <c r="U279" s="62">
        <f t="shared" si="122"/>
        <v>16210312.185397595</v>
      </c>
      <c r="V279" s="62">
        <f t="shared" si="122"/>
        <v>3716796.1793296379</v>
      </c>
      <c r="W279" s="62">
        <f t="shared" si="122"/>
        <v>5447555.4697906598</v>
      </c>
      <c r="X279" s="62">
        <f t="shared" si="122"/>
        <v>672706.189899071</v>
      </c>
      <c r="Y279" s="62">
        <f t="shared" si="122"/>
        <v>470458.6575155544</v>
      </c>
      <c r="Z279" s="62">
        <f t="shared" si="122"/>
        <v>164847.83880456683</v>
      </c>
      <c r="AA279" s="62">
        <f t="shared" si="122"/>
        <v>10683984.510086538</v>
      </c>
      <c r="AB279" s="62">
        <f t="shared" si="122"/>
        <v>879456.71413322981</v>
      </c>
      <c r="AC279" s="62">
        <f>AC223+AC241+AC275</f>
        <v>0</v>
      </c>
      <c r="AD279" s="62">
        <f>AD223+AD241+AD275</f>
        <v>0</v>
      </c>
      <c r="AE279" s="62">
        <f>AE223+AE241+AE275</f>
        <v>0</v>
      </c>
      <c r="AF279" s="63">
        <f>SUM(H279:AE279)</f>
        <v>580874289.65152073</v>
      </c>
      <c r="AG279" s="58" t="str">
        <f>IF(ABS(AF279-F279)&lt;1,"ok","err")</f>
        <v>ok</v>
      </c>
    </row>
    <row r="280" spans="1:33" ht="15">
      <c r="A280" s="65"/>
      <c r="B280" s="60"/>
      <c r="F280" s="79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G280" s="58"/>
    </row>
    <row r="281" spans="1:33" ht="15">
      <c r="A281" s="65"/>
      <c r="B281" s="60"/>
      <c r="F281" s="79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G281" s="58"/>
    </row>
    <row r="282" spans="1:33" ht="15">
      <c r="A282" s="59" t="s">
        <v>1024</v>
      </c>
      <c r="B282" s="60"/>
      <c r="F282" s="79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G282" s="58"/>
    </row>
    <row r="283" spans="1:33" ht="15">
      <c r="A283" s="65"/>
      <c r="B283" s="60"/>
      <c r="F283" s="79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G283" s="58"/>
    </row>
    <row r="284" spans="1:33" ht="15">
      <c r="A284" s="65" t="s">
        <v>1025</v>
      </c>
      <c r="B284" s="60"/>
      <c r="F284" s="79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G284" s="58"/>
    </row>
    <row r="285" spans="1:33">
      <c r="A285" s="60">
        <v>901</v>
      </c>
      <c r="B285" s="60" t="s">
        <v>1026</v>
      </c>
      <c r="C285" s="44" t="s">
        <v>1027</v>
      </c>
      <c r="D285" s="44" t="s">
        <v>662</v>
      </c>
      <c r="F285" s="76">
        <v>1267536.8055433794</v>
      </c>
      <c r="H285" s="63">
        <f t="shared" ref="H285:Q289" si="123">IF(VLOOKUP($D285,$C$6:$AE$653,H$2,)=0,0,((VLOOKUP($D285,$C$6:$AE$653,H$2,)/VLOOKUP($D285,$C$6:$AE$653,4,))*$F285))</f>
        <v>0</v>
      </c>
      <c r="I285" s="63">
        <f t="shared" si="123"/>
        <v>0</v>
      </c>
      <c r="J285" s="63">
        <f t="shared" si="123"/>
        <v>0</v>
      </c>
      <c r="K285" s="63">
        <f t="shared" si="123"/>
        <v>0</v>
      </c>
      <c r="L285" s="63">
        <f t="shared" si="123"/>
        <v>0</v>
      </c>
      <c r="M285" s="63">
        <f t="shared" si="123"/>
        <v>0</v>
      </c>
      <c r="N285" s="63">
        <f t="shared" si="123"/>
        <v>0</v>
      </c>
      <c r="O285" s="63">
        <f t="shared" si="123"/>
        <v>0</v>
      </c>
      <c r="P285" s="63">
        <f t="shared" si="123"/>
        <v>0</v>
      </c>
      <c r="Q285" s="63">
        <f t="shared" si="123"/>
        <v>0</v>
      </c>
      <c r="R285" s="63">
        <f t="shared" ref="R285:AE289" si="124">IF(VLOOKUP($D285,$C$6:$AE$653,R$2,)=0,0,((VLOOKUP($D285,$C$6:$AE$653,R$2,)/VLOOKUP($D285,$C$6:$AE$653,4,))*$F285))</f>
        <v>0</v>
      </c>
      <c r="S285" s="63">
        <f t="shared" si="124"/>
        <v>0</v>
      </c>
      <c r="T285" s="63">
        <f t="shared" si="124"/>
        <v>0</v>
      </c>
      <c r="U285" s="63">
        <f t="shared" si="124"/>
        <v>0</v>
      </c>
      <c r="V285" s="63">
        <f t="shared" si="124"/>
        <v>0</v>
      </c>
      <c r="W285" s="63">
        <f t="shared" si="124"/>
        <v>0</v>
      </c>
      <c r="X285" s="63">
        <f t="shared" si="124"/>
        <v>0</v>
      </c>
      <c r="Y285" s="63">
        <f t="shared" si="124"/>
        <v>0</v>
      </c>
      <c r="Z285" s="63">
        <f t="shared" si="124"/>
        <v>0</v>
      </c>
      <c r="AA285" s="63">
        <f t="shared" si="124"/>
        <v>0</v>
      </c>
      <c r="AB285" s="63">
        <f t="shared" si="124"/>
        <v>0</v>
      </c>
      <c r="AC285" s="63">
        <f t="shared" si="124"/>
        <v>1267536.8055433794</v>
      </c>
      <c r="AD285" s="63">
        <f t="shared" si="124"/>
        <v>0</v>
      </c>
      <c r="AE285" s="63">
        <f t="shared" si="124"/>
        <v>0</v>
      </c>
      <c r="AF285" s="63">
        <f>SUM(H285:AE285)</f>
        <v>1267536.8055433794</v>
      </c>
      <c r="AG285" s="58" t="str">
        <f>IF(ABS(AF285-F285)&lt;1,"ok","err")</f>
        <v>ok</v>
      </c>
    </row>
    <row r="286" spans="1:33">
      <c r="A286" s="60">
        <v>902</v>
      </c>
      <c r="B286" s="60" t="s">
        <v>1029</v>
      </c>
      <c r="C286" s="44" t="s">
        <v>1030</v>
      </c>
      <c r="D286" s="44" t="s">
        <v>662</v>
      </c>
      <c r="F286" s="79">
        <v>2546374.3200000003</v>
      </c>
      <c r="H286" s="63">
        <f t="shared" si="123"/>
        <v>0</v>
      </c>
      <c r="I286" s="63">
        <f t="shared" si="123"/>
        <v>0</v>
      </c>
      <c r="J286" s="63">
        <f t="shared" si="123"/>
        <v>0</v>
      </c>
      <c r="K286" s="63">
        <f t="shared" si="123"/>
        <v>0</v>
      </c>
      <c r="L286" s="63">
        <f t="shared" si="123"/>
        <v>0</v>
      </c>
      <c r="M286" s="63">
        <f t="shared" si="123"/>
        <v>0</v>
      </c>
      <c r="N286" s="63">
        <f t="shared" si="123"/>
        <v>0</v>
      </c>
      <c r="O286" s="63">
        <f t="shared" si="123"/>
        <v>0</v>
      </c>
      <c r="P286" s="63">
        <f t="shared" si="123"/>
        <v>0</v>
      </c>
      <c r="Q286" s="63">
        <f t="shared" si="123"/>
        <v>0</v>
      </c>
      <c r="R286" s="63">
        <f t="shared" si="124"/>
        <v>0</v>
      </c>
      <c r="S286" s="63">
        <f t="shared" si="124"/>
        <v>0</v>
      </c>
      <c r="T286" s="63">
        <f t="shared" si="124"/>
        <v>0</v>
      </c>
      <c r="U286" s="63">
        <f t="shared" si="124"/>
        <v>0</v>
      </c>
      <c r="V286" s="63">
        <f t="shared" si="124"/>
        <v>0</v>
      </c>
      <c r="W286" s="63">
        <f t="shared" si="124"/>
        <v>0</v>
      </c>
      <c r="X286" s="63">
        <f t="shared" si="124"/>
        <v>0</v>
      </c>
      <c r="Y286" s="63">
        <f t="shared" si="124"/>
        <v>0</v>
      </c>
      <c r="Z286" s="63">
        <f t="shared" si="124"/>
        <v>0</v>
      </c>
      <c r="AA286" s="63">
        <f t="shared" si="124"/>
        <v>0</v>
      </c>
      <c r="AB286" s="63">
        <f t="shared" si="124"/>
        <v>0</v>
      </c>
      <c r="AC286" s="63">
        <f t="shared" si="124"/>
        <v>2546374.3200000003</v>
      </c>
      <c r="AD286" s="63">
        <f t="shared" si="124"/>
        <v>0</v>
      </c>
      <c r="AE286" s="63">
        <f t="shared" si="124"/>
        <v>0</v>
      </c>
      <c r="AF286" s="63">
        <f>SUM(H286:AE286)</f>
        <v>2546374.3200000003</v>
      </c>
      <c r="AG286" s="58" t="str">
        <f>IF(ABS(AF286-F286)&lt;1,"ok","err")</f>
        <v>ok</v>
      </c>
    </row>
    <row r="287" spans="1:33">
      <c r="A287" s="60">
        <v>903</v>
      </c>
      <c r="B287" s="60" t="s">
        <v>29</v>
      </c>
      <c r="C287" s="44" t="s">
        <v>1031</v>
      </c>
      <c r="D287" s="44" t="s">
        <v>662</v>
      </c>
      <c r="F287" s="79">
        <v>7699623.5280121109</v>
      </c>
      <c r="H287" s="63">
        <f t="shared" si="123"/>
        <v>0</v>
      </c>
      <c r="I287" s="63">
        <f t="shared" si="123"/>
        <v>0</v>
      </c>
      <c r="J287" s="63">
        <f t="shared" si="123"/>
        <v>0</v>
      </c>
      <c r="K287" s="63">
        <f t="shared" si="123"/>
        <v>0</v>
      </c>
      <c r="L287" s="63">
        <f t="shared" si="123"/>
        <v>0</v>
      </c>
      <c r="M287" s="63">
        <f t="shared" si="123"/>
        <v>0</v>
      </c>
      <c r="N287" s="63">
        <f t="shared" si="123"/>
        <v>0</v>
      </c>
      <c r="O287" s="63">
        <f t="shared" si="123"/>
        <v>0</v>
      </c>
      <c r="P287" s="63">
        <f t="shared" si="123"/>
        <v>0</v>
      </c>
      <c r="Q287" s="63">
        <f t="shared" si="123"/>
        <v>0</v>
      </c>
      <c r="R287" s="63">
        <f t="shared" si="124"/>
        <v>0</v>
      </c>
      <c r="S287" s="63">
        <f t="shared" si="124"/>
        <v>0</v>
      </c>
      <c r="T287" s="63">
        <f t="shared" si="124"/>
        <v>0</v>
      </c>
      <c r="U287" s="63">
        <f t="shared" si="124"/>
        <v>0</v>
      </c>
      <c r="V287" s="63">
        <f t="shared" si="124"/>
        <v>0</v>
      </c>
      <c r="W287" s="63">
        <f t="shared" si="124"/>
        <v>0</v>
      </c>
      <c r="X287" s="63">
        <f t="shared" si="124"/>
        <v>0</v>
      </c>
      <c r="Y287" s="63">
        <f t="shared" si="124"/>
        <v>0</v>
      </c>
      <c r="Z287" s="63">
        <f t="shared" si="124"/>
        <v>0</v>
      </c>
      <c r="AA287" s="63">
        <f t="shared" si="124"/>
        <v>0</v>
      </c>
      <c r="AB287" s="63">
        <f t="shared" si="124"/>
        <v>0</v>
      </c>
      <c r="AC287" s="63">
        <f t="shared" si="124"/>
        <v>7699623.5280121109</v>
      </c>
      <c r="AD287" s="63">
        <f t="shared" si="124"/>
        <v>0</v>
      </c>
      <c r="AE287" s="63">
        <f t="shared" si="124"/>
        <v>0</v>
      </c>
      <c r="AF287" s="63">
        <f>SUM(H287:AE287)</f>
        <v>7699623.5280121109</v>
      </c>
      <c r="AG287" s="58" t="str">
        <f>IF(ABS(AF287-F287)&lt;1,"ok","err")</f>
        <v>ok</v>
      </c>
    </row>
    <row r="288" spans="1:33">
      <c r="A288" s="60">
        <v>904</v>
      </c>
      <c r="B288" s="60" t="s">
        <v>1032</v>
      </c>
      <c r="C288" s="44" t="s">
        <v>1033</v>
      </c>
      <c r="D288" s="44" t="s">
        <v>662</v>
      </c>
      <c r="F288" s="79">
        <v>2477177.410444241</v>
      </c>
      <c r="H288" s="63">
        <f t="shared" si="123"/>
        <v>0</v>
      </c>
      <c r="I288" s="63">
        <f t="shared" si="123"/>
        <v>0</v>
      </c>
      <c r="J288" s="63">
        <f t="shared" si="123"/>
        <v>0</v>
      </c>
      <c r="K288" s="63">
        <f t="shared" si="123"/>
        <v>0</v>
      </c>
      <c r="L288" s="63">
        <f t="shared" si="123"/>
        <v>0</v>
      </c>
      <c r="M288" s="63">
        <f t="shared" si="123"/>
        <v>0</v>
      </c>
      <c r="N288" s="63">
        <f t="shared" si="123"/>
        <v>0</v>
      </c>
      <c r="O288" s="63">
        <f t="shared" si="123"/>
        <v>0</v>
      </c>
      <c r="P288" s="63">
        <f t="shared" si="123"/>
        <v>0</v>
      </c>
      <c r="Q288" s="63">
        <f t="shared" si="123"/>
        <v>0</v>
      </c>
      <c r="R288" s="63">
        <f t="shared" si="124"/>
        <v>0</v>
      </c>
      <c r="S288" s="63">
        <f t="shared" si="124"/>
        <v>0</v>
      </c>
      <c r="T288" s="63">
        <f t="shared" si="124"/>
        <v>0</v>
      </c>
      <c r="U288" s="63">
        <f t="shared" si="124"/>
        <v>0</v>
      </c>
      <c r="V288" s="63">
        <f t="shared" si="124"/>
        <v>0</v>
      </c>
      <c r="W288" s="63">
        <f t="shared" si="124"/>
        <v>0</v>
      </c>
      <c r="X288" s="63">
        <f t="shared" si="124"/>
        <v>0</v>
      </c>
      <c r="Y288" s="63">
        <f t="shared" si="124"/>
        <v>0</v>
      </c>
      <c r="Z288" s="63">
        <f t="shared" si="124"/>
        <v>0</v>
      </c>
      <c r="AA288" s="63">
        <f t="shared" si="124"/>
        <v>0</v>
      </c>
      <c r="AB288" s="63">
        <f t="shared" si="124"/>
        <v>0</v>
      </c>
      <c r="AC288" s="63">
        <f t="shared" si="124"/>
        <v>2477177.410444241</v>
      </c>
      <c r="AD288" s="63">
        <f t="shared" si="124"/>
        <v>0</v>
      </c>
      <c r="AE288" s="63">
        <f t="shared" si="124"/>
        <v>0</v>
      </c>
      <c r="AF288" s="63">
        <f>SUM(H288:AE288)</f>
        <v>2477177.410444241</v>
      </c>
      <c r="AG288" s="58" t="str">
        <f>IF(ABS(AF288-F288)&lt;1,"ok","err")</f>
        <v>ok</v>
      </c>
    </row>
    <row r="289" spans="1:33">
      <c r="A289" s="60">
        <v>905</v>
      </c>
      <c r="B289" s="60" t="s">
        <v>30</v>
      </c>
      <c r="C289" s="44" t="s">
        <v>1031</v>
      </c>
      <c r="D289" s="44" t="s">
        <v>662</v>
      </c>
      <c r="F289" s="79">
        <v>1288</v>
      </c>
      <c r="H289" s="63">
        <f t="shared" si="123"/>
        <v>0</v>
      </c>
      <c r="I289" s="63">
        <f t="shared" si="123"/>
        <v>0</v>
      </c>
      <c r="J289" s="63">
        <f t="shared" si="123"/>
        <v>0</v>
      </c>
      <c r="K289" s="63">
        <f t="shared" si="123"/>
        <v>0</v>
      </c>
      <c r="L289" s="63">
        <f t="shared" si="123"/>
        <v>0</v>
      </c>
      <c r="M289" s="63">
        <f t="shared" si="123"/>
        <v>0</v>
      </c>
      <c r="N289" s="63">
        <f t="shared" si="123"/>
        <v>0</v>
      </c>
      <c r="O289" s="63">
        <f t="shared" si="123"/>
        <v>0</v>
      </c>
      <c r="P289" s="63">
        <f t="shared" si="123"/>
        <v>0</v>
      </c>
      <c r="Q289" s="63">
        <f t="shared" si="123"/>
        <v>0</v>
      </c>
      <c r="R289" s="63">
        <f t="shared" si="124"/>
        <v>0</v>
      </c>
      <c r="S289" s="63">
        <f t="shared" si="124"/>
        <v>0</v>
      </c>
      <c r="T289" s="63">
        <f t="shared" si="124"/>
        <v>0</v>
      </c>
      <c r="U289" s="63">
        <f t="shared" si="124"/>
        <v>0</v>
      </c>
      <c r="V289" s="63">
        <f t="shared" si="124"/>
        <v>0</v>
      </c>
      <c r="W289" s="63">
        <f t="shared" si="124"/>
        <v>0</v>
      </c>
      <c r="X289" s="63">
        <f t="shared" si="124"/>
        <v>0</v>
      </c>
      <c r="Y289" s="63">
        <f t="shared" si="124"/>
        <v>0</v>
      </c>
      <c r="Z289" s="63">
        <f t="shared" si="124"/>
        <v>0</v>
      </c>
      <c r="AA289" s="63">
        <f t="shared" si="124"/>
        <v>0</v>
      </c>
      <c r="AB289" s="63">
        <f t="shared" si="124"/>
        <v>0</v>
      </c>
      <c r="AC289" s="63">
        <f t="shared" si="124"/>
        <v>1288</v>
      </c>
      <c r="AD289" s="63">
        <f t="shared" si="124"/>
        <v>0</v>
      </c>
      <c r="AE289" s="63">
        <f t="shared" si="124"/>
        <v>0</v>
      </c>
      <c r="AF289" s="63">
        <f>SUM(H289:AE289)</f>
        <v>1288</v>
      </c>
      <c r="AG289" s="58" t="str">
        <f>IF(ABS(AF289-F289)&lt;1,"ok","err")</f>
        <v>ok</v>
      </c>
    </row>
    <row r="290" spans="1:33" ht="15">
      <c r="A290" s="65"/>
      <c r="B290" s="60"/>
      <c r="F290" s="79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58"/>
    </row>
    <row r="291" spans="1:33">
      <c r="A291" s="60" t="s">
        <v>1034</v>
      </c>
      <c r="B291" s="60"/>
      <c r="C291" s="44" t="s">
        <v>1035</v>
      </c>
      <c r="F291" s="76">
        <f t="shared" ref="F291:M291" si="125">SUM(F285:F290)</f>
        <v>13992000.063999731</v>
      </c>
      <c r="G291" s="62">
        <f t="shared" si="125"/>
        <v>0</v>
      </c>
      <c r="H291" s="62">
        <f t="shared" si="125"/>
        <v>0</v>
      </c>
      <c r="I291" s="62">
        <f t="shared" si="125"/>
        <v>0</v>
      </c>
      <c r="J291" s="62">
        <f t="shared" si="125"/>
        <v>0</v>
      </c>
      <c r="K291" s="62">
        <f t="shared" si="125"/>
        <v>0</v>
      </c>
      <c r="L291" s="62">
        <f t="shared" si="125"/>
        <v>0</v>
      </c>
      <c r="M291" s="62">
        <f t="shared" si="125"/>
        <v>0</v>
      </c>
      <c r="N291" s="62">
        <f>SUM(N285:N290)</f>
        <v>0</v>
      </c>
      <c r="O291" s="62">
        <f>SUM(O285:O290)</f>
        <v>0</v>
      </c>
      <c r="P291" s="62">
        <f>SUM(P285:P290)</f>
        <v>0</v>
      </c>
      <c r="Q291" s="62">
        <f t="shared" ref="Q291:AB291" si="126">SUM(Q285:Q290)</f>
        <v>0</v>
      </c>
      <c r="R291" s="62">
        <f t="shared" si="126"/>
        <v>0</v>
      </c>
      <c r="S291" s="62">
        <f t="shared" si="126"/>
        <v>0</v>
      </c>
      <c r="T291" s="62">
        <f t="shared" si="126"/>
        <v>0</v>
      </c>
      <c r="U291" s="62">
        <f t="shared" si="126"/>
        <v>0</v>
      </c>
      <c r="V291" s="62">
        <f t="shared" si="126"/>
        <v>0</v>
      </c>
      <c r="W291" s="62">
        <f t="shared" si="126"/>
        <v>0</v>
      </c>
      <c r="X291" s="62">
        <f t="shared" si="126"/>
        <v>0</v>
      </c>
      <c r="Y291" s="62">
        <f t="shared" si="126"/>
        <v>0</v>
      </c>
      <c r="Z291" s="62">
        <f t="shared" si="126"/>
        <v>0</v>
      </c>
      <c r="AA291" s="62">
        <f t="shared" si="126"/>
        <v>0</v>
      </c>
      <c r="AB291" s="62">
        <f t="shared" si="126"/>
        <v>0</v>
      </c>
      <c r="AC291" s="62">
        <f>SUM(AC285:AC290)</f>
        <v>13992000.063999731</v>
      </c>
      <c r="AD291" s="62">
        <f>SUM(AD285:AD290)</f>
        <v>0</v>
      </c>
      <c r="AE291" s="62">
        <f>SUM(AE285:AE290)</f>
        <v>0</v>
      </c>
      <c r="AF291" s="63">
        <f>SUM(H291:AE291)</f>
        <v>13992000.063999731</v>
      </c>
      <c r="AG291" s="58" t="str">
        <f>IF(ABS(AF291-F291)&lt;1,"ok","err")</f>
        <v>ok</v>
      </c>
    </row>
    <row r="292" spans="1:33">
      <c r="A292" s="60"/>
      <c r="B292" s="60"/>
      <c r="F292" s="79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G292" s="58"/>
    </row>
    <row r="293" spans="1:33" ht="15">
      <c r="A293" s="65" t="s">
        <v>1036</v>
      </c>
      <c r="B293" s="60"/>
      <c r="F293" s="79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G293" s="58"/>
    </row>
    <row r="294" spans="1:33">
      <c r="A294" s="60">
        <v>907</v>
      </c>
      <c r="B294" s="60" t="s">
        <v>1157</v>
      </c>
      <c r="C294" s="44" t="s">
        <v>1037</v>
      </c>
      <c r="D294" s="44" t="s">
        <v>663</v>
      </c>
      <c r="F294" s="76">
        <v>364585.26</v>
      </c>
      <c r="H294" s="63">
        <f t="shared" ref="H294:Q304" si="127">IF(VLOOKUP($D294,$C$6:$AE$653,H$2,)=0,0,((VLOOKUP($D294,$C$6:$AE$653,H$2,)/VLOOKUP($D294,$C$6:$AE$653,4,))*$F294))</f>
        <v>0</v>
      </c>
      <c r="I294" s="63">
        <f t="shared" si="127"/>
        <v>0</v>
      </c>
      <c r="J294" s="63">
        <f t="shared" si="127"/>
        <v>0</v>
      </c>
      <c r="K294" s="63">
        <f t="shared" si="127"/>
        <v>0</v>
      </c>
      <c r="L294" s="63">
        <f t="shared" si="127"/>
        <v>0</v>
      </c>
      <c r="M294" s="63">
        <f t="shared" si="127"/>
        <v>0</v>
      </c>
      <c r="N294" s="63">
        <f t="shared" si="127"/>
        <v>0</v>
      </c>
      <c r="O294" s="63">
        <f t="shared" si="127"/>
        <v>0</v>
      </c>
      <c r="P294" s="63">
        <f t="shared" si="127"/>
        <v>0</v>
      </c>
      <c r="Q294" s="63">
        <f t="shared" si="127"/>
        <v>0</v>
      </c>
      <c r="R294" s="63">
        <f t="shared" ref="R294:AE304" si="128">IF(VLOOKUP($D294,$C$6:$AE$653,R$2,)=0,0,((VLOOKUP($D294,$C$6:$AE$653,R$2,)/VLOOKUP($D294,$C$6:$AE$653,4,))*$F294))</f>
        <v>0</v>
      </c>
      <c r="S294" s="63">
        <f t="shared" si="128"/>
        <v>0</v>
      </c>
      <c r="T294" s="63">
        <f t="shared" si="128"/>
        <v>0</v>
      </c>
      <c r="U294" s="63">
        <f t="shared" si="128"/>
        <v>0</v>
      </c>
      <c r="V294" s="63">
        <f t="shared" si="128"/>
        <v>0</v>
      </c>
      <c r="W294" s="63">
        <f t="shared" si="128"/>
        <v>0</v>
      </c>
      <c r="X294" s="63">
        <f t="shared" si="128"/>
        <v>0</v>
      </c>
      <c r="Y294" s="63">
        <f t="shared" si="128"/>
        <v>0</v>
      </c>
      <c r="Z294" s="63">
        <f t="shared" si="128"/>
        <v>0</v>
      </c>
      <c r="AA294" s="63">
        <f t="shared" si="128"/>
        <v>0</v>
      </c>
      <c r="AB294" s="63">
        <f t="shared" si="128"/>
        <v>0</v>
      </c>
      <c r="AC294" s="63">
        <f t="shared" si="128"/>
        <v>0</v>
      </c>
      <c r="AD294" s="63">
        <f t="shared" si="128"/>
        <v>364585.26</v>
      </c>
      <c r="AE294" s="63">
        <f t="shared" si="128"/>
        <v>0</v>
      </c>
      <c r="AF294" s="63">
        <f t="shared" ref="AF294:AF304" si="129">SUM(H294:AE294)</f>
        <v>364585.26</v>
      </c>
      <c r="AG294" s="58" t="str">
        <f t="shared" ref="AG294:AG304" si="130">IF(ABS(AF294-F294)&lt;1,"ok","err")</f>
        <v>ok</v>
      </c>
    </row>
    <row r="295" spans="1:33">
      <c r="A295" s="60">
        <v>908</v>
      </c>
      <c r="B295" s="60" t="s">
        <v>1039</v>
      </c>
      <c r="C295" s="44" t="s">
        <v>1040</v>
      </c>
      <c r="D295" s="44" t="s">
        <v>663</v>
      </c>
      <c r="F295" s="79">
        <v>289821.47999998368</v>
      </c>
      <c r="H295" s="63">
        <f t="shared" si="127"/>
        <v>0</v>
      </c>
      <c r="I295" s="63">
        <f t="shared" si="127"/>
        <v>0</v>
      </c>
      <c r="J295" s="63">
        <f t="shared" si="127"/>
        <v>0</v>
      </c>
      <c r="K295" s="63">
        <f t="shared" si="127"/>
        <v>0</v>
      </c>
      <c r="L295" s="63">
        <f t="shared" si="127"/>
        <v>0</v>
      </c>
      <c r="M295" s="63">
        <f t="shared" si="127"/>
        <v>0</v>
      </c>
      <c r="N295" s="63">
        <f t="shared" si="127"/>
        <v>0</v>
      </c>
      <c r="O295" s="63">
        <f t="shared" si="127"/>
        <v>0</v>
      </c>
      <c r="P295" s="63">
        <f t="shared" si="127"/>
        <v>0</v>
      </c>
      <c r="Q295" s="63">
        <f t="shared" si="127"/>
        <v>0</v>
      </c>
      <c r="R295" s="63">
        <f t="shared" si="128"/>
        <v>0</v>
      </c>
      <c r="S295" s="63">
        <f t="shared" si="128"/>
        <v>0</v>
      </c>
      <c r="T295" s="63">
        <f t="shared" si="128"/>
        <v>0</v>
      </c>
      <c r="U295" s="63">
        <f t="shared" si="128"/>
        <v>0</v>
      </c>
      <c r="V295" s="63">
        <f t="shared" si="128"/>
        <v>0</v>
      </c>
      <c r="W295" s="63">
        <f t="shared" si="128"/>
        <v>0</v>
      </c>
      <c r="X295" s="63">
        <f t="shared" si="128"/>
        <v>0</v>
      </c>
      <c r="Y295" s="63">
        <f t="shared" si="128"/>
        <v>0</v>
      </c>
      <c r="Z295" s="63">
        <f t="shared" si="128"/>
        <v>0</v>
      </c>
      <c r="AA295" s="63">
        <f t="shared" si="128"/>
        <v>0</v>
      </c>
      <c r="AB295" s="63">
        <f t="shared" si="128"/>
        <v>0</v>
      </c>
      <c r="AC295" s="63">
        <f t="shared" si="128"/>
        <v>0</v>
      </c>
      <c r="AD295" s="63">
        <f t="shared" si="128"/>
        <v>289821.47999998368</v>
      </c>
      <c r="AE295" s="63">
        <f t="shared" si="128"/>
        <v>0</v>
      </c>
      <c r="AF295" s="63">
        <f t="shared" si="129"/>
        <v>289821.47999998368</v>
      </c>
      <c r="AG295" s="58" t="str">
        <f t="shared" si="130"/>
        <v>ok</v>
      </c>
    </row>
    <row r="296" spans="1:33">
      <c r="A296" s="60">
        <v>908</v>
      </c>
      <c r="B296" s="60" t="s">
        <v>184</v>
      </c>
      <c r="C296" s="44" t="s">
        <v>32</v>
      </c>
      <c r="D296" s="44" t="s">
        <v>663</v>
      </c>
      <c r="F296" s="79"/>
      <c r="H296" s="63">
        <f t="shared" si="127"/>
        <v>0</v>
      </c>
      <c r="I296" s="63">
        <f t="shared" si="127"/>
        <v>0</v>
      </c>
      <c r="J296" s="63">
        <f t="shared" si="127"/>
        <v>0</v>
      </c>
      <c r="K296" s="63">
        <f t="shared" si="127"/>
        <v>0</v>
      </c>
      <c r="L296" s="63">
        <f t="shared" si="127"/>
        <v>0</v>
      </c>
      <c r="M296" s="63">
        <f t="shared" si="127"/>
        <v>0</v>
      </c>
      <c r="N296" s="63">
        <f t="shared" si="127"/>
        <v>0</v>
      </c>
      <c r="O296" s="63">
        <f t="shared" si="127"/>
        <v>0</v>
      </c>
      <c r="P296" s="63">
        <f t="shared" si="127"/>
        <v>0</v>
      </c>
      <c r="Q296" s="63">
        <f t="shared" si="127"/>
        <v>0</v>
      </c>
      <c r="R296" s="63">
        <f t="shared" si="128"/>
        <v>0</v>
      </c>
      <c r="S296" s="63">
        <f t="shared" si="128"/>
        <v>0</v>
      </c>
      <c r="T296" s="63">
        <f t="shared" si="128"/>
        <v>0</v>
      </c>
      <c r="U296" s="63">
        <f t="shared" si="128"/>
        <v>0</v>
      </c>
      <c r="V296" s="63">
        <f t="shared" si="128"/>
        <v>0</v>
      </c>
      <c r="W296" s="63">
        <f t="shared" si="128"/>
        <v>0</v>
      </c>
      <c r="X296" s="63">
        <f t="shared" si="128"/>
        <v>0</v>
      </c>
      <c r="Y296" s="63">
        <f t="shared" si="128"/>
        <v>0</v>
      </c>
      <c r="Z296" s="63">
        <f t="shared" si="128"/>
        <v>0</v>
      </c>
      <c r="AA296" s="63">
        <f t="shared" si="128"/>
        <v>0</v>
      </c>
      <c r="AB296" s="63">
        <f t="shared" si="128"/>
        <v>0</v>
      </c>
      <c r="AC296" s="63">
        <f t="shared" si="128"/>
        <v>0</v>
      </c>
      <c r="AD296" s="63">
        <f t="shared" si="128"/>
        <v>0</v>
      </c>
      <c r="AE296" s="63">
        <f t="shared" si="128"/>
        <v>0</v>
      </c>
      <c r="AF296" s="63">
        <f t="shared" si="129"/>
        <v>0</v>
      </c>
      <c r="AG296" s="58" t="str">
        <f t="shared" si="130"/>
        <v>ok</v>
      </c>
    </row>
    <row r="297" spans="1:33">
      <c r="A297" s="60">
        <v>909</v>
      </c>
      <c r="B297" s="60" t="s">
        <v>1041</v>
      </c>
      <c r="C297" s="44" t="s">
        <v>1042</v>
      </c>
      <c r="D297" s="44" t="s">
        <v>663</v>
      </c>
      <c r="F297" s="79">
        <v>257471.76</v>
      </c>
      <c r="H297" s="63">
        <f t="shared" si="127"/>
        <v>0</v>
      </c>
      <c r="I297" s="63">
        <f t="shared" si="127"/>
        <v>0</v>
      </c>
      <c r="J297" s="63">
        <f t="shared" si="127"/>
        <v>0</v>
      </c>
      <c r="K297" s="63">
        <f t="shared" si="127"/>
        <v>0</v>
      </c>
      <c r="L297" s="63">
        <f t="shared" si="127"/>
        <v>0</v>
      </c>
      <c r="M297" s="63">
        <f t="shared" si="127"/>
        <v>0</v>
      </c>
      <c r="N297" s="63">
        <f t="shared" si="127"/>
        <v>0</v>
      </c>
      <c r="O297" s="63">
        <f t="shared" si="127"/>
        <v>0</v>
      </c>
      <c r="P297" s="63">
        <f t="shared" si="127"/>
        <v>0</v>
      </c>
      <c r="Q297" s="63">
        <f t="shared" si="127"/>
        <v>0</v>
      </c>
      <c r="R297" s="63">
        <f t="shared" si="128"/>
        <v>0</v>
      </c>
      <c r="S297" s="63">
        <f t="shared" si="128"/>
        <v>0</v>
      </c>
      <c r="T297" s="63">
        <f t="shared" si="128"/>
        <v>0</v>
      </c>
      <c r="U297" s="63">
        <f t="shared" si="128"/>
        <v>0</v>
      </c>
      <c r="V297" s="63">
        <f t="shared" si="128"/>
        <v>0</v>
      </c>
      <c r="W297" s="63">
        <f t="shared" si="128"/>
        <v>0</v>
      </c>
      <c r="X297" s="63">
        <f t="shared" si="128"/>
        <v>0</v>
      </c>
      <c r="Y297" s="63">
        <f t="shared" si="128"/>
        <v>0</v>
      </c>
      <c r="Z297" s="63">
        <f t="shared" si="128"/>
        <v>0</v>
      </c>
      <c r="AA297" s="63">
        <f t="shared" si="128"/>
        <v>0</v>
      </c>
      <c r="AB297" s="63">
        <f t="shared" si="128"/>
        <v>0</v>
      </c>
      <c r="AC297" s="63">
        <f t="shared" si="128"/>
        <v>0</v>
      </c>
      <c r="AD297" s="63">
        <f t="shared" si="128"/>
        <v>257471.76</v>
      </c>
      <c r="AE297" s="63">
        <f t="shared" si="128"/>
        <v>0</v>
      </c>
      <c r="AF297" s="63">
        <f t="shared" si="129"/>
        <v>257471.76</v>
      </c>
      <c r="AG297" s="58" t="str">
        <f t="shared" si="130"/>
        <v>ok</v>
      </c>
    </row>
    <row r="298" spans="1:33">
      <c r="A298" s="60">
        <v>909</v>
      </c>
      <c r="B298" s="60" t="s">
        <v>33</v>
      </c>
      <c r="C298" s="44" t="s">
        <v>34</v>
      </c>
      <c r="D298" s="44" t="s">
        <v>663</v>
      </c>
      <c r="F298" s="79"/>
      <c r="H298" s="63">
        <f t="shared" si="127"/>
        <v>0</v>
      </c>
      <c r="I298" s="63">
        <f t="shared" si="127"/>
        <v>0</v>
      </c>
      <c r="J298" s="63">
        <f t="shared" si="127"/>
        <v>0</v>
      </c>
      <c r="K298" s="63">
        <f t="shared" si="127"/>
        <v>0</v>
      </c>
      <c r="L298" s="63">
        <f t="shared" si="127"/>
        <v>0</v>
      </c>
      <c r="M298" s="63">
        <f t="shared" si="127"/>
        <v>0</v>
      </c>
      <c r="N298" s="63">
        <f t="shared" si="127"/>
        <v>0</v>
      </c>
      <c r="O298" s="63">
        <f t="shared" si="127"/>
        <v>0</v>
      </c>
      <c r="P298" s="63">
        <f t="shared" si="127"/>
        <v>0</v>
      </c>
      <c r="Q298" s="63">
        <f t="shared" si="127"/>
        <v>0</v>
      </c>
      <c r="R298" s="63">
        <f t="shared" si="128"/>
        <v>0</v>
      </c>
      <c r="S298" s="63">
        <f t="shared" si="128"/>
        <v>0</v>
      </c>
      <c r="T298" s="63">
        <f t="shared" si="128"/>
        <v>0</v>
      </c>
      <c r="U298" s="63">
        <f t="shared" si="128"/>
        <v>0</v>
      </c>
      <c r="V298" s="63">
        <f t="shared" si="128"/>
        <v>0</v>
      </c>
      <c r="W298" s="63">
        <f t="shared" si="128"/>
        <v>0</v>
      </c>
      <c r="X298" s="63">
        <f t="shared" si="128"/>
        <v>0</v>
      </c>
      <c r="Y298" s="63">
        <f t="shared" si="128"/>
        <v>0</v>
      </c>
      <c r="Z298" s="63">
        <f t="shared" si="128"/>
        <v>0</v>
      </c>
      <c r="AA298" s="63">
        <f t="shared" si="128"/>
        <v>0</v>
      </c>
      <c r="AB298" s="63">
        <f t="shared" si="128"/>
        <v>0</v>
      </c>
      <c r="AC298" s="63">
        <f t="shared" si="128"/>
        <v>0</v>
      </c>
      <c r="AD298" s="63">
        <f t="shared" si="128"/>
        <v>0</v>
      </c>
      <c r="AE298" s="63">
        <f t="shared" si="128"/>
        <v>0</v>
      </c>
      <c r="AF298" s="63">
        <f t="shared" si="129"/>
        <v>0</v>
      </c>
      <c r="AG298" s="58" t="str">
        <f t="shared" si="130"/>
        <v>ok</v>
      </c>
    </row>
    <row r="299" spans="1:33">
      <c r="A299" s="60">
        <v>910</v>
      </c>
      <c r="B299" s="60" t="s">
        <v>1043</v>
      </c>
      <c r="C299" s="44" t="s">
        <v>1044</v>
      </c>
      <c r="D299" s="44" t="s">
        <v>663</v>
      </c>
      <c r="F299" s="79">
        <v>823663.43999999971</v>
      </c>
      <c r="H299" s="63">
        <f t="shared" si="127"/>
        <v>0</v>
      </c>
      <c r="I299" s="63">
        <f t="shared" si="127"/>
        <v>0</v>
      </c>
      <c r="J299" s="63">
        <f t="shared" si="127"/>
        <v>0</v>
      </c>
      <c r="K299" s="63">
        <f t="shared" si="127"/>
        <v>0</v>
      </c>
      <c r="L299" s="63">
        <f t="shared" si="127"/>
        <v>0</v>
      </c>
      <c r="M299" s="63">
        <f t="shared" si="127"/>
        <v>0</v>
      </c>
      <c r="N299" s="63">
        <f t="shared" si="127"/>
        <v>0</v>
      </c>
      <c r="O299" s="63">
        <f t="shared" si="127"/>
        <v>0</v>
      </c>
      <c r="P299" s="63">
        <f t="shared" si="127"/>
        <v>0</v>
      </c>
      <c r="Q299" s="63">
        <f t="shared" si="127"/>
        <v>0</v>
      </c>
      <c r="R299" s="63">
        <f t="shared" si="128"/>
        <v>0</v>
      </c>
      <c r="S299" s="63">
        <f t="shared" si="128"/>
        <v>0</v>
      </c>
      <c r="T299" s="63">
        <f t="shared" si="128"/>
        <v>0</v>
      </c>
      <c r="U299" s="63">
        <f t="shared" si="128"/>
        <v>0</v>
      </c>
      <c r="V299" s="63">
        <f t="shared" si="128"/>
        <v>0</v>
      </c>
      <c r="W299" s="63">
        <f t="shared" si="128"/>
        <v>0</v>
      </c>
      <c r="X299" s="63">
        <f t="shared" si="128"/>
        <v>0</v>
      </c>
      <c r="Y299" s="63">
        <f t="shared" si="128"/>
        <v>0</v>
      </c>
      <c r="Z299" s="63">
        <f t="shared" si="128"/>
        <v>0</v>
      </c>
      <c r="AA299" s="63">
        <f t="shared" si="128"/>
        <v>0</v>
      </c>
      <c r="AB299" s="63">
        <f t="shared" si="128"/>
        <v>0</v>
      </c>
      <c r="AC299" s="63">
        <f t="shared" si="128"/>
        <v>0</v>
      </c>
      <c r="AD299" s="63">
        <f t="shared" si="128"/>
        <v>823663.43999999971</v>
      </c>
      <c r="AE299" s="63">
        <f t="shared" si="128"/>
        <v>0</v>
      </c>
      <c r="AF299" s="63">
        <f t="shared" si="129"/>
        <v>823663.43999999971</v>
      </c>
      <c r="AG299" s="58" t="str">
        <f t="shared" si="130"/>
        <v>ok</v>
      </c>
    </row>
    <row r="300" spans="1:33">
      <c r="A300" s="60">
        <v>911</v>
      </c>
      <c r="B300" s="60" t="s">
        <v>149</v>
      </c>
      <c r="C300" s="44" t="s">
        <v>171</v>
      </c>
      <c r="D300" s="44" t="s">
        <v>663</v>
      </c>
      <c r="F300" s="79"/>
      <c r="H300" s="63">
        <f t="shared" si="127"/>
        <v>0</v>
      </c>
      <c r="I300" s="63">
        <f t="shared" si="127"/>
        <v>0</v>
      </c>
      <c r="J300" s="63">
        <f t="shared" si="127"/>
        <v>0</v>
      </c>
      <c r="K300" s="63">
        <f t="shared" si="127"/>
        <v>0</v>
      </c>
      <c r="L300" s="63">
        <f t="shared" si="127"/>
        <v>0</v>
      </c>
      <c r="M300" s="63">
        <f t="shared" si="127"/>
        <v>0</v>
      </c>
      <c r="N300" s="63">
        <f t="shared" si="127"/>
        <v>0</v>
      </c>
      <c r="O300" s="63">
        <f t="shared" si="127"/>
        <v>0</v>
      </c>
      <c r="P300" s="63">
        <f t="shared" si="127"/>
        <v>0</v>
      </c>
      <c r="Q300" s="63">
        <f t="shared" si="127"/>
        <v>0</v>
      </c>
      <c r="R300" s="63">
        <f t="shared" si="128"/>
        <v>0</v>
      </c>
      <c r="S300" s="63">
        <f t="shared" si="128"/>
        <v>0</v>
      </c>
      <c r="T300" s="63">
        <f t="shared" si="128"/>
        <v>0</v>
      </c>
      <c r="U300" s="63">
        <f t="shared" si="128"/>
        <v>0</v>
      </c>
      <c r="V300" s="63">
        <f t="shared" si="128"/>
        <v>0</v>
      </c>
      <c r="W300" s="63">
        <f t="shared" si="128"/>
        <v>0</v>
      </c>
      <c r="X300" s="63">
        <f t="shared" si="128"/>
        <v>0</v>
      </c>
      <c r="Y300" s="63">
        <f t="shared" si="128"/>
        <v>0</v>
      </c>
      <c r="Z300" s="63">
        <f t="shared" si="128"/>
        <v>0</v>
      </c>
      <c r="AA300" s="63">
        <f t="shared" si="128"/>
        <v>0</v>
      </c>
      <c r="AB300" s="63">
        <f t="shared" si="128"/>
        <v>0</v>
      </c>
      <c r="AC300" s="63">
        <f t="shared" si="128"/>
        <v>0</v>
      </c>
      <c r="AD300" s="63">
        <f t="shared" si="128"/>
        <v>0</v>
      </c>
      <c r="AE300" s="63">
        <f t="shared" si="128"/>
        <v>0</v>
      </c>
      <c r="AF300" s="63">
        <f t="shared" si="129"/>
        <v>0</v>
      </c>
      <c r="AG300" s="58" t="str">
        <f t="shared" si="130"/>
        <v>ok</v>
      </c>
    </row>
    <row r="301" spans="1:33">
      <c r="A301" s="60">
        <v>912</v>
      </c>
      <c r="B301" s="60" t="s">
        <v>149</v>
      </c>
      <c r="C301" s="44" t="s">
        <v>150</v>
      </c>
      <c r="D301" s="44" t="s">
        <v>663</v>
      </c>
      <c r="F301" s="79"/>
      <c r="H301" s="63">
        <f t="shared" si="127"/>
        <v>0</v>
      </c>
      <c r="I301" s="63">
        <f t="shared" si="127"/>
        <v>0</v>
      </c>
      <c r="J301" s="63">
        <f t="shared" si="127"/>
        <v>0</v>
      </c>
      <c r="K301" s="63">
        <f t="shared" si="127"/>
        <v>0</v>
      </c>
      <c r="L301" s="63">
        <f t="shared" si="127"/>
        <v>0</v>
      </c>
      <c r="M301" s="63">
        <f t="shared" si="127"/>
        <v>0</v>
      </c>
      <c r="N301" s="63">
        <f t="shared" si="127"/>
        <v>0</v>
      </c>
      <c r="O301" s="63">
        <f t="shared" si="127"/>
        <v>0</v>
      </c>
      <c r="P301" s="63">
        <f t="shared" si="127"/>
        <v>0</v>
      </c>
      <c r="Q301" s="63">
        <f t="shared" si="127"/>
        <v>0</v>
      </c>
      <c r="R301" s="63">
        <f t="shared" si="128"/>
        <v>0</v>
      </c>
      <c r="S301" s="63">
        <f t="shared" si="128"/>
        <v>0</v>
      </c>
      <c r="T301" s="63">
        <f t="shared" si="128"/>
        <v>0</v>
      </c>
      <c r="U301" s="63">
        <f t="shared" si="128"/>
        <v>0</v>
      </c>
      <c r="V301" s="63">
        <f t="shared" si="128"/>
        <v>0</v>
      </c>
      <c r="W301" s="63">
        <f t="shared" si="128"/>
        <v>0</v>
      </c>
      <c r="X301" s="63">
        <f t="shared" si="128"/>
        <v>0</v>
      </c>
      <c r="Y301" s="63">
        <f t="shared" si="128"/>
        <v>0</v>
      </c>
      <c r="Z301" s="63">
        <f t="shared" si="128"/>
        <v>0</v>
      </c>
      <c r="AA301" s="63">
        <f t="shared" si="128"/>
        <v>0</v>
      </c>
      <c r="AB301" s="63">
        <f t="shared" si="128"/>
        <v>0</v>
      </c>
      <c r="AC301" s="63">
        <f t="shared" si="128"/>
        <v>0</v>
      </c>
      <c r="AD301" s="63">
        <f t="shared" si="128"/>
        <v>0</v>
      </c>
      <c r="AE301" s="63">
        <f t="shared" si="128"/>
        <v>0</v>
      </c>
      <c r="AF301" s="63">
        <f t="shared" si="129"/>
        <v>0</v>
      </c>
      <c r="AG301" s="58" t="str">
        <f t="shared" si="130"/>
        <v>ok</v>
      </c>
    </row>
    <row r="302" spans="1:33">
      <c r="A302" s="60">
        <v>913</v>
      </c>
      <c r="B302" s="60" t="s">
        <v>159</v>
      </c>
      <c r="C302" s="44" t="s">
        <v>139</v>
      </c>
      <c r="D302" s="44" t="s">
        <v>663</v>
      </c>
      <c r="F302" s="79">
        <v>950846.51999999955</v>
      </c>
      <c r="H302" s="63">
        <f t="shared" si="127"/>
        <v>0</v>
      </c>
      <c r="I302" s="63">
        <f t="shared" si="127"/>
        <v>0</v>
      </c>
      <c r="J302" s="63">
        <f t="shared" si="127"/>
        <v>0</v>
      </c>
      <c r="K302" s="63">
        <f t="shared" si="127"/>
        <v>0</v>
      </c>
      <c r="L302" s="63">
        <f t="shared" si="127"/>
        <v>0</v>
      </c>
      <c r="M302" s="63">
        <f t="shared" si="127"/>
        <v>0</v>
      </c>
      <c r="N302" s="63">
        <f t="shared" si="127"/>
        <v>0</v>
      </c>
      <c r="O302" s="63">
        <f t="shared" si="127"/>
        <v>0</v>
      </c>
      <c r="P302" s="63">
        <f t="shared" si="127"/>
        <v>0</v>
      </c>
      <c r="Q302" s="63">
        <f t="shared" si="127"/>
        <v>0</v>
      </c>
      <c r="R302" s="63">
        <f t="shared" si="128"/>
        <v>0</v>
      </c>
      <c r="S302" s="63">
        <f t="shared" si="128"/>
        <v>0</v>
      </c>
      <c r="T302" s="63">
        <f t="shared" si="128"/>
        <v>0</v>
      </c>
      <c r="U302" s="63">
        <f t="shared" si="128"/>
        <v>0</v>
      </c>
      <c r="V302" s="63">
        <f t="shared" si="128"/>
        <v>0</v>
      </c>
      <c r="W302" s="63">
        <f t="shared" si="128"/>
        <v>0</v>
      </c>
      <c r="X302" s="63">
        <f t="shared" si="128"/>
        <v>0</v>
      </c>
      <c r="Y302" s="63">
        <f t="shared" si="128"/>
        <v>0</v>
      </c>
      <c r="Z302" s="63">
        <f t="shared" si="128"/>
        <v>0</v>
      </c>
      <c r="AA302" s="63">
        <f t="shared" si="128"/>
        <v>0</v>
      </c>
      <c r="AB302" s="63">
        <f t="shared" si="128"/>
        <v>0</v>
      </c>
      <c r="AC302" s="63">
        <f t="shared" si="128"/>
        <v>0</v>
      </c>
      <c r="AD302" s="63">
        <f t="shared" si="128"/>
        <v>950846.51999999955</v>
      </c>
      <c r="AE302" s="63">
        <f t="shared" si="128"/>
        <v>0</v>
      </c>
      <c r="AF302" s="63">
        <f t="shared" si="129"/>
        <v>950846.51999999955</v>
      </c>
      <c r="AG302" s="58" t="str">
        <f t="shared" si="130"/>
        <v>ok</v>
      </c>
    </row>
    <row r="303" spans="1:33">
      <c r="A303" s="60">
        <v>915</v>
      </c>
      <c r="B303" s="60" t="s">
        <v>160</v>
      </c>
      <c r="C303" s="44" t="s">
        <v>162</v>
      </c>
      <c r="D303" s="44" t="s">
        <v>663</v>
      </c>
      <c r="F303" s="79"/>
      <c r="H303" s="63">
        <f t="shared" si="127"/>
        <v>0</v>
      </c>
      <c r="I303" s="63">
        <f t="shared" si="127"/>
        <v>0</v>
      </c>
      <c r="J303" s="63">
        <f t="shared" si="127"/>
        <v>0</v>
      </c>
      <c r="K303" s="63">
        <f t="shared" si="127"/>
        <v>0</v>
      </c>
      <c r="L303" s="63">
        <f t="shared" si="127"/>
        <v>0</v>
      </c>
      <c r="M303" s="63">
        <f t="shared" si="127"/>
        <v>0</v>
      </c>
      <c r="N303" s="63">
        <f t="shared" si="127"/>
        <v>0</v>
      </c>
      <c r="O303" s="63">
        <f t="shared" si="127"/>
        <v>0</v>
      </c>
      <c r="P303" s="63">
        <f t="shared" si="127"/>
        <v>0</v>
      </c>
      <c r="Q303" s="63">
        <f t="shared" si="127"/>
        <v>0</v>
      </c>
      <c r="R303" s="63">
        <f t="shared" si="128"/>
        <v>0</v>
      </c>
      <c r="S303" s="63">
        <f t="shared" si="128"/>
        <v>0</v>
      </c>
      <c r="T303" s="63">
        <f t="shared" si="128"/>
        <v>0</v>
      </c>
      <c r="U303" s="63">
        <f t="shared" si="128"/>
        <v>0</v>
      </c>
      <c r="V303" s="63">
        <f t="shared" si="128"/>
        <v>0</v>
      </c>
      <c r="W303" s="63">
        <f t="shared" si="128"/>
        <v>0</v>
      </c>
      <c r="X303" s="63">
        <f t="shared" si="128"/>
        <v>0</v>
      </c>
      <c r="Y303" s="63">
        <f t="shared" si="128"/>
        <v>0</v>
      </c>
      <c r="Z303" s="63">
        <f t="shared" si="128"/>
        <v>0</v>
      </c>
      <c r="AA303" s="63">
        <f t="shared" si="128"/>
        <v>0</v>
      </c>
      <c r="AB303" s="63">
        <f t="shared" si="128"/>
        <v>0</v>
      </c>
      <c r="AC303" s="63">
        <f t="shared" si="128"/>
        <v>0</v>
      </c>
      <c r="AD303" s="63">
        <f t="shared" si="128"/>
        <v>0</v>
      </c>
      <c r="AE303" s="63">
        <f t="shared" si="128"/>
        <v>0</v>
      </c>
      <c r="AF303" s="63">
        <f t="shared" si="129"/>
        <v>0</v>
      </c>
      <c r="AG303" s="58" t="str">
        <f t="shared" si="130"/>
        <v>ok</v>
      </c>
    </row>
    <row r="304" spans="1:33">
      <c r="A304" s="60">
        <v>916</v>
      </c>
      <c r="B304" s="60" t="s">
        <v>161</v>
      </c>
      <c r="C304" s="44" t="s">
        <v>163</v>
      </c>
      <c r="D304" s="44" t="s">
        <v>663</v>
      </c>
      <c r="F304" s="79"/>
      <c r="H304" s="63">
        <f t="shared" si="127"/>
        <v>0</v>
      </c>
      <c r="I304" s="63">
        <f t="shared" si="127"/>
        <v>0</v>
      </c>
      <c r="J304" s="63">
        <f t="shared" si="127"/>
        <v>0</v>
      </c>
      <c r="K304" s="63">
        <f t="shared" si="127"/>
        <v>0</v>
      </c>
      <c r="L304" s="63">
        <f t="shared" si="127"/>
        <v>0</v>
      </c>
      <c r="M304" s="63">
        <f t="shared" si="127"/>
        <v>0</v>
      </c>
      <c r="N304" s="63">
        <f t="shared" si="127"/>
        <v>0</v>
      </c>
      <c r="O304" s="63">
        <f t="shared" si="127"/>
        <v>0</v>
      </c>
      <c r="P304" s="63">
        <f t="shared" si="127"/>
        <v>0</v>
      </c>
      <c r="Q304" s="63">
        <f t="shared" si="127"/>
        <v>0</v>
      </c>
      <c r="R304" s="63">
        <f t="shared" si="128"/>
        <v>0</v>
      </c>
      <c r="S304" s="63">
        <f t="shared" si="128"/>
        <v>0</v>
      </c>
      <c r="T304" s="63">
        <f t="shared" si="128"/>
        <v>0</v>
      </c>
      <c r="U304" s="63">
        <f t="shared" si="128"/>
        <v>0</v>
      </c>
      <c r="V304" s="63">
        <f t="shared" si="128"/>
        <v>0</v>
      </c>
      <c r="W304" s="63">
        <f t="shared" si="128"/>
        <v>0</v>
      </c>
      <c r="X304" s="63">
        <f t="shared" si="128"/>
        <v>0</v>
      </c>
      <c r="Y304" s="63">
        <f t="shared" si="128"/>
        <v>0</v>
      </c>
      <c r="Z304" s="63">
        <f t="shared" si="128"/>
        <v>0</v>
      </c>
      <c r="AA304" s="63">
        <f t="shared" si="128"/>
        <v>0</v>
      </c>
      <c r="AB304" s="63">
        <f t="shared" si="128"/>
        <v>0</v>
      </c>
      <c r="AC304" s="63">
        <f t="shared" si="128"/>
        <v>0</v>
      </c>
      <c r="AD304" s="63">
        <f t="shared" si="128"/>
        <v>0</v>
      </c>
      <c r="AE304" s="63">
        <f t="shared" si="128"/>
        <v>0</v>
      </c>
      <c r="AF304" s="63">
        <f t="shared" si="129"/>
        <v>0</v>
      </c>
      <c r="AG304" s="58" t="str">
        <f t="shared" si="130"/>
        <v>ok</v>
      </c>
    </row>
    <row r="305" spans="1:33">
      <c r="A305" s="60"/>
      <c r="B305" s="60"/>
      <c r="F305" s="79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58"/>
    </row>
    <row r="306" spans="1:33">
      <c r="A306" s="60" t="s">
        <v>1045</v>
      </c>
      <c r="B306" s="60"/>
      <c r="C306" s="44" t="s">
        <v>1046</v>
      </c>
      <c r="F306" s="76">
        <f t="shared" ref="F306:M306" si="131">SUM(F294:F305)</f>
        <v>2686388.4599999832</v>
      </c>
      <c r="G306" s="62">
        <f t="shared" si="131"/>
        <v>0</v>
      </c>
      <c r="H306" s="62">
        <f t="shared" si="131"/>
        <v>0</v>
      </c>
      <c r="I306" s="62">
        <f t="shared" si="131"/>
        <v>0</v>
      </c>
      <c r="J306" s="62">
        <f t="shared" si="131"/>
        <v>0</v>
      </c>
      <c r="K306" s="62">
        <f t="shared" si="131"/>
        <v>0</v>
      </c>
      <c r="L306" s="62">
        <f t="shared" si="131"/>
        <v>0</v>
      </c>
      <c r="M306" s="62">
        <f t="shared" si="131"/>
        <v>0</v>
      </c>
      <c r="N306" s="62">
        <f>SUM(N294:N305)</f>
        <v>0</v>
      </c>
      <c r="O306" s="62">
        <f>SUM(O294:O305)</f>
        <v>0</v>
      </c>
      <c r="P306" s="62">
        <f>SUM(P294:P305)</f>
        <v>0</v>
      </c>
      <c r="Q306" s="62">
        <f t="shared" ref="Q306:AB306" si="132">SUM(Q294:Q305)</f>
        <v>0</v>
      </c>
      <c r="R306" s="62">
        <f t="shared" si="132"/>
        <v>0</v>
      </c>
      <c r="S306" s="62">
        <f t="shared" si="132"/>
        <v>0</v>
      </c>
      <c r="T306" s="62">
        <f t="shared" si="132"/>
        <v>0</v>
      </c>
      <c r="U306" s="62">
        <f t="shared" si="132"/>
        <v>0</v>
      </c>
      <c r="V306" s="62">
        <f t="shared" si="132"/>
        <v>0</v>
      </c>
      <c r="W306" s="62">
        <f t="shared" si="132"/>
        <v>0</v>
      </c>
      <c r="X306" s="62">
        <f t="shared" si="132"/>
        <v>0</v>
      </c>
      <c r="Y306" s="62">
        <f t="shared" si="132"/>
        <v>0</v>
      </c>
      <c r="Z306" s="62">
        <f t="shared" si="132"/>
        <v>0</v>
      </c>
      <c r="AA306" s="62">
        <f t="shared" si="132"/>
        <v>0</v>
      </c>
      <c r="AB306" s="62">
        <f t="shared" si="132"/>
        <v>0</v>
      </c>
      <c r="AC306" s="62">
        <f>SUM(AC294:AC305)</f>
        <v>0</v>
      </c>
      <c r="AD306" s="62">
        <f>SUM(AD294:AD305)</f>
        <v>2686388.4599999832</v>
      </c>
      <c r="AE306" s="62">
        <f>SUM(AE294:AE305)</f>
        <v>0</v>
      </c>
      <c r="AF306" s="63">
        <f>SUM(H306:AE306)</f>
        <v>2686388.4599999832</v>
      </c>
      <c r="AG306" s="58" t="str">
        <f>IF(ABS(AF306-F306)&lt;1,"ok","err")</f>
        <v>ok</v>
      </c>
    </row>
    <row r="307" spans="1:33">
      <c r="A307" s="60"/>
      <c r="B307" s="60"/>
      <c r="F307" s="79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G307" s="58"/>
    </row>
    <row r="308" spans="1:33">
      <c r="A308" s="60" t="s">
        <v>277</v>
      </c>
      <c r="B308" s="60"/>
      <c r="C308" s="44" t="s">
        <v>18</v>
      </c>
      <c r="F308" s="79">
        <f>F279+F291+F306</f>
        <v>597552678.17552042</v>
      </c>
      <c r="G308" s="63">
        <f>G277+G291+G306</f>
        <v>0</v>
      </c>
      <c r="H308" s="63">
        <f t="shared" ref="H308:M308" si="133">H279+H291+H306</f>
        <v>22381959.218989</v>
      </c>
      <c r="I308" s="63">
        <f t="shared" si="133"/>
        <v>23446518.932840079</v>
      </c>
      <c r="J308" s="63">
        <f t="shared" si="133"/>
        <v>19272959.500648879</v>
      </c>
      <c r="K308" s="63">
        <f t="shared" si="133"/>
        <v>445243824.99904263</v>
      </c>
      <c r="L308" s="63">
        <f t="shared" si="133"/>
        <v>0</v>
      </c>
      <c r="M308" s="63">
        <f t="shared" si="133"/>
        <v>0</v>
      </c>
      <c r="N308" s="63">
        <f>N279+N291+N306</f>
        <v>16509511</v>
      </c>
      <c r="O308" s="63">
        <f>O279+O291+O306</f>
        <v>0</v>
      </c>
      <c r="P308" s="63">
        <f>P279+P291+P306</f>
        <v>0</v>
      </c>
      <c r="Q308" s="63">
        <f t="shared" ref="Q308:AB308" si="134">Q279+Q291+Q306</f>
        <v>0</v>
      </c>
      <c r="R308" s="63">
        <f t="shared" si="134"/>
        <v>4886677.3409584481</v>
      </c>
      <c r="S308" s="63">
        <f t="shared" si="134"/>
        <v>0</v>
      </c>
      <c r="T308" s="63">
        <f t="shared" si="134"/>
        <v>10886720.914084699</v>
      </c>
      <c r="U308" s="63">
        <f t="shared" si="134"/>
        <v>16210312.185397595</v>
      </c>
      <c r="V308" s="63">
        <f t="shared" si="134"/>
        <v>3716796.1793296379</v>
      </c>
      <c r="W308" s="63">
        <f t="shared" si="134"/>
        <v>5447555.4697906598</v>
      </c>
      <c r="X308" s="63">
        <f t="shared" si="134"/>
        <v>672706.189899071</v>
      </c>
      <c r="Y308" s="63">
        <f t="shared" si="134"/>
        <v>470458.6575155544</v>
      </c>
      <c r="Z308" s="63">
        <f t="shared" si="134"/>
        <v>164847.83880456683</v>
      </c>
      <c r="AA308" s="63">
        <f t="shared" si="134"/>
        <v>10683984.510086538</v>
      </c>
      <c r="AB308" s="63">
        <f t="shared" si="134"/>
        <v>879456.71413322981</v>
      </c>
      <c r="AC308" s="63">
        <f>AC279+AC291+AC306</f>
        <v>13992000.063999731</v>
      </c>
      <c r="AD308" s="63">
        <f>AD279+AD291+AD306</f>
        <v>2686388.4599999832</v>
      </c>
      <c r="AE308" s="63">
        <f>AE279+AE291+AE306</f>
        <v>0</v>
      </c>
      <c r="AF308" s="63">
        <f>AF279+AF291+AF306</f>
        <v>597552678.17552054</v>
      </c>
      <c r="AG308" s="58" t="str">
        <f>IF(ABS(AF308-F308)&lt;1,"ok","err")</f>
        <v>ok</v>
      </c>
    </row>
    <row r="309" spans="1:33">
      <c r="A309" s="60"/>
      <c r="B309" s="60"/>
      <c r="F309" s="79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G309" s="58"/>
    </row>
    <row r="310" spans="1:33">
      <c r="A310" s="60"/>
      <c r="B310" s="60"/>
      <c r="F310" s="79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G310" s="58"/>
    </row>
    <row r="311" spans="1:33">
      <c r="A311" s="60"/>
      <c r="B311" s="60"/>
      <c r="F311" s="79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G311" s="58"/>
    </row>
    <row r="312" spans="1:33">
      <c r="A312" s="60"/>
      <c r="B312" s="60"/>
      <c r="F312" s="79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G312" s="58"/>
    </row>
    <row r="313" spans="1:33">
      <c r="A313" s="60"/>
      <c r="B313" s="60"/>
      <c r="F313" s="79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G313" s="58"/>
    </row>
    <row r="314" spans="1:33" ht="15">
      <c r="A314" s="59" t="s">
        <v>1024</v>
      </c>
      <c r="B314" s="60"/>
      <c r="F314" s="79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G314" s="58"/>
    </row>
    <row r="315" spans="1:33">
      <c r="A315" s="60"/>
      <c r="B315" s="60"/>
      <c r="F315" s="79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G315" s="58"/>
    </row>
    <row r="316" spans="1:33" ht="15">
      <c r="A316" s="65" t="s">
        <v>1047</v>
      </c>
      <c r="B316" s="60"/>
      <c r="F316" s="79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G316" s="58"/>
    </row>
    <row r="317" spans="1:33">
      <c r="A317" s="60">
        <v>920</v>
      </c>
      <c r="B317" s="60" t="s">
        <v>1048</v>
      </c>
      <c r="C317" s="44" t="s">
        <v>1049</v>
      </c>
      <c r="D317" s="44" t="s">
        <v>664</v>
      </c>
      <c r="F317" s="76">
        <v>27330835.082028419</v>
      </c>
      <c r="H317" s="63">
        <f t="shared" ref="H317:Q329" si="135">IF(VLOOKUP($D317,$C$6:$AE$653,H$2,)=0,0,((VLOOKUP($D317,$C$6:$AE$653,H$2,)/VLOOKUP($D317,$C$6:$AE$653,4,))*$F317))</f>
        <v>3179338.5381462662</v>
      </c>
      <c r="I317" s="63">
        <f t="shared" si="135"/>
        <v>3330558.3527875682</v>
      </c>
      <c r="J317" s="63">
        <f t="shared" si="135"/>
        <v>2737707.7352798884</v>
      </c>
      <c r="K317" s="63">
        <f t="shared" si="135"/>
        <v>6907179.7829127796</v>
      </c>
      <c r="L317" s="63">
        <f t="shared" si="135"/>
        <v>0</v>
      </c>
      <c r="M317" s="63">
        <f t="shared" si="135"/>
        <v>0</v>
      </c>
      <c r="N317" s="63">
        <f t="shared" si="135"/>
        <v>1638278.838608051</v>
      </c>
      <c r="O317" s="63">
        <f t="shared" si="135"/>
        <v>0</v>
      </c>
      <c r="P317" s="63">
        <f t="shared" si="135"/>
        <v>0</v>
      </c>
      <c r="Q317" s="63">
        <f t="shared" si="135"/>
        <v>0</v>
      </c>
      <c r="R317" s="63">
        <f t="shared" ref="R317:AE329" si="136">IF(VLOOKUP($D317,$C$6:$AE$653,R$2,)=0,0,((VLOOKUP($D317,$C$6:$AE$653,R$2,)/VLOOKUP($D317,$C$6:$AE$653,4,))*$F317))</f>
        <v>1025945.5674434847</v>
      </c>
      <c r="S317" s="63">
        <f t="shared" si="136"/>
        <v>0</v>
      </c>
      <c r="T317" s="63">
        <f t="shared" si="136"/>
        <v>970303.73746063665</v>
      </c>
      <c r="U317" s="63">
        <f t="shared" si="136"/>
        <v>1465760.4116971965</v>
      </c>
      <c r="V317" s="63">
        <f t="shared" si="136"/>
        <v>317639.39281326148</v>
      </c>
      <c r="W317" s="63">
        <f t="shared" si="136"/>
        <v>468593.02180088632</v>
      </c>
      <c r="X317" s="63">
        <f t="shared" si="136"/>
        <v>88572.803000029235</v>
      </c>
      <c r="Y317" s="63">
        <f t="shared" si="136"/>
        <v>61943.598286252309</v>
      </c>
      <c r="Z317" s="63">
        <f t="shared" si="136"/>
        <v>22462.996606719778</v>
      </c>
      <c r="AA317" s="63">
        <f t="shared" si="136"/>
        <v>2181980.7430216302</v>
      </c>
      <c r="AB317" s="63">
        <f t="shared" si="136"/>
        <v>74949.645016968541</v>
      </c>
      <c r="AC317" s="63">
        <f t="shared" si="136"/>
        <v>2243650.2794324192</v>
      </c>
      <c r="AD317" s="63">
        <f t="shared" si="136"/>
        <v>615969.63771438028</v>
      </c>
      <c r="AE317" s="63">
        <f t="shared" si="136"/>
        <v>0</v>
      </c>
      <c r="AF317" s="63">
        <f t="shared" ref="AF317:AF328" si="137">SUM(H317:AE317)</f>
        <v>27330835.082028419</v>
      </c>
      <c r="AG317" s="58" t="str">
        <f t="shared" ref="AG317:AG328" si="138">IF(ABS(AF317-F317)&lt;1,"ok","err")</f>
        <v>ok</v>
      </c>
    </row>
    <row r="318" spans="1:33">
      <c r="A318" s="60">
        <v>921</v>
      </c>
      <c r="B318" s="60" t="s">
        <v>1050</v>
      </c>
      <c r="C318" s="44" t="s">
        <v>1051</v>
      </c>
      <c r="D318" s="44" t="s">
        <v>664</v>
      </c>
      <c r="F318" s="79">
        <v>5910352.8560832748</v>
      </c>
      <c r="H318" s="63">
        <f t="shared" si="135"/>
        <v>687538.91174531181</v>
      </c>
      <c r="I318" s="63">
        <f t="shared" si="135"/>
        <v>720240.52736295178</v>
      </c>
      <c r="J318" s="63">
        <f t="shared" si="135"/>
        <v>592035.28482642572</v>
      </c>
      <c r="K318" s="63">
        <f t="shared" si="135"/>
        <v>1493692.7333136345</v>
      </c>
      <c r="L318" s="63">
        <f t="shared" si="135"/>
        <v>0</v>
      </c>
      <c r="M318" s="63">
        <f t="shared" si="135"/>
        <v>0</v>
      </c>
      <c r="N318" s="63">
        <f t="shared" si="135"/>
        <v>354281.38158847846</v>
      </c>
      <c r="O318" s="63">
        <f t="shared" si="135"/>
        <v>0</v>
      </c>
      <c r="P318" s="63">
        <f t="shared" si="135"/>
        <v>0</v>
      </c>
      <c r="Q318" s="63">
        <f t="shared" si="135"/>
        <v>0</v>
      </c>
      <c r="R318" s="63">
        <f t="shared" si="136"/>
        <v>221862.97259218415</v>
      </c>
      <c r="S318" s="63">
        <f t="shared" si="136"/>
        <v>0</v>
      </c>
      <c r="T318" s="63">
        <f t="shared" si="136"/>
        <v>209830.30517569996</v>
      </c>
      <c r="U318" s="63">
        <f t="shared" si="136"/>
        <v>316973.89448977524</v>
      </c>
      <c r="V318" s="63">
        <f t="shared" si="136"/>
        <v>68690.213339031441</v>
      </c>
      <c r="W318" s="63">
        <f t="shared" si="136"/>
        <v>101334.26572694436</v>
      </c>
      <c r="X318" s="63">
        <f t="shared" si="136"/>
        <v>19154.062347943142</v>
      </c>
      <c r="Y318" s="63">
        <f t="shared" si="136"/>
        <v>13395.438593384348</v>
      </c>
      <c r="Z318" s="63">
        <f t="shared" si="136"/>
        <v>4857.6721403589754</v>
      </c>
      <c r="AA318" s="63">
        <f t="shared" si="136"/>
        <v>471858.10743545974</v>
      </c>
      <c r="AB318" s="63">
        <f t="shared" si="136"/>
        <v>16208.024641726057</v>
      </c>
      <c r="AC318" s="63">
        <f t="shared" si="136"/>
        <v>485194.27954893134</v>
      </c>
      <c r="AD318" s="63">
        <f t="shared" si="136"/>
        <v>133204.78121503387</v>
      </c>
      <c r="AE318" s="63">
        <f t="shared" si="136"/>
        <v>0</v>
      </c>
      <c r="AF318" s="63">
        <f t="shared" si="137"/>
        <v>5910352.8560832758</v>
      </c>
      <c r="AG318" s="58" t="str">
        <f t="shared" si="138"/>
        <v>ok</v>
      </c>
    </row>
    <row r="319" spans="1:33">
      <c r="A319" s="60">
        <v>922</v>
      </c>
      <c r="B319" s="60" t="s">
        <v>278</v>
      </c>
      <c r="C319" s="44" t="s">
        <v>279</v>
      </c>
      <c r="D319" s="44" t="s">
        <v>664</v>
      </c>
      <c r="F319" s="79">
        <v>-4320827.16</v>
      </c>
      <c r="H319" s="63">
        <f t="shared" si="135"/>
        <v>-502632.7320488714</v>
      </c>
      <c r="I319" s="63">
        <f t="shared" si="135"/>
        <v>-526539.60061952646</v>
      </c>
      <c r="J319" s="63">
        <f t="shared" si="135"/>
        <v>-432813.77620685217</v>
      </c>
      <c r="K319" s="63">
        <f t="shared" si="135"/>
        <v>-1091980.1724110893</v>
      </c>
      <c r="L319" s="63">
        <f t="shared" si="135"/>
        <v>0</v>
      </c>
      <c r="M319" s="63">
        <f t="shared" si="135"/>
        <v>0</v>
      </c>
      <c r="N319" s="63">
        <f t="shared" si="135"/>
        <v>-259001.22262146263</v>
      </c>
      <c r="O319" s="63">
        <f t="shared" si="135"/>
        <v>0</v>
      </c>
      <c r="P319" s="63">
        <f t="shared" si="135"/>
        <v>0</v>
      </c>
      <c r="Q319" s="63">
        <f t="shared" si="135"/>
        <v>0</v>
      </c>
      <c r="R319" s="63">
        <f t="shared" si="136"/>
        <v>-162195.3174568869</v>
      </c>
      <c r="S319" s="63">
        <f t="shared" si="136"/>
        <v>0</v>
      </c>
      <c r="T319" s="63">
        <f t="shared" si="136"/>
        <v>-153398.70624832265</v>
      </c>
      <c r="U319" s="63">
        <f t="shared" si="136"/>
        <v>-231727.1820603291</v>
      </c>
      <c r="V319" s="63">
        <f t="shared" si="136"/>
        <v>-50216.720836895423</v>
      </c>
      <c r="W319" s="63">
        <f t="shared" si="136"/>
        <v>-74081.507188015035</v>
      </c>
      <c r="X319" s="63">
        <f t="shared" si="136"/>
        <v>-14002.783730948197</v>
      </c>
      <c r="Y319" s="63">
        <f t="shared" si="136"/>
        <v>-9792.8797660252239</v>
      </c>
      <c r="Z319" s="63">
        <f t="shared" si="136"/>
        <v>-3551.2535764823483</v>
      </c>
      <c r="AA319" s="63">
        <f t="shared" si="136"/>
        <v>-344956.95534909808</v>
      </c>
      <c r="AB319" s="63">
        <f t="shared" si="136"/>
        <v>-11849.051112039475</v>
      </c>
      <c r="AC319" s="63">
        <f t="shared" si="136"/>
        <v>-354706.50771618111</v>
      </c>
      <c r="AD319" s="63">
        <f t="shared" si="136"/>
        <v>-97380.791050974571</v>
      </c>
      <c r="AE319" s="63">
        <f t="shared" si="136"/>
        <v>0</v>
      </c>
      <c r="AF319" s="63">
        <f>SUM(H319:AE319)</f>
        <v>-4320827.16</v>
      </c>
      <c r="AG319" s="58" t="str">
        <f t="shared" si="138"/>
        <v>ok</v>
      </c>
    </row>
    <row r="320" spans="1:33">
      <c r="A320" s="60">
        <v>923</v>
      </c>
      <c r="B320" s="60" t="s">
        <v>1052</v>
      </c>
      <c r="C320" s="44" t="s">
        <v>1053</v>
      </c>
      <c r="D320" s="44" t="s">
        <v>664</v>
      </c>
      <c r="F320" s="79">
        <v>15873533.059545619</v>
      </c>
      <c r="H320" s="63">
        <f t="shared" si="135"/>
        <v>1846534.7012370415</v>
      </c>
      <c r="I320" s="63">
        <f t="shared" si="135"/>
        <v>1934361.9747090279</v>
      </c>
      <c r="J320" s="63">
        <f t="shared" si="135"/>
        <v>1590039.0205023261</v>
      </c>
      <c r="K320" s="63">
        <f t="shared" si="135"/>
        <v>4011635.4404548206</v>
      </c>
      <c r="L320" s="63">
        <f t="shared" si="135"/>
        <v>0</v>
      </c>
      <c r="M320" s="63">
        <f t="shared" si="135"/>
        <v>0</v>
      </c>
      <c r="N320" s="63">
        <f t="shared" si="135"/>
        <v>951499.40451321402</v>
      </c>
      <c r="O320" s="63">
        <f t="shared" si="135"/>
        <v>0</v>
      </c>
      <c r="P320" s="63">
        <f t="shared" si="135"/>
        <v>0</v>
      </c>
      <c r="Q320" s="63">
        <f t="shared" si="135"/>
        <v>0</v>
      </c>
      <c r="R320" s="63">
        <f t="shared" si="136"/>
        <v>595861.07900585188</v>
      </c>
      <c r="S320" s="63">
        <f t="shared" si="136"/>
        <v>0</v>
      </c>
      <c r="T320" s="63">
        <f t="shared" si="136"/>
        <v>563544.74380879349</v>
      </c>
      <c r="U320" s="63">
        <f t="shared" si="136"/>
        <v>851302.06532722793</v>
      </c>
      <c r="V320" s="63">
        <f t="shared" si="136"/>
        <v>184482.44950081105</v>
      </c>
      <c r="W320" s="63">
        <f t="shared" si="136"/>
        <v>272155.12444842228</v>
      </c>
      <c r="X320" s="63">
        <f t="shared" si="136"/>
        <v>51442.384119542927</v>
      </c>
      <c r="Y320" s="63">
        <f t="shared" si="136"/>
        <v>35976.352433906832</v>
      </c>
      <c r="Z320" s="63">
        <f t="shared" si="136"/>
        <v>13046.330936579785</v>
      </c>
      <c r="AA320" s="63">
        <f t="shared" si="136"/>
        <v>1267277.1745061215</v>
      </c>
      <c r="AB320" s="63">
        <f t="shared" si="136"/>
        <v>43530.161607113296</v>
      </c>
      <c r="AC320" s="63">
        <f t="shared" si="136"/>
        <v>1303094.3539682745</v>
      </c>
      <c r="AD320" s="63">
        <f t="shared" si="136"/>
        <v>357750.29846654384</v>
      </c>
      <c r="AE320" s="63">
        <f t="shared" si="136"/>
        <v>0</v>
      </c>
      <c r="AF320" s="63">
        <f t="shared" si="137"/>
        <v>15873533.059545616</v>
      </c>
      <c r="AG320" s="58" t="str">
        <f t="shared" si="138"/>
        <v>ok</v>
      </c>
    </row>
    <row r="321" spans="1:33">
      <c r="A321" s="60">
        <v>924</v>
      </c>
      <c r="B321" s="60" t="s">
        <v>1054</v>
      </c>
      <c r="C321" s="44" t="s">
        <v>1055</v>
      </c>
      <c r="D321" s="44" t="s">
        <v>968</v>
      </c>
      <c r="F321" s="79">
        <v>4610557.8865446681</v>
      </c>
      <c r="H321" s="63">
        <f t="shared" si="135"/>
        <v>891485.99720293563</v>
      </c>
      <c r="I321" s="63">
        <f t="shared" si="135"/>
        <v>933888.00807244994</v>
      </c>
      <c r="J321" s="63">
        <f t="shared" si="135"/>
        <v>767652.79354591982</v>
      </c>
      <c r="K321" s="63">
        <f t="shared" si="135"/>
        <v>0</v>
      </c>
      <c r="L321" s="63">
        <f t="shared" si="135"/>
        <v>0</v>
      </c>
      <c r="M321" s="63">
        <f t="shared" si="135"/>
        <v>0</v>
      </c>
      <c r="N321" s="63">
        <f t="shared" si="135"/>
        <v>491106.04908541584</v>
      </c>
      <c r="O321" s="63">
        <f t="shared" si="135"/>
        <v>0</v>
      </c>
      <c r="P321" s="63">
        <f t="shared" si="135"/>
        <v>0</v>
      </c>
      <c r="Q321" s="63">
        <f t="shared" si="135"/>
        <v>0</v>
      </c>
      <c r="R321" s="63">
        <f t="shared" si="136"/>
        <v>171024.25213284703</v>
      </c>
      <c r="S321" s="63">
        <f t="shared" si="136"/>
        <v>0</v>
      </c>
      <c r="T321" s="63">
        <f t="shared" si="136"/>
        <v>292469.0627119214</v>
      </c>
      <c r="U321" s="63">
        <f t="shared" si="136"/>
        <v>465426.98005243874</v>
      </c>
      <c r="V321" s="63">
        <f t="shared" si="136"/>
        <v>80400.844442781861</v>
      </c>
      <c r="W321" s="63">
        <f t="shared" si="136"/>
        <v>122181.63092638491</v>
      </c>
      <c r="X321" s="63">
        <f t="shared" si="136"/>
        <v>111138.22443663614</v>
      </c>
      <c r="Y321" s="63">
        <f t="shared" si="136"/>
        <v>77724.778888933492</v>
      </c>
      <c r="Z321" s="63">
        <f t="shared" si="136"/>
        <v>38599.578466549108</v>
      </c>
      <c r="AA321" s="63">
        <f t="shared" si="136"/>
        <v>44774.432860433313</v>
      </c>
      <c r="AB321" s="63">
        <f t="shared" si="136"/>
        <v>122685.25371902071</v>
      </c>
      <c r="AC321" s="63">
        <f t="shared" si="136"/>
        <v>0</v>
      </c>
      <c r="AD321" s="63">
        <f t="shared" si="136"/>
        <v>0</v>
      </c>
      <c r="AE321" s="63">
        <f t="shared" si="136"/>
        <v>0</v>
      </c>
      <c r="AF321" s="63">
        <f t="shared" si="137"/>
        <v>4610557.8865446681</v>
      </c>
      <c r="AG321" s="58" t="str">
        <f t="shared" si="138"/>
        <v>ok</v>
      </c>
    </row>
    <row r="322" spans="1:33">
      <c r="A322" s="60">
        <v>925</v>
      </c>
      <c r="B322" s="60" t="s">
        <v>1369</v>
      </c>
      <c r="C322" s="44" t="s">
        <v>1056</v>
      </c>
      <c r="D322" s="44" t="s">
        <v>664</v>
      </c>
      <c r="F322" s="79">
        <v>2835056.0199999954</v>
      </c>
      <c r="H322" s="63">
        <f t="shared" si="135"/>
        <v>329796.10155111999</v>
      </c>
      <c r="I322" s="63">
        <f t="shared" si="135"/>
        <v>345482.29059566959</v>
      </c>
      <c r="J322" s="63">
        <f t="shared" si="135"/>
        <v>283985.27789622743</v>
      </c>
      <c r="K322" s="63">
        <f t="shared" si="135"/>
        <v>716488.96076525585</v>
      </c>
      <c r="L322" s="63">
        <f t="shared" si="135"/>
        <v>0</v>
      </c>
      <c r="M322" s="63">
        <f t="shared" si="135"/>
        <v>0</v>
      </c>
      <c r="N322" s="63">
        <f t="shared" si="135"/>
        <v>169940.37210697791</v>
      </c>
      <c r="O322" s="63">
        <f t="shared" si="135"/>
        <v>0</v>
      </c>
      <c r="P322" s="63">
        <f t="shared" si="135"/>
        <v>0</v>
      </c>
      <c r="Q322" s="63">
        <f t="shared" si="135"/>
        <v>0</v>
      </c>
      <c r="R322" s="63">
        <f t="shared" si="136"/>
        <v>106422.40342980012</v>
      </c>
      <c r="S322" s="63">
        <f t="shared" si="136"/>
        <v>0</v>
      </c>
      <c r="T322" s="63">
        <f t="shared" si="136"/>
        <v>100650.61838981729</v>
      </c>
      <c r="U322" s="63">
        <f t="shared" si="136"/>
        <v>152044.85580436199</v>
      </c>
      <c r="V322" s="63">
        <f t="shared" si="136"/>
        <v>32949.065408415823</v>
      </c>
      <c r="W322" s="63">
        <f t="shared" si="136"/>
        <v>48607.642737566697</v>
      </c>
      <c r="X322" s="63">
        <f t="shared" si="136"/>
        <v>9187.7492070714252</v>
      </c>
      <c r="Y322" s="63">
        <f t="shared" si="136"/>
        <v>6425.4740367365112</v>
      </c>
      <c r="Z322" s="63">
        <f t="shared" si="136"/>
        <v>2330.1100594250097</v>
      </c>
      <c r="AA322" s="63">
        <f t="shared" si="136"/>
        <v>226339.13755146135</v>
      </c>
      <c r="AB322" s="63">
        <f t="shared" si="136"/>
        <v>7774.6048250805643</v>
      </c>
      <c r="AC322" s="63">
        <f t="shared" si="136"/>
        <v>232736.18286410096</v>
      </c>
      <c r="AD322" s="63">
        <f t="shared" si="136"/>
        <v>63895.172770906924</v>
      </c>
      <c r="AE322" s="63">
        <f t="shared" si="136"/>
        <v>0</v>
      </c>
      <c r="AF322" s="63">
        <f t="shared" si="137"/>
        <v>2835056.0199999949</v>
      </c>
      <c r="AG322" s="58" t="str">
        <f t="shared" si="138"/>
        <v>ok</v>
      </c>
    </row>
    <row r="323" spans="1:33">
      <c r="A323" s="60">
        <v>926</v>
      </c>
      <c r="B323" s="60" t="s">
        <v>1057</v>
      </c>
      <c r="C323" s="44" t="s">
        <v>1058</v>
      </c>
      <c r="D323" s="44" t="s">
        <v>664</v>
      </c>
      <c r="F323" s="79">
        <v>29197096.379999936</v>
      </c>
      <c r="H323" s="63">
        <f t="shared" si="135"/>
        <v>3396436.7881296091</v>
      </c>
      <c r="I323" s="63">
        <f t="shared" si="135"/>
        <v>3557982.5107318079</v>
      </c>
      <c r="J323" s="63">
        <f t="shared" si="135"/>
        <v>2924649.6262311004</v>
      </c>
      <c r="K323" s="63">
        <f t="shared" si="135"/>
        <v>7378830.2929792553</v>
      </c>
      <c r="L323" s="63">
        <f t="shared" si="135"/>
        <v>0</v>
      </c>
      <c r="M323" s="63">
        <f t="shared" si="135"/>
        <v>0</v>
      </c>
      <c r="N323" s="63">
        <f t="shared" si="135"/>
        <v>1750147.2239904788</v>
      </c>
      <c r="O323" s="63">
        <f t="shared" si="135"/>
        <v>0</v>
      </c>
      <c r="P323" s="63">
        <f t="shared" si="135"/>
        <v>0</v>
      </c>
      <c r="Q323" s="63">
        <f t="shared" si="135"/>
        <v>0</v>
      </c>
      <c r="R323" s="63">
        <f t="shared" si="136"/>
        <v>1096001.3304890937</v>
      </c>
      <c r="S323" s="63">
        <f t="shared" si="136"/>
        <v>0</v>
      </c>
      <c r="T323" s="63">
        <f t="shared" si="136"/>
        <v>1036560.0485855987</v>
      </c>
      <c r="U323" s="63">
        <f t="shared" si="136"/>
        <v>1565848.5326872508</v>
      </c>
      <c r="V323" s="63">
        <f t="shared" si="136"/>
        <v>339329.11080904858</v>
      </c>
      <c r="W323" s="63">
        <f t="shared" si="136"/>
        <v>500590.47151150869</v>
      </c>
      <c r="X323" s="63">
        <f t="shared" si="136"/>
        <v>94620.916560983111</v>
      </c>
      <c r="Y323" s="63">
        <f t="shared" si="136"/>
        <v>66173.360742897581</v>
      </c>
      <c r="Z323" s="63">
        <f t="shared" si="136"/>
        <v>23996.861967136541</v>
      </c>
      <c r="AA323" s="63">
        <f t="shared" si="136"/>
        <v>2330975.3200771287</v>
      </c>
      <c r="AB323" s="63">
        <f t="shared" si="136"/>
        <v>80067.513584542903</v>
      </c>
      <c r="AC323" s="63">
        <f t="shared" si="136"/>
        <v>2396855.9048778359</v>
      </c>
      <c r="AD323" s="63">
        <f t="shared" si="136"/>
        <v>658030.5660446597</v>
      </c>
      <c r="AE323" s="63">
        <f t="shared" si="136"/>
        <v>0</v>
      </c>
      <c r="AF323" s="63">
        <f t="shared" si="137"/>
        <v>29197096.379999928</v>
      </c>
      <c r="AG323" s="58" t="str">
        <f t="shared" si="138"/>
        <v>ok</v>
      </c>
    </row>
    <row r="324" spans="1:33">
      <c r="A324" s="60">
        <v>927</v>
      </c>
      <c r="B324" s="60" t="s">
        <v>598</v>
      </c>
      <c r="C324" s="44" t="s">
        <v>597</v>
      </c>
      <c r="D324" s="44" t="s">
        <v>968</v>
      </c>
      <c r="F324" s="79">
        <v>0</v>
      </c>
      <c r="H324" s="63">
        <f t="shared" si="135"/>
        <v>0</v>
      </c>
      <c r="I324" s="63">
        <f t="shared" si="135"/>
        <v>0</v>
      </c>
      <c r="J324" s="63">
        <f t="shared" si="135"/>
        <v>0</v>
      </c>
      <c r="K324" s="63">
        <f t="shared" si="135"/>
        <v>0</v>
      </c>
      <c r="L324" s="63">
        <f t="shared" si="135"/>
        <v>0</v>
      </c>
      <c r="M324" s="63">
        <f t="shared" si="135"/>
        <v>0</v>
      </c>
      <c r="N324" s="63">
        <f t="shared" si="135"/>
        <v>0</v>
      </c>
      <c r="O324" s="63">
        <f t="shared" si="135"/>
        <v>0</v>
      </c>
      <c r="P324" s="63">
        <f t="shared" si="135"/>
        <v>0</v>
      </c>
      <c r="Q324" s="63">
        <f t="shared" si="135"/>
        <v>0</v>
      </c>
      <c r="R324" s="63">
        <f t="shared" si="136"/>
        <v>0</v>
      </c>
      <c r="S324" s="63">
        <f t="shared" si="136"/>
        <v>0</v>
      </c>
      <c r="T324" s="63">
        <f t="shared" si="136"/>
        <v>0</v>
      </c>
      <c r="U324" s="63">
        <f t="shared" si="136"/>
        <v>0</v>
      </c>
      <c r="V324" s="63">
        <f t="shared" si="136"/>
        <v>0</v>
      </c>
      <c r="W324" s="63">
        <f t="shared" si="136"/>
        <v>0</v>
      </c>
      <c r="X324" s="63">
        <f t="shared" si="136"/>
        <v>0</v>
      </c>
      <c r="Y324" s="63">
        <f t="shared" si="136"/>
        <v>0</v>
      </c>
      <c r="Z324" s="63">
        <f t="shared" si="136"/>
        <v>0</v>
      </c>
      <c r="AA324" s="63">
        <f t="shared" si="136"/>
        <v>0</v>
      </c>
      <c r="AB324" s="63">
        <f t="shared" si="136"/>
        <v>0</v>
      </c>
      <c r="AC324" s="63">
        <f t="shared" si="136"/>
        <v>0</v>
      </c>
      <c r="AD324" s="63">
        <f t="shared" si="136"/>
        <v>0</v>
      </c>
      <c r="AE324" s="63">
        <f t="shared" si="136"/>
        <v>0</v>
      </c>
      <c r="AF324" s="63">
        <f>SUM(H324:AE324)</f>
        <v>0</v>
      </c>
      <c r="AG324" s="58" t="str">
        <f t="shared" si="138"/>
        <v>ok</v>
      </c>
    </row>
    <row r="325" spans="1:33">
      <c r="A325" s="60">
        <v>928</v>
      </c>
      <c r="B325" s="60" t="s">
        <v>887</v>
      </c>
      <c r="C325" s="44" t="s">
        <v>1059</v>
      </c>
      <c r="D325" s="44" t="s">
        <v>968</v>
      </c>
      <c r="F325" s="79">
        <v>1404079.9999999988</v>
      </c>
      <c r="H325" s="63">
        <f t="shared" si="135"/>
        <v>271489.41402637563</v>
      </c>
      <c r="I325" s="63">
        <f t="shared" si="135"/>
        <v>284402.34493120504</v>
      </c>
      <c r="J325" s="63">
        <f t="shared" si="135"/>
        <v>233777.76852287477</v>
      </c>
      <c r="K325" s="63">
        <f t="shared" si="135"/>
        <v>0</v>
      </c>
      <c r="L325" s="63">
        <f t="shared" si="135"/>
        <v>0</v>
      </c>
      <c r="M325" s="63">
        <f t="shared" si="135"/>
        <v>0</v>
      </c>
      <c r="N325" s="63">
        <f t="shared" si="135"/>
        <v>149559.3805279446</v>
      </c>
      <c r="O325" s="63">
        <f t="shared" si="135"/>
        <v>0</v>
      </c>
      <c r="P325" s="63">
        <f t="shared" si="135"/>
        <v>0</v>
      </c>
      <c r="Q325" s="63">
        <f t="shared" si="135"/>
        <v>0</v>
      </c>
      <c r="R325" s="63">
        <f t="shared" si="136"/>
        <v>52083.009875113348</v>
      </c>
      <c r="S325" s="63">
        <f t="shared" si="136"/>
        <v>0</v>
      </c>
      <c r="T325" s="63">
        <f t="shared" si="136"/>
        <v>89067.304147939314</v>
      </c>
      <c r="U325" s="63">
        <f t="shared" si="136"/>
        <v>141739.18433150474</v>
      </c>
      <c r="V325" s="63">
        <f t="shared" si="136"/>
        <v>24484.936626579187</v>
      </c>
      <c r="W325" s="63">
        <f t="shared" si="136"/>
        <v>37208.682457230083</v>
      </c>
      <c r="X325" s="63">
        <f t="shared" si="136"/>
        <v>33845.569670081648</v>
      </c>
      <c r="Y325" s="63">
        <f t="shared" si="136"/>
        <v>23669.978824224519</v>
      </c>
      <c r="Z325" s="63">
        <f t="shared" si="136"/>
        <v>11754.954056965436</v>
      </c>
      <c r="AA325" s="63">
        <f t="shared" si="136"/>
        <v>13635.418367513883</v>
      </c>
      <c r="AB325" s="63">
        <f t="shared" si="136"/>
        <v>37362.053634446558</v>
      </c>
      <c r="AC325" s="63">
        <f t="shared" si="136"/>
        <v>0</v>
      </c>
      <c r="AD325" s="63">
        <f t="shared" si="136"/>
        <v>0</v>
      </c>
      <c r="AE325" s="63">
        <f t="shared" si="136"/>
        <v>0</v>
      </c>
      <c r="AF325" s="63">
        <f t="shared" si="137"/>
        <v>1404079.9999999986</v>
      </c>
      <c r="AG325" s="58" t="str">
        <f t="shared" si="138"/>
        <v>ok</v>
      </c>
    </row>
    <row r="326" spans="1:33">
      <c r="A326" s="60">
        <v>929</v>
      </c>
      <c r="B326" s="60" t="s">
        <v>1158</v>
      </c>
      <c r="C326" s="44" t="s">
        <v>1159</v>
      </c>
      <c r="D326" s="44" t="s">
        <v>664</v>
      </c>
      <c r="F326" s="79">
        <v>-229428</v>
      </c>
      <c r="H326" s="63">
        <f t="shared" si="135"/>
        <v>-26688.876499403523</v>
      </c>
      <c r="I326" s="63">
        <f t="shared" si="135"/>
        <v>-27958.287387486409</v>
      </c>
      <c r="J326" s="63">
        <f t="shared" si="135"/>
        <v>-22981.617956591832</v>
      </c>
      <c r="K326" s="63">
        <f t="shared" si="135"/>
        <v>-57982.145019642812</v>
      </c>
      <c r="L326" s="63">
        <f t="shared" si="135"/>
        <v>0</v>
      </c>
      <c r="M326" s="63">
        <f t="shared" si="135"/>
        <v>0</v>
      </c>
      <c r="N326" s="63">
        <f t="shared" si="135"/>
        <v>-13752.490044891527</v>
      </c>
      <c r="O326" s="63">
        <f t="shared" si="135"/>
        <v>0</v>
      </c>
      <c r="P326" s="63">
        <f t="shared" si="135"/>
        <v>0</v>
      </c>
      <c r="Q326" s="63">
        <f t="shared" si="135"/>
        <v>0</v>
      </c>
      <c r="R326" s="63">
        <f t="shared" si="136"/>
        <v>-8612.2739733701001</v>
      </c>
      <c r="S326" s="63">
        <f t="shared" si="136"/>
        <v>0</v>
      </c>
      <c r="T326" s="63">
        <f t="shared" si="136"/>
        <v>-8145.1900466993375</v>
      </c>
      <c r="U326" s="63">
        <f t="shared" si="136"/>
        <v>-12304.288497792442</v>
      </c>
      <c r="V326" s="63">
        <f t="shared" si="136"/>
        <v>-2666.4158045533213</v>
      </c>
      <c r="W326" s="63">
        <f t="shared" si="136"/>
        <v>-3933.5922039362281</v>
      </c>
      <c r="X326" s="63">
        <f t="shared" si="136"/>
        <v>-743.5221421409467</v>
      </c>
      <c r="Y326" s="63">
        <f t="shared" si="136"/>
        <v>-519.98396042290085</v>
      </c>
      <c r="Z326" s="63">
        <f t="shared" si="136"/>
        <v>-188.56505372114728</v>
      </c>
      <c r="AA326" s="63">
        <f t="shared" si="136"/>
        <v>-18316.581853700638</v>
      </c>
      <c r="AB326" s="63">
        <f t="shared" si="136"/>
        <v>-629.16288892541411</v>
      </c>
      <c r="AC326" s="63">
        <f t="shared" si="136"/>
        <v>-18834.265208680088</v>
      </c>
      <c r="AD326" s="63">
        <f t="shared" si="136"/>
        <v>-5170.7414580413333</v>
      </c>
      <c r="AE326" s="63">
        <f t="shared" si="136"/>
        <v>0</v>
      </c>
      <c r="AF326" s="63">
        <f t="shared" si="137"/>
        <v>-229427.99999999991</v>
      </c>
      <c r="AG326" s="58" t="str">
        <f t="shared" si="138"/>
        <v>ok</v>
      </c>
    </row>
    <row r="327" spans="1:33">
      <c r="A327" s="60">
        <v>930</v>
      </c>
      <c r="B327" s="60" t="s">
        <v>1060</v>
      </c>
      <c r="C327" s="44" t="s">
        <v>1061</v>
      </c>
      <c r="D327" s="44" t="s">
        <v>664</v>
      </c>
      <c r="F327" s="79">
        <f>34017+3682668</f>
        <v>3716685</v>
      </c>
      <c r="H327" s="63">
        <f t="shared" si="135"/>
        <v>432354.14575459657</v>
      </c>
      <c r="I327" s="63">
        <f t="shared" si="135"/>
        <v>452918.3332407549</v>
      </c>
      <c r="J327" s="63">
        <f t="shared" si="135"/>
        <v>372297.34267393476</v>
      </c>
      <c r="K327" s="63">
        <f t="shared" si="135"/>
        <v>939298.46689301718</v>
      </c>
      <c r="L327" s="63">
        <f t="shared" si="135"/>
        <v>0</v>
      </c>
      <c r="M327" s="63">
        <f t="shared" si="135"/>
        <v>0</v>
      </c>
      <c r="N327" s="63">
        <f t="shared" si="135"/>
        <v>222787.42552128626</v>
      </c>
      <c r="O327" s="63">
        <f t="shared" si="135"/>
        <v>0</v>
      </c>
      <c r="P327" s="63">
        <f t="shared" si="135"/>
        <v>0</v>
      </c>
      <c r="Q327" s="63">
        <f t="shared" si="135"/>
        <v>0</v>
      </c>
      <c r="R327" s="63">
        <f t="shared" si="136"/>
        <v>139517.01402058618</v>
      </c>
      <c r="S327" s="63">
        <f t="shared" si="136"/>
        <v>0</v>
      </c>
      <c r="T327" s="63">
        <f t="shared" si="136"/>
        <v>131950.35335145111</v>
      </c>
      <c r="U327" s="63">
        <f t="shared" si="136"/>
        <v>199326.86723249865</v>
      </c>
      <c r="V327" s="63">
        <f t="shared" si="136"/>
        <v>43195.371203803639</v>
      </c>
      <c r="W327" s="63">
        <f t="shared" si="136"/>
        <v>63723.360446356681</v>
      </c>
      <c r="X327" s="63">
        <f t="shared" si="136"/>
        <v>12044.90120152346</v>
      </c>
      <c r="Y327" s="63">
        <f t="shared" si="136"/>
        <v>8423.6300100440621</v>
      </c>
      <c r="Z327" s="63">
        <f t="shared" si="136"/>
        <v>3054.7139263280083</v>
      </c>
      <c r="AA327" s="63">
        <f t="shared" si="136"/>
        <v>296724.74600711925</v>
      </c>
      <c r="AB327" s="63">
        <f t="shared" si="136"/>
        <v>10192.30552428541</v>
      </c>
      <c r="AC327" s="63">
        <f t="shared" si="136"/>
        <v>305111.10669631936</v>
      </c>
      <c r="AD327" s="63">
        <f t="shared" si="136"/>
        <v>83764.916296094423</v>
      </c>
      <c r="AE327" s="63">
        <f t="shared" si="136"/>
        <v>0</v>
      </c>
      <c r="AF327" s="63">
        <f t="shared" si="137"/>
        <v>3716685</v>
      </c>
      <c r="AG327" s="58" t="str">
        <f t="shared" si="138"/>
        <v>ok</v>
      </c>
    </row>
    <row r="328" spans="1:33">
      <c r="A328" s="60">
        <v>931</v>
      </c>
      <c r="B328" s="60" t="s">
        <v>1062</v>
      </c>
      <c r="C328" s="44" t="s">
        <v>1063</v>
      </c>
      <c r="D328" s="44" t="s">
        <v>958</v>
      </c>
      <c r="F328" s="79">
        <v>1123824.78</v>
      </c>
      <c r="H328" s="63">
        <f t="shared" si="135"/>
        <v>216717.3194121402</v>
      </c>
      <c r="I328" s="63">
        <f t="shared" si="135"/>
        <v>227025.10906016288</v>
      </c>
      <c r="J328" s="63">
        <f t="shared" si="135"/>
        <v>186613.87411410143</v>
      </c>
      <c r="K328" s="63">
        <f t="shared" si="135"/>
        <v>0</v>
      </c>
      <c r="L328" s="63">
        <f t="shared" si="135"/>
        <v>0</v>
      </c>
      <c r="M328" s="63">
        <f t="shared" si="135"/>
        <v>0</v>
      </c>
      <c r="N328" s="63">
        <f t="shared" si="135"/>
        <v>120907.46423681639</v>
      </c>
      <c r="O328" s="63">
        <f t="shared" si="135"/>
        <v>0</v>
      </c>
      <c r="P328" s="63">
        <f t="shared" si="135"/>
        <v>0</v>
      </c>
      <c r="Q328" s="63">
        <f t="shared" si="135"/>
        <v>0</v>
      </c>
      <c r="R328" s="63">
        <f t="shared" si="136"/>
        <v>41742.612339004932</v>
      </c>
      <c r="S328" s="63">
        <f t="shared" si="136"/>
        <v>0</v>
      </c>
      <c r="T328" s="63">
        <f t="shared" si="136"/>
        <v>71384.160747287926</v>
      </c>
      <c r="U328" s="63">
        <f t="shared" si="136"/>
        <v>113598.7309294092</v>
      </c>
      <c r="V328" s="63">
        <f t="shared" si="136"/>
        <v>19623.774052212906</v>
      </c>
      <c r="W328" s="63">
        <f t="shared" si="136"/>
        <v>29821.38726585851</v>
      </c>
      <c r="X328" s="63">
        <f t="shared" si="136"/>
        <v>27125.976350419711</v>
      </c>
      <c r="Y328" s="63">
        <f t="shared" si="136"/>
        <v>18970.615417604258</v>
      </c>
      <c r="Z328" s="63">
        <f t="shared" si="136"/>
        <v>9421.1623222102353</v>
      </c>
      <c r="AA328" s="63">
        <f t="shared" si="136"/>
        <v>10928.28514250763</v>
      </c>
      <c r="AB328" s="63">
        <f t="shared" si="136"/>
        <v>29944.30861026383</v>
      </c>
      <c r="AC328" s="63">
        <f t="shared" si="136"/>
        <v>0</v>
      </c>
      <c r="AD328" s="63">
        <f t="shared" si="136"/>
        <v>0</v>
      </c>
      <c r="AE328" s="63">
        <f t="shared" si="136"/>
        <v>0</v>
      </c>
      <c r="AF328" s="63">
        <f t="shared" si="137"/>
        <v>1123824.78</v>
      </c>
      <c r="AG328" s="58" t="str">
        <f t="shared" si="138"/>
        <v>ok</v>
      </c>
    </row>
    <row r="329" spans="1:33">
      <c r="A329" s="60">
        <v>935</v>
      </c>
      <c r="B329" s="60" t="s">
        <v>1064</v>
      </c>
      <c r="C329" s="44" t="s">
        <v>282</v>
      </c>
      <c r="D329" s="44" t="s">
        <v>958</v>
      </c>
      <c r="F329" s="79">
        <v>617458.73851252708</v>
      </c>
      <c r="H329" s="63">
        <f t="shared" si="135"/>
        <v>119070.16559826744</v>
      </c>
      <c r="I329" s="63">
        <f t="shared" si="135"/>
        <v>124733.53492966853</v>
      </c>
      <c r="J329" s="63">
        <f t="shared" si="135"/>
        <v>102530.54510813385</v>
      </c>
      <c r="K329" s="63">
        <f t="shared" si="135"/>
        <v>0</v>
      </c>
      <c r="L329" s="63">
        <f t="shared" si="135"/>
        <v>0</v>
      </c>
      <c r="M329" s="63">
        <f t="shared" si="135"/>
        <v>0</v>
      </c>
      <c r="N329" s="63">
        <f t="shared" si="135"/>
        <v>66429.724342270798</v>
      </c>
      <c r="O329" s="63">
        <f t="shared" si="135"/>
        <v>0</v>
      </c>
      <c r="P329" s="63">
        <f t="shared" si="135"/>
        <v>0</v>
      </c>
      <c r="Q329" s="63">
        <f t="shared" si="135"/>
        <v>0</v>
      </c>
      <c r="R329" s="63">
        <f t="shared" si="136"/>
        <v>22934.483396121086</v>
      </c>
      <c r="S329" s="63">
        <f t="shared" si="136"/>
        <v>0</v>
      </c>
      <c r="T329" s="63">
        <f t="shared" si="136"/>
        <v>39220.325649694118</v>
      </c>
      <c r="U329" s="63">
        <f t="shared" si="136"/>
        <v>62414.115033392474</v>
      </c>
      <c r="V329" s="63">
        <f t="shared" si="136"/>
        <v>10781.814911693122</v>
      </c>
      <c r="W329" s="63">
        <f t="shared" si="136"/>
        <v>16384.650427329547</v>
      </c>
      <c r="X329" s="63">
        <f t="shared" si="136"/>
        <v>14903.721146147711</v>
      </c>
      <c r="Y329" s="63">
        <f t="shared" si="136"/>
        <v>10422.952468231055</v>
      </c>
      <c r="Z329" s="63">
        <f t="shared" si="136"/>
        <v>5176.233080386145</v>
      </c>
      <c r="AA329" s="63">
        <f t="shared" si="136"/>
        <v>6004.2857910625116</v>
      </c>
      <c r="AB329" s="63">
        <f t="shared" si="136"/>
        <v>16452.186630128683</v>
      </c>
      <c r="AC329" s="63">
        <f t="shared" si="136"/>
        <v>0</v>
      </c>
      <c r="AD329" s="63">
        <f t="shared" si="136"/>
        <v>0</v>
      </c>
      <c r="AE329" s="63">
        <f t="shared" si="136"/>
        <v>0</v>
      </c>
      <c r="AF329" s="63"/>
      <c r="AG329" s="58"/>
    </row>
    <row r="330" spans="1:33">
      <c r="A330" s="60"/>
      <c r="B330" s="60"/>
      <c r="F330" s="79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58"/>
    </row>
    <row r="331" spans="1:33">
      <c r="A331" s="60" t="s">
        <v>1065</v>
      </c>
      <c r="B331" s="60"/>
      <c r="C331" s="44" t="s">
        <v>1066</v>
      </c>
      <c r="F331" s="76">
        <f t="shared" ref="F331:M331" si="139">SUM(F317:F330)</f>
        <v>88069224.642714441</v>
      </c>
      <c r="G331" s="62">
        <f t="shared" si="139"/>
        <v>0</v>
      </c>
      <c r="H331" s="62">
        <f t="shared" si="139"/>
        <v>10841440.474255389</v>
      </c>
      <c r="I331" s="62">
        <f t="shared" si="139"/>
        <v>11357095.098414253</v>
      </c>
      <c r="J331" s="62">
        <f t="shared" si="139"/>
        <v>9335493.8745374903</v>
      </c>
      <c r="K331" s="62">
        <f t="shared" si="139"/>
        <v>20297163.359888032</v>
      </c>
      <c r="L331" s="62">
        <f t="shared" si="139"/>
        <v>0</v>
      </c>
      <c r="M331" s="62">
        <f t="shared" si="139"/>
        <v>0</v>
      </c>
      <c r="N331" s="62">
        <f>SUM(N317:N330)</f>
        <v>5642183.5518545788</v>
      </c>
      <c r="O331" s="62">
        <f>SUM(O317:O330)</f>
        <v>0</v>
      </c>
      <c r="P331" s="62">
        <f>SUM(P317:P330)</f>
        <v>0</v>
      </c>
      <c r="Q331" s="62">
        <f t="shared" ref="Q331:AB331" si="140">SUM(Q317:Q330)</f>
        <v>0</v>
      </c>
      <c r="R331" s="62">
        <f t="shared" si="140"/>
        <v>3302587.1332938303</v>
      </c>
      <c r="S331" s="62">
        <f t="shared" si="140"/>
        <v>0</v>
      </c>
      <c r="T331" s="62">
        <f t="shared" si="140"/>
        <v>3343436.7637338173</v>
      </c>
      <c r="U331" s="62">
        <f t="shared" si="140"/>
        <v>5090404.1670269342</v>
      </c>
      <c r="V331" s="62">
        <f t="shared" si="140"/>
        <v>1068693.8364661904</v>
      </c>
      <c r="W331" s="62">
        <f t="shared" si="140"/>
        <v>1582585.1383565369</v>
      </c>
      <c r="X331" s="62">
        <f t="shared" si="140"/>
        <v>447290.00216728932</v>
      </c>
      <c r="Y331" s="62">
        <f t="shared" si="140"/>
        <v>312813.3159757668</v>
      </c>
      <c r="Z331" s="62">
        <f t="shared" si="140"/>
        <v>130960.79493245554</v>
      </c>
      <c r="AA331" s="62">
        <f t="shared" si="140"/>
        <v>6487224.1135576386</v>
      </c>
      <c r="AB331" s="62">
        <f t="shared" si="140"/>
        <v>426687.84379261173</v>
      </c>
      <c r="AC331" s="62">
        <f>SUM(AC317:AC330)</f>
        <v>6593101.3344630199</v>
      </c>
      <c r="AD331" s="62">
        <f>SUM(AD317:AD330)</f>
        <v>1810063.8399986033</v>
      </c>
      <c r="AE331" s="62">
        <f>SUM(AE317:AE330)</f>
        <v>0</v>
      </c>
      <c r="AF331" s="63">
        <f>SUM(H331:AE331)</f>
        <v>88069224.642714441</v>
      </c>
      <c r="AG331" s="58" t="str">
        <f>IF(ABS(AF331-F331)&lt;1,"ok","err")</f>
        <v>ok</v>
      </c>
    </row>
    <row r="332" spans="1:33">
      <c r="A332" s="60"/>
      <c r="B332" s="60"/>
      <c r="F332" s="79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58"/>
    </row>
    <row r="333" spans="1:33">
      <c r="A333" s="60" t="s">
        <v>1067</v>
      </c>
      <c r="B333" s="60"/>
      <c r="C333" s="44" t="s">
        <v>1068</v>
      </c>
      <c r="F333" s="76">
        <f>F279+F291+F306+F331</f>
        <v>685621902.81823492</v>
      </c>
      <c r="G333" s="62"/>
      <c r="H333" s="62">
        <f t="shared" ref="H333:M333" si="141">H279+H291+H306+H331</f>
        <v>33223399.69324439</v>
      </c>
      <c r="I333" s="62">
        <f t="shared" si="141"/>
        <v>34803614.031254336</v>
      </c>
      <c r="J333" s="62">
        <f t="shared" si="141"/>
        <v>28608453.375186369</v>
      </c>
      <c r="K333" s="62">
        <f t="shared" si="141"/>
        <v>465540988.35893065</v>
      </c>
      <c r="L333" s="62">
        <f t="shared" si="141"/>
        <v>0</v>
      </c>
      <c r="M333" s="62">
        <f t="shared" si="141"/>
        <v>0</v>
      </c>
      <c r="N333" s="62">
        <f>N279+N291+N306+N331</f>
        <v>22151694.551854581</v>
      </c>
      <c r="O333" s="62">
        <f>O279+O291+O306+O331</f>
        <v>0</v>
      </c>
      <c r="P333" s="62">
        <f>P279+P291+P306+P331</f>
        <v>0</v>
      </c>
      <c r="Q333" s="62">
        <f t="shared" ref="Q333:AB333" si="142">Q279+Q291+Q306+Q331</f>
        <v>0</v>
      </c>
      <c r="R333" s="62">
        <f t="shared" si="142"/>
        <v>8189264.474252278</v>
      </c>
      <c r="S333" s="62">
        <f t="shared" si="142"/>
        <v>0</v>
      </c>
      <c r="T333" s="62">
        <f t="shared" si="142"/>
        <v>14230157.677818516</v>
      </c>
      <c r="U333" s="62">
        <f t="shared" si="142"/>
        <v>21300716.352424528</v>
      </c>
      <c r="V333" s="62">
        <f t="shared" si="142"/>
        <v>4785490.0157958288</v>
      </c>
      <c r="W333" s="62">
        <f t="shared" si="142"/>
        <v>7030140.6081471965</v>
      </c>
      <c r="X333" s="62">
        <f t="shared" si="142"/>
        <v>1119996.1920663603</v>
      </c>
      <c r="Y333" s="62">
        <f t="shared" si="142"/>
        <v>783271.9734913212</v>
      </c>
      <c r="Z333" s="62">
        <f t="shared" si="142"/>
        <v>295808.63373702235</v>
      </c>
      <c r="AA333" s="62">
        <f t="shared" si="142"/>
        <v>17171208.623644177</v>
      </c>
      <c r="AB333" s="62">
        <f t="shared" si="142"/>
        <v>1306144.5579258415</v>
      </c>
      <c r="AC333" s="62">
        <f>AC279+AC291+AC306+AC331</f>
        <v>20585101.39846275</v>
      </c>
      <c r="AD333" s="62">
        <f>AD279+AD291+AD306+AD331</f>
        <v>4496452.299998587</v>
      </c>
      <c r="AE333" s="62">
        <f>AE279+AE291+AE306+AE331</f>
        <v>0</v>
      </c>
      <c r="AF333" s="63">
        <f>SUM(H333:AE333)</f>
        <v>685621902.81823468</v>
      </c>
      <c r="AG333" s="58" t="str">
        <f>IF(ABS(AF333-F333)&lt;1,"ok","err")</f>
        <v>ok</v>
      </c>
    </row>
    <row r="334" spans="1:33">
      <c r="A334" s="60"/>
      <c r="B334" s="60"/>
      <c r="F334" s="79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58"/>
    </row>
    <row r="335" spans="1:33">
      <c r="A335" s="60" t="s">
        <v>19</v>
      </c>
      <c r="B335" s="60"/>
      <c r="C335" s="44" t="s">
        <v>977</v>
      </c>
      <c r="F335" s="80">
        <f>F333-F213-F214-F215-F216</f>
        <v>631684225.19623494</v>
      </c>
      <c r="G335" s="64">
        <f>G333-G213</f>
        <v>0</v>
      </c>
      <c r="H335" s="64">
        <f t="shared" ref="H335:M335" si="143">H333-H213-H214-H215-H216</f>
        <v>27648046.881705813</v>
      </c>
      <c r="I335" s="64">
        <f t="shared" si="143"/>
        <v>28963079.072987746</v>
      </c>
      <c r="J335" s="64">
        <f t="shared" si="143"/>
        <v>23807553.333895631</v>
      </c>
      <c r="K335" s="64">
        <f t="shared" si="143"/>
        <v>427820098.54802656</v>
      </c>
      <c r="L335" s="64">
        <f t="shared" si="143"/>
        <v>0</v>
      </c>
      <c r="M335" s="64">
        <f t="shared" si="143"/>
        <v>0</v>
      </c>
      <c r="N335" s="64">
        <f>N333-N213-N214-N215-N216</f>
        <v>22151694.551854581</v>
      </c>
      <c r="O335" s="64">
        <f>O333-O213-O214-O215-O216</f>
        <v>0</v>
      </c>
      <c r="P335" s="64">
        <f>P333-P213-P214-P215-P216</f>
        <v>0</v>
      </c>
      <c r="Q335" s="64">
        <f t="shared" ref="Q335:AB335" si="144">Q333-Q213-Q214-Q215-Q216</f>
        <v>0</v>
      </c>
      <c r="R335" s="64">
        <f t="shared" si="144"/>
        <v>8189264.474252278</v>
      </c>
      <c r="S335" s="64">
        <f t="shared" si="144"/>
        <v>0</v>
      </c>
      <c r="T335" s="64">
        <f t="shared" si="144"/>
        <v>14230157.677818516</v>
      </c>
      <c r="U335" s="64">
        <f t="shared" si="144"/>
        <v>21300716.352424528</v>
      </c>
      <c r="V335" s="64">
        <f t="shared" si="144"/>
        <v>4785490.0157958288</v>
      </c>
      <c r="W335" s="64">
        <f t="shared" si="144"/>
        <v>7030140.6081471965</v>
      </c>
      <c r="X335" s="64">
        <f t="shared" si="144"/>
        <v>1119996.1920663603</v>
      </c>
      <c r="Y335" s="64">
        <f t="shared" si="144"/>
        <v>783271.9734913212</v>
      </c>
      <c r="Z335" s="64">
        <f t="shared" si="144"/>
        <v>295808.63373702235</v>
      </c>
      <c r="AA335" s="64">
        <f t="shared" si="144"/>
        <v>17171208.623644177</v>
      </c>
      <c r="AB335" s="64">
        <f t="shared" si="144"/>
        <v>1306144.5579258415</v>
      </c>
      <c r="AC335" s="64">
        <f>AC333-AC213-AC214-AC215-AC216</f>
        <v>20585101.39846275</v>
      </c>
      <c r="AD335" s="64">
        <f>AD333-AD213-AD214-AD215-AD216</f>
        <v>4496452.299998587</v>
      </c>
      <c r="AE335" s="64">
        <f>AE333-AE213-AE214-AE215-AE216</f>
        <v>0</v>
      </c>
      <c r="AF335" s="63">
        <f>SUM(H335:AE335)</f>
        <v>631684225.19623458</v>
      </c>
      <c r="AG335" s="58" t="str">
        <f>IF(ABS(AF335-F335)&lt;1,"ok","err")</f>
        <v>ok</v>
      </c>
    </row>
    <row r="336" spans="1:33">
      <c r="A336" s="60"/>
      <c r="B336" s="60"/>
      <c r="W336" s="44"/>
      <c r="AG336" s="58"/>
    </row>
    <row r="337" spans="1:33">
      <c r="A337" s="60"/>
      <c r="B337" s="60"/>
      <c r="W337" s="44"/>
      <c r="AA337" s="64">
        <f>R335+T335+U335+V335+W335+X335+Y335+Z335+AA335</f>
        <v>74906054.551377222</v>
      </c>
      <c r="AG337" s="58"/>
    </row>
    <row r="338" spans="1:33">
      <c r="A338" s="60"/>
      <c r="B338" s="60"/>
      <c r="W338" s="44"/>
      <c r="AG338" s="58"/>
    </row>
    <row r="339" spans="1:33">
      <c r="A339" s="60"/>
      <c r="B339" s="60"/>
      <c r="H339" s="64"/>
      <c r="W339" s="44"/>
      <c r="AG339" s="58"/>
    </row>
    <row r="340" spans="1:33">
      <c r="A340" s="60"/>
      <c r="B340" s="60"/>
      <c r="W340" s="44"/>
      <c r="AG340" s="58"/>
    </row>
    <row r="341" spans="1:33">
      <c r="A341" s="60"/>
      <c r="B341" s="60"/>
      <c r="W341" s="44"/>
      <c r="AG341" s="58"/>
    </row>
    <row r="342" spans="1:33">
      <c r="A342" s="60"/>
      <c r="B342" s="60"/>
      <c r="W342" s="44"/>
      <c r="AG342" s="58"/>
    </row>
    <row r="343" spans="1:33">
      <c r="A343" s="60"/>
      <c r="B343" s="60"/>
      <c r="W343" s="44"/>
      <c r="AG343" s="58"/>
    </row>
    <row r="344" spans="1:33">
      <c r="A344" s="60"/>
      <c r="B344" s="60"/>
      <c r="W344" s="44"/>
      <c r="AG344" s="58"/>
    </row>
    <row r="345" spans="1:33">
      <c r="A345" s="60"/>
      <c r="B345" s="60"/>
      <c r="W345" s="44"/>
      <c r="AG345" s="58"/>
    </row>
    <row r="346" spans="1:33">
      <c r="A346" s="60"/>
      <c r="B346" s="60"/>
      <c r="W346" s="44"/>
      <c r="AG346" s="58"/>
    </row>
    <row r="347" spans="1:33">
      <c r="A347" s="60"/>
      <c r="B347" s="60"/>
      <c r="W347" s="44"/>
      <c r="AG347" s="58"/>
    </row>
    <row r="348" spans="1:33">
      <c r="A348" s="60"/>
      <c r="B348" s="60"/>
      <c r="W348" s="44"/>
      <c r="AG348" s="58"/>
    </row>
    <row r="349" spans="1:33">
      <c r="A349" s="60"/>
      <c r="B349" s="60"/>
      <c r="AG349" s="58"/>
    </row>
    <row r="350" spans="1:33">
      <c r="A350" s="60"/>
      <c r="B350" s="60"/>
      <c r="AG350" s="58"/>
    </row>
    <row r="351" spans="1:33">
      <c r="A351" s="60"/>
      <c r="B351" s="60"/>
      <c r="AG351" s="58"/>
    </row>
    <row r="352" spans="1:33">
      <c r="A352" s="60"/>
      <c r="B352" s="60"/>
      <c r="AG352" s="58"/>
    </row>
    <row r="353" spans="1:33">
      <c r="A353" s="60"/>
      <c r="B353" s="60"/>
      <c r="AG353" s="58"/>
    </row>
    <row r="354" spans="1:33">
      <c r="A354" s="60"/>
      <c r="B354" s="60"/>
      <c r="AG354" s="58"/>
    </row>
    <row r="355" spans="1:33">
      <c r="A355" s="60"/>
      <c r="B355" s="60"/>
      <c r="AG355" s="58"/>
    </row>
    <row r="356" spans="1:33">
      <c r="A356" s="60"/>
      <c r="B356" s="60"/>
      <c r="AG356" s="58"/>
    </row>
    <row r="357" spans="1:33">
      <c r="A357" s="60"/>
      <c r="B357" s="60"/>
      <c r="AG357" s="58"/>
    </row>
    <row r="358" spans="1:33">
      <c r="A358" s="60"/>
      <c r="B358" s="60"/>
      <c r="AG358" s="58"/>
    </row>
    <row r="359" spans="1:33">
      <c r="A359" s="60"/>
      <c r="B359" s="60"/>
      <c r="AG359" s="58"/>
    </row>
    <row r="360" spans="1:33">
      <c r="A360" s="60"/>
      <c r="B360" s="60"/>
      <c r="AG360" s="58"/>
    </row>
    <row r="361" spans="1:33" ht="15">
      <c r="A361" s="59" t="s">
        <v>1069</v>
      </c>
      <c r="B361" s="60"/>
      <c r="W361" s="44"/>
      <c r="AG361" s="58"/>
    </row>
    <row r="362" spans="1:33" ht="15">
      <c r="A362" s="59"/>
      <c r="B362" s="60"/>
      <c r="W362" s="44"/>
      <c r="AG362" s="58"/>
    </row>
    <row r="363" spans="1:33" ht="15">
      <c r="A363" s="65" t="s">
        <v>217</v>
      </c>
      <c r="B363" s="60"/>
      <c r="W363" s="44"/>
      <c r="AG363" s="58"/>
    </row>
    <row r="364" spans="1:33">
      <c r="A364" s="60">
        <v>500</v>
      </c>
      <c r="B364" s="60" t="s">
        <v>209</v>
      </c>
      <c r="C364" s="44" t="s">
        <v>283</v>
      </c>
      <c r="D364" s="44" t="s">
        <v>643</v>
      </c>
      <c r="F364" s="76">
        <v>3138068</v>
      </c>
      <c r="H364" s="63">
        <f t="shared" ref="H364:Q370" si="145">IF(VLOOKUP($D364,$C$6:$AE$653,H$2,)=0,0,((VLOOKUP($D364,$C$6:$AE$653,H$2,)/VLOOKUP($D364,$C$6:$AE$653,4,))*$F364))</f>
        <v>912471.84662882134</v>
      </c>
      <c r="I364" s="63">
        <f t="shared" si="145"/>
        <v>955872.01363119064</v>
      </c>
      <c r="J364" s="63">
        <f t="shared" si="145"/>
        <v>785723.57198468409</v>
      </c>
      <c r="K364" s="63">
        <f t="shared" si="145"/>
        <v>484000.56775530416</v>
      </c>
      <c r="L364" s="63">
        <f t="shared" si="145"/>
        <v>0</v>
      </c>
      <c r="M364" s="63">
        <f t="shared" si="145"/>
        <v>0</v>
      </c>
      <c r="N364" s="63">
        <f t="shared" si="145"/>
        <v>0</v>
      </c>
      <c r="O364" s="63">
        <f t="shared" si="145"/>
        <v>0</v>
      </c>
      <c r="P364" s="63">
        <f t="shared" si="145"/>
        <v>0</v>
      </c>
      <c r="Q364" s="63">
        <f t="shared" si="145"/>
        <v>0</v>
      </c>
      <c r="R364" s="63">
        <f t="shared" ref="R364:AE370" si="146">IF(VLOOKUP($D364,$C$6:$AE$653,R$2,)=0,0,((VLOOKUP($D364,$C$6:$AE$653,R$2,)/VLOOKUP($D364,$C$6:$AE$653,4,))*$F364))</f>
        <v>0</v>
      </c>
      <c r="S364" s="63">
        <f t="shared" si="146"/>
        <v>0</v>
      </c>
      <c r="T364" s="63">
        <f t="shared" si="146"/>
        <v>0</v>
      </c>
      <c r="U364" s="63">
        <f t="shared" si="146"/>
        <v>0</v>
      </c>
      <c r="V364" s="63">
        <f t="shared" si="146"/>
        <v>0</v>
      </c>
      <c r="W364" s="63">
        <f t="shared" si="146"/>
        <v>0</v>
      </c>
      <c r="X364" s="63">
        <f t="shared" si="146"/>
        <v>0</v>
      </c>
      <c r="Y364" s="63">
        <f t="shared" si="146"/>
        <v>0</v>
      </c>
      <c r="Z364" s="63">
        <f t="shared" si="146"/>
        <v>0</v>
      </c>
      <c r="AA364" s="63">
        <f t="shared" si="146"/>
        <v>0</v>
      </c>
      <c r="AB364" s="63">
        <f t="shared" si="146"/>
        <v>0</v>
      </c>
      <c r="AC364" s="63">
        <f t="shared" si="146"/>
        <v>0</v>
      </c>
      <c r="AD364" s="63">
        <f t="shared" si="146"/>
        <v>0</v>
      </c>
      <c r="AE364" s="63">
        <f t="shared" si="146"/>
        <v>0</v>
      </c>
      <c r="AF364" s="63">
        <f t="shared" ref="AF364:AF383" si="147">SUM(H364:AE364)</f>
        <v>3138068.0000000005</v>
      </c>
      <c r="AG364" s="58" t="str">
        <f t="shared" ref="AG364:AG370" si="148">IF(ABS(AF364-F364)&lt;1,"ok","err")</f>
        <v>ok</v>
      </c>
    </row>
    <row r="365" spans="1:33">
      <c r="A365" s="275">
        <v>501</v>
      </c>
      <c r="B365" s="60" t="s">
        <v>211</v>
      </c>
      <c r="C365" s="44" t="s">
        <v>284</v>
      </c>
      <c r="D365" s="44" t="s">
        <v>930</v>
      </c>
      <c r="F365" s="79">
        <v>2187724</v>
      </c>
      <c r="H365" s="63">
        <f t="shared" si="145"/>
        <v>0</v>
      </c>
      <c r="I365" s="63">
        <f t="shared" si="145"/>
        <v>0</v>
      </c>
      <c r="J365" s="63">
        <f t="shared" si="145"/>
        <v>0</v>
      </c>
      <c r="K365" s="63">
        <f t="shared" si="145"/>
        <v>2187724</v>
      </c>
      <c r="L365" s="63">
        <f t="shared" si="145"/>
        <v>0</v>
      </c>
      <c r="M365" s="63">
        <f t="shared" si="145"/>
        <v>0</v>
      </c>
      <c r="N365" s="63">
        <f t="shared" si="145"/>
        <v>0</v>
      </c>
      <c r="O365" s="63">
        <f t="shared" si="145"/>
        <v>0</v>
      </c>
      <c r="P365" s="63">
        <f t="shared" si="145"/>
        <v>0</v>
      </c>
      <c r="Q365" s="63">
        <f t="shared" si="145"/>
        <v>0</v>
      </c>
      <c r="R365" s="63">
        <f t="shared" si="146"/>
        <v>0</v>
      </c>
      <c r="S365" s="63">
        <f t="shared" si="146"/>
        <v>0</v>
      </c>
      <c r="T365" s="63">
        <f t="shared" si="146"/>
        <v>0</v>
      </c>
      <c r="U365" s="63">
        <f t="shared" si="146"/>
        <v>0</v>
      </c>
      <c r="V365" s="63">
        <f t="shared" si="146"/>
        <v>0</v>
      </c>
      <c r="W365" s="63">
        <f t="shared" si="146"/>
        <v>0</v>
      </c>
      <c r="X365" s="63">
        <f t="shared" si="146"/>
        <v>0</v>
      </c>
      <c r="Y365" s="63">
        <f t="shared" si="146"/>
        <v>0</v>
      </c>
      <c r="Z365" s="63">
        <f t="shared" si="146"/>
        <v>0</v>
      </c>
      <c r="AA365" s="63">
        <f t="shared" si="146"/>
        <v>0</v>
      </c>
      <c r="AB365" s="63">
        <f t="shared" si="146"/>
        <v>0</v>
      </c>
      <c r="AC365" s="63">
        <f t="shared" si="146"/>
        <v>0</v>
      </c>
      <c r="AD365" s="63">
        <f t="shared" si="146"/>
        <v>0</v>
      </c>
      <c r="AE365" s="63">
        <f t="shared" si="146"/>
        <v>0</v>
      </c>
      <c r="AF365" s="63">
        <f t="shared" si="147"/>
        <v>2187724</v>
      </c>
      <c r="AG365" s="58" t="str">
        <f t="shared" si="148"/>
        <v>ok</v>
      </c>
    </row>
    <row r="366" spans="1:33">
      <c r="A366" s="60">
        <v>502</v>
      </c>
      <c r="B366" s="60" t="s">
        <v>213</v>
      </c>
      <c r="C366" s="44" t="s">
        <v>285</v>
      </c>
      <c r="D366" s="44" t="s">
        <v>646</v>
      </c>
      <c r="F366" s="79">
        <v>8374877</v>
      </c>
      <c r="H366" s="63">
        <f t="shared" si="145"/>
        <v>2879293.6413887963</v>
      </c>
      <c r="I366" s="63">
        <f t="shared" si="145"/>
        <v>3016242.3322956031</v>
      </c>
      <c r="J366" s="63">
        <f t="shared" si="145"/>
        <v>2479341.0263156006</v>
      </c>
      <c r="K366" s="63">
        <f t="shared" si="145"/>
        <v>0</v>
      </c>
      <c r="L366" s="63">
        <f t="shared" si="145"/>
        <v>0</v>
      </c>
      <c r="M366" s="63">
        <f t="shared" si="145"/>
        <v>0</v>
      </c>
      <c r="N366" s="63">
        <f t="shared" si="145"/>
        <v>0</v>
      </c>
      <c r="O366" s="63">
        <f t="shared" si="145"/>
        <v>0</v>
      </c>
      <c r="P366" s="63">
        <f t="shared" si="145"/>
        <v>0</v>
      </c>
      <c r="Q366" s="63">
        <f t="shared" si="145"/>
        <v>0</v>
      </c>
      <c r="R366" s="63">
        <f t="shared" si="146"/>
        <v>0</v>
      </c>
      <c r="S366" s="63">
        <f t="shared" si="146"/>
        <v>0</v>
      </c>
      <c r="T366" s="63">
        <f t="shared" si="146"/>
        <v>0</v>
      </c>
      <c r="U366" s="63">
        <f t="shared" si="146"/>
        <v>0</v>
      </c>
      <c r="V366" s="63">
        <f t="shared" si="146"/>
        <v>0</v>
      </c>
      <c r="W366" s="63">
        <f t="shared" si="146"/>
        <v>0</v>
      </c>
      <c r="X366" s="63">
        <f t="shared" si="146"/>
        <v>0</v>
      </c>
      <c r="Y366" s="63">
        <f t="shared" si="146"/>
        <v>0</v>
      </c>
      <c r="Z366" s="63">
        <f t="shared" si="146"/>
        <v>0</v>
      </c>
      <c r="AA366" s="63">
        <f t="shared" si="146"/>
        <v>0</v>
      </c>
      <c r="AB366" s="63">
        <f t="shared" si="146"/>
        <v>0</v>
      </c>
      <c r="AC366" s="63">
        <f t="shared" si="146"/>
        <v>0</v>
      </c>
      <c r="AD366" s="63">
        <f t="shared" si="146"/>
        <v>0</v>
      </c>
      <c r="AE366" s="63">
        <f t="shared" si="146"/>
        <v>0</v>
      </c>
      <c r="AF366" s="63">
        <f t="shared" si="147"/>
        <v>8374877</v>
      </c>
      <c r="AG366" s="58" t="str">
        <f t="shared" si="148"/>
        <v>ok</v>
      </c>
    </row>
    <row r="367" spans="1:33">
      <c r="A367" s="60">
        <v>504</v>
      </c>
      <c r="B367" s="60" t="s">
        <v>1290</v>
      </c>
      <c r="C367" s="44" t="s">
        <v>1289</v>
      </c>
      <c r="D367" s="44" t="s">
        <v>646</v>
      </c>
      <c r="F367" s="79">
        <v>0</v>
      </c>
      <c r="H367" s="63">
        <f t="shared" si="145"/>
        <v>0</v>
      </c>
      <c r="I367" s="63">
        <f t="shared" si="145"/>
        <v>0</v>
      </c>
      <c r="J367" s="63">
        <f t="shared" si="145"/>
        <v>0</v>
      </c>
      <c r="K367" s="63">
        <f t="shared" si="145"/>
        <v>0</v>
      </c>
      <c r="L367" s="63">
        <f t="shared" si="145"/>
        <v>0</v>
      </c>
      <c r="M367" s="63">
        <f t="shared" si="145"/>
        <v>0</v>
      </c>
      <c r="N367" s="63">
        <f t="shared" si="145"/>
        <v>0</v>
      </c>
      <c r="O367" s="63">
        <f t="shared" si="145"/>
        <v>0</v>
      </c>
      <c r="P367" s="63">
        <f t="shared" si="145"/>
        <v>0</v>
      </c>
      <c r="Q367" s="63">
        <f t="shared" si="145"/>
        <v>0</v>
      </c>
      <c r="R367" s="63">
        <f t="shared" si="146"/>
        <v>0</v>
      </c>
      <c r="S367" s="63">
        <f t="shared" si="146"/>
        <v>0</v>
      </c>
      <c r="T367" s="63">
        <f t="shared" si="146"/>
        <v>0</v>
      </c>
      <c r="U367" s="63">
        <f t="shared" si="146"/>
        <v>0</v>
      </c>
      <c r="V367" s="63">
        <f t="shared" si="146"/>
        <v>0</v>
      </c>
      <c r="W367" s="63">
        <f t="shared" si="146"/>
        <v>0</v>
      </c>
      <c r="X367" s="63">
        <f t="shared" si="146"/>
        <v>0</v>
      </c>
      <c r="Y367" s="63">
        <f t="shared" si="146"/>
        <v>0</v>
      </c>
      <c r="Z367" s="63">
        <f t="shared" si="146"/>
        <v>0</v>
      </c>
      <c r="AA367" s="63">
        <f t="shared" si="146"/>
        <v>0</v>
      </c>
      <c r="AB367" s="63">
        <f t="shared" si="146"/>
        <v>0</v>
      </c>
      <c r="AC367" s="63">
        <f t="shared" si="146"/>
        <v>0</v>
      </c>
      <c r="AD367" s="63">
        <f t="shared" si="146"/>
        <v>0</v>
      </c>
      <c r="AE367" s="63">
        <f t="shared" si="146"/>
        <v>0</v>
      </c>
      <c r="AF367" s="63">
        <f>SUM(H367:AE367)</f>
        <v>0</v>
      </c>
      <c r="AG367" s="58" t="str">
        <f>IF(ABS(AF367-F367)&lt;1,"ok","err")</f>
        <v>ok</v>
      </c>
    </row>
    <row r="368" spans="1:33">
      <c r="A368" s="60">
        <v>505</v>
      </c>
      <c r="B368" s="60" t="s">
        <v>215</v>
      </c>
      <c r="C368" s="44" t="s">
        <v>286</v>
      </c>
      <c r="D368" s="44" t="s">
        <v>646</v>
      </c>
      <c r="F368" s="79">
        <v>2130001</v>
      </c>
      <c r="H368" s="63">
        <f t="shared" si="145"/>
        <v>732297.12334303872</v>
      </c>
      <c r="I368" s="63">
        <f t="shared" si="145"/>
        <v>767127.58695225813</v>
      </c>
      <c r="J368" s="63">
        <f t="shared" si="145"/>
        <v>630576.28970470314</v>
      </c>
      <c r="K368" s="63">
        <f t="shared" si="145"/>
        <v>0</v>
      </c>
      <c r="L368" s="63">
        <f t="shared" si="145"/>
        <v>0</v>
      </c>
      <c r="M368" s="63">
        <f t="shared" si="145"/>
        <v>0</v>
      </c>
      <c r="N368" s="63">
        <f t="shared" si="145"/>
        <v>0</v>
      </c>
      <c r="O368" s="63">
        <f t="shared" si="145"/>
        <v>0</v>
      </c>
      <c r="P368" s="63">
        <f t="shared" si="145"/>
        <v>0</v>
      </c>
      <c r="Q368" s="63">
        <f t="shared" si="145"/>
        <v>0</v>
      </c>
      <c r="R368" s="63">
        <f t="shared" si="146"/>
        <v>0</v>
      </c>
      <c r="S368" s="63">
        <f t="shared" si="146"/>
        <v>0</v>
      </c>
      <c r="T368" s="63">
        <f t="shared" si="146"/>
        <v>0</v>
      </c>
      <c r="U368" s="63">
        <f t="shared" si="146"/>
        <v>0</v>
      </c>
      <c r="V368" s="63">
        <f t="shared" si="146"/>
        <v>0</v>
      </c>
      <c r="W368" s="63">
        <f t="shared" si="146"/>
        <v>0</v>
      </c>
      <c r="X368" s="63">
        <f t="shared" si="146"/>
        <v>0</v>
      </c>
      <c r="Y368" s="63">
        <f t="shared" si="146"/>
        <v>0</v>
      </c>
      <c r="Z368" s="63">
        <f t="shared" si="146"/>
        <v>0</v>
      </c>
      <c r="AA368" s="63">
        <f t="shared" si="146"/>
        <v>0</v>
      </c>
      <c r="AB368" s="63">
        <f t="shared" si="146"/>
        <v>0</v>
      </c>
      <c r="AC368" s="63">
        <f t="shared" si="146"/>
        <v>0</v>
      </c>
      <c r="AD368" s="63">
        <f t="shared" si="146"/>
        <v>0</v>
      </c>
      <c r="AE368" s="63">
        <f t="shared" si="146"/>
        <v>0</v>
      </c>
      <c r="AF368" s="63">
        <f t="shared" si="147"/>
        <v>2130001</v>
      </c>
      <c r="AG368" s="58" t="str">
        <f t="shared" si="148"/>
        <v>ok</v>
      </c>
    </row>
    <row r="369" spans="1:33">
      <c r="A369" s="60">
        <v>506</v>
      </c>
      <c r="B369" s="60" t="s">
        <v>218</v>
      </c>
      <c r="C369" s="44" t="s">
        <v>287</v>
      </c>
      <c r="D369" s="44" t="s">
        <v>646</v>
      </c>
      <c r="F369" s="79">
        <v>1491734</v>
      </c>
      <c r="H369" s="63">
        <f t="shared" si="145"/>
        <v>512860.09583704633</v>
      </c>
      <c r="I369" s="63">
        <f t="shared" si="145"/>
        <v>537253.41152170347</v>
      </c>
      <c r="J369" s="63">
        <f t="shared" si="145"/>
        <v>441620.49264125025</v>
      </c>
      <c r="K369" s="63">
        <f t="shared" si="145"/>
        <v>0</v>
      </c>
      <c r="L369" s="63">
        <f t="shared" si="145"/>
        <v>0</v>
      </c>
      <c r="M369" s="63">
        <f t="shared" si="145"/>
        <v>0</v>
      </c>
      <c r="N369" s="63">
        <f t="shared" si="145"/>
        <v>0</v>
      </c>
      <c r="O369" s="63">
        <f t="shared" si="145"/>
        <v>0</v>
      </c>
      <c r="P369" s="63">
        <f t="shared" si="145"/>
        <v>0</v>
      </c>
      <c r="Q369" s="63">
        <f t="shared" si="145"/>
        <v>0</v>
      </c>
      <c r="R369" s="63">
        <f t="shared" si="146"/>
        <v>0</v>
      </c>
      <c r="S369" s="63">
        <f t="shared" si="146"/>
        <v>0</v>
      </c>
      <c r="T369" s="63">
        <f t="shared" si="146"/>
        <v>0</v>
      </c>
      <c r="U369" s="63">
        <f t="shared" si="146"/>
        <v>0</v>
      </c>
      <c r="V369" s="63">
        <f t="shared" si="146"/>
        <v>0</v>
      </c>
      <c r="W369" s="63">
        <f t="shared" si="146"/>
        <v>0</v>
      </c>
      <c r="X369" s="63">
        <f t="shared" si="146"/>
        <v>0</v>
      </c>
      <c r="Y369" s="63">
        <f t="shared" si="146"/>
        <v>0</v>
      </c>
      <c r="Z369" s="63">
        <f t="shared" si="146"/>
        <v>0</v>
      </c>
      <c r="AA369" s="63">
        <f t="shared" si="146"/>
        <v>0</v>
      </c>
      <c r="AB369" s="63">
        <f t="shared" si="146"/>
        <v>0</v>
      </c>
      <c r="AC369" s="63">
        <f t="shared" si="146"/>
        <v>0</v>
      </c>
      <c r="AD369" s="63">
        <f t="shared" si="146"/>
        <v>0</v>
      </c>
      <c r="AE369" s="63">
        <f t="shared" si="146"/>
        <v>0</v>
      </c>
      <c r="AF369" s="63">
        <f t="shared" si="147"/>
        <v>1491734</v>
      </c>
      <c r="AG369" s="58" t="str">
        <f t="shared" si="148"/>
        <v>ok</v>
      </c>
    </row>
    <row r="370" spans="1:33">
      <c r="A370" s="60">
        <v>507</v>
      </c>
      <c r="B370" s="60" t="s">
        <v>1004</v>
      </c>
      <c r="C370" s="44" t="s">
        <v>358</v>
      </c>
      <c r="D370" s="44" t="s">
        <v>646</v>
      </c>
      <c r="F370" s="79"/>
      <c r="H370" s="63">
        <f t="shared" si="145"/>
        <v>0</v>
      </c>
      <c r="I370" s="63">
        <f t="shared" si="145"/>
        <v>0</v>
      </c>
      <c r="J370" s="63">
        <f t="shared" si="145"/>
        <v>0</v>
      </c>
      <c r="K370" s="63">
        <f t="shared" si="145"/>
        <v>0</v>
      </c>
      <c r="L370" s="63">
        <f t="shared" si="145"/>
        <v>0</v>
      </c>
      <c r="M370" s="63">
        <f t="shared" si="145"/>
        <v>0</v>
      </c>
      <c r="N370" s="63">
        <f t="shared" si="145"/>
        <v>0</v>
      </c>
      <c r="O370" s="63">
        <f t="shared" si="145"/>
        <v>0</v>
      </c>
      <c r="P370" s="63">
        <f t="shared" si="145"/>
        <v>0</v>
      </c>
      <c r="Q370" s="63">
        <f t="shared" si="145"/>
        <v>0</v>
      </c>
      <c r="R370" s="63">
        <f t="shared" si="146"/>
        <v>0</v>
      </c>
      <c r="S370" s="63">
        <f t="shared" si="146"/>
        <v>0</v>
      </c>
      <c r="T370" s="63">
        <f t="shared" si="146"/>
        <v>0</v>
      </c>
      <c r="U370" s="63">
        <f t="shared" si="146"/>
        <v>0</v>
      </c>
      <c r="V370" s="63">
        <f t="shared" si="146"/>
        <v>0</v>
      </c>
      <c r="W370" s="63">
        <f t="shared" si="146"/>
        <v>0</v>
      </c>
      <c r="X370" s="63">
        <f t="shared" si="146"/>
        <v>0</v>
      </c>
      <c r="Y370" s="63">
        <f t="shared" si="146"/>
        <v>0</v>
      </c>
      <c r="Z370" s="63">
        <f t="shared" si="146"/>
        <v>0</v>
      </c>
      <c r="AA370" s="63">
        <f t="shared" si="146"/>
        <v>0</v>
      </c>
      <c r="AB370" s="63">
        <f t="shared" si="146"/>
        <v>0</v>
      </c>
      <c r="AC370" s="63">
        <f t="shared" si="146"/>
        <v>0</v>
      </c>
      <c r="AD370" s="63">
        <f t="shared" si="146"/>
        <v>0</v>
      </c>
      <c r="AE370" s="63">
        <f t="shared" si="146"/>
        <v>0</v>
      </c>
      <c r="AF370" s="63">
        <f t="shared" si="147"/>
        <v>0</v>
      </c>
      <c r="AG370" s="58" t="str">
        <f t="shared" si="148"/>
        <v>ok</v>
      </c>
    </row>
    <row r="371" spans="1:33">
      <c r="A371" s="60"/>
      <c r="B371" s="60"/>
      <c r="F371" s="76"/>
      <c r="W371" s="44"/>
      <c r="AF371" s="63"/>
      <c r="AG371" s="58"/>
    </row>
    <row r="372" spans="1:33">
      <c r="A372" s="60"/>
      <c r="B372" s="60" t="s">
        <v>220</v>
      </c>
      <c r="C372" s="44" t="s">
        <v>651</v>
      </c>
      <c r="F372" s="76">
        <f>SUM(F364:F371)</f>
        <v>17322404</v>
      </c>
      <c r="H372" s="62">
        <f t="shared" ref="H372:M372" si="149">SUM(H364:H371)</f>
        <v>5036922.7071977025</v>
      </c>
      <c r="I372" s="62">
        <f t="shared" si="149"/>
        <v>5276495.3444007561</v>
      </c>
      <c r="J372" s="62">
        <f t="shared" si="149"/>
        <v>4337261.3806462381</v>
      </c>
      <c r="K372" s="62">
        <f t="shared" si="149"/>
        <v>2671724.5677553043</v>
      </c>
      <c r="L372" s="62">
        <f t="shared" si="149"/>
        <v>0</v>
      </c>
      <c r="M372" s="62">
        <f t="shared" si="149"/>
        <v>0</v>
      </c>
      <c r="N372" s="62">
        <f>SUM(N364:N371)</f>
        <v>0</v>
      </c>
      <c r="O372" s="62">
        <f>SUM(O364:O371)</f>
        <v>0</v>
      </c>
      <c r="P372" s="62">
        <f>SUM(P364:P371)</f>
        <v>0</v>
      </c>
      <c r="Q372" s="62">
        <f t="shared" ref="Q372:AB372" si="150">SUM(Q364:Q371)</f>
        <v>0</v>
      </c>
      <c r="R372" s="62">
        <f t="shared" si="150"/>
        <v>0</v>
      </c>
      <c r="S372" s="62">
        <f t="shared" si="150"/>
        <v>0</v>
      </c>
      <c r="T372" s="62">
        <f t="shared" si="150"/>
        <v>0</v>
      </c>
      <c r="U372" s="62">
        <f t="shared" si="150"/>
        <v>0</v>
      </c>
      <c r="V372" s="62">
        <f t="shared" si="150"/>
        <v>0</v>
      </c>
      <c r="W372" s="62">
        <f t="shared" si="150"/>
        <v>0</v>
      </c>
      <c r="X372" s="62">
        <f t="shared" si="150"/>
        <v>0</v>
      </c>
      <c r="Y372" s="62">
        <f t="shared" si="150"/>
        <v>0</v>
      </c>
      <c r="Z372" s="62">
        <f t="shared" si="150"/>
        <v>0</v>
      </c>
      <c r="AA372" s="62">
        <f t="shared" si="150"/>
        <v>0</v>
      </c>
      <c r="AB372" s="62">
        <f t="shared" si="150"/>
        <v>0</v>
      </c>
      <c r="AC372" s="62">
        <f>SUM(AC364:AC371)</f>
        <v>0</v>
      </c>
      <c r="AD372" s="62">
        <f>SUM(AD364:AD371)</f>
        <v>0</v>
      </c>
      <c r="AE372" s="62">
        <f>SUM(AE364:AE371)</f>
        <v>0</v>
      </c>
      <c r="AF372" s="63">
        <f t="shared" si="147"/>
        <v>17322404</v>
      </c>
      <c r="AG372" s="58" t="str">
        <f>IF(ABS(AF372-F372)&lt;1,"ok","err")</f>
        <v>ok</v>
      </c>
    </row>
    <row r="373" spans="1:33">
      <c r="A373" s="60"/>
      <c r="B373" s="60"/>
      <c r="F373" s="76"/>
      <c r="W373" s="44"/>
      <c r="AF373" s="63"/>
      <c r="AG373" s="58"/>
    </row>
    <row r="374" spans="1:33" ht="15">
      <c r="A374" s="65" t="s">
        <v>221</v>
      </c>
      <c r="B374" s="60"/>
      <c r="F374" s="76"/>
      <c r="W374" s="44"/>
      <c r="AF374" s="63"/>
      <c r="AG374" s="58"/>
    </row>
    <row r="375" spans="1:33">
      <c r="A375" s="60">
        <v>510</v>
      </c>
      <c r="B375" s="60" t="s">
        <v>224</v>
      </c>
      <c r="C375" s="44" t="s">
        <v>288</v>
      </c>
      <c r="D375" s="44" t="s">
        <v>648</v>
      </c>
      <c r="F375" s="76">
        <v>3390539</v>
      </c>
      <c r="H375" s="63">
        <f t="shared" ref="H375:Q379" si="151">IF(VLOOKUP($D375,$C$6:$AE$653,H$2,)=0,0,((VLOOKUP($D375,$C$6:$AE$653,H$2,)/VLOOKUP($D375,$C$6:$AE$653,4,))*$F375))</f>
        <v>0</v>
      </c>
      <c r="I375" s="63">
        <f t="shared" si="151"/>
        <v>0</v>
      </c>
      <c r="J375" s="63">
        <f t="shared" si="151"/>
        <v>0</v>
      </c>
      <c r="K375" s="63">
        <f t="shared" si="151"/>
        <v>3390539</v>
      </c>
      <c r="L375" s="63">
        <f t="shared" si="151"/>
        <v>0</v>
      </c>
      <c r="M375" s="63">
        <f t="shared" si="151"/>
        <v>0</v>
      </c>
      <c r="N375" s="63">
        <f t="shared" si="151"/>
        <v>0</v>
      </c>
      <c r="O375" s="63">
        <f t="shared" si="151"/>
        <v>0</v>
      </c>
      <c r="P375" s="63">
        <f t="shared" si="151"/>
        <v>0</v>
      </c>
      <c r="Q375" s="63">
        <f t="shared" si="151"/>
        <v>0</v>
      </c>
      <c r="R375" s="63">
        <f t="shared" ref="R375:AE379" si="152">IF(VLOOKUP($D375,$C$6:$AE$653,R$2,)=0,0,((VLOOKUP($D375,$C$6:$AE$653,R$2,)/VLOOKUP($D375,$C$6:$AE$653,4,))*$F375))</f>
        <v>0</v>
      </c>
      <c r="S375" s="63">
        <f t="shared" si="152"/>
        <v>0</v>
      </c>
      <c r="T375" s="63">
        <f t="shared" si="152"/>
        <v>0</v>
      </c>
      <c r="U375" s="63">
        <f t="shared" si="152"/>
        <v>0</v>
      </c>
      <c r="V375" s="63">
        <f t="shared" si="152"/>
        <v>0</v>
      </c>
      <c r="W375" s="63">
        <f t="shared" si="152"/>
        <v>0</v>
      </c>
      <c r="X375" s="63">
        <f t="shared" si="152"/>
        <v>0</v>
      </c>
      <c r="Y375" s="63">
        <f t="shared" si="152"/>
        <v>0</v>
      </c>
      <c r="Z375" s="63">
        <f t="shared" si="152"/>
        <v>0</v>
      </c>
      <c r="AA375" s="63">
        <f t="shared" si="152"/>
        <v>0</v>
      </c>
      <c r="AB375" s="63">
        <f t="shared" si="152"/>
        <v>0</v>
      </c>
      <c r="AC375" s="63">
        <f t="shared" si="152"/>
        <v>0</v>
      </c>
      <c r="AD375" s="63">
        <f t="shared" si="152"/>
        <v>0</v>
      </c>
      <c r="AE375" s="63">
        <f t="shared" si="152"/>
        <v>0</v>
      </c>
      <c r="AF375" s="63">
        <f t="shared" si="147"/>
        <v>3390539</v>
      </c>
      <c r="AG375" s="58" t="str">
        <f>IF(ABS(AF375-F375)&lt;1,"ok","err")</f>
        <v>ok</v>
      </c>
    </row>
    <row r="376" spans="1:33">
      <c r="A376" s="60">
        <v>511</v>
      </c>
      <c r="B376" s="60" t="s">
        <v>223</v>
      </c>
      <c r="C376" s="44" t="s">
        <v>289</v>
      </c>
      <c r="D376" s="44" t="s">
        <v>646</v>
      </c>
      <c r="F376" s="79">
        <v>0</v>
      </c>
      <c r="H376" s="63">
        <f t="shared" si="151"/>
        <v>0</v>
      </c>
      <c r="I376" s="63">
        <f t="shared" si="151"/>
        <v>0</v>
      </c>
      <c r="J376" s="63">
        <f t="shared" si="151"/>
        <v>0</v>
      </c>
      <c r="K376" s="63">
        <f t="shared" si="151"/>
        <v>0</v>
      </c>
      <c r="L376" s="63">
        <f t="shared" si="151"/>
        <v>0</v>
      </c>
      <c r="M376" s="63">
        <f t="shared" si="151"/>
        <v>0</v>
      </c>
      <c r="N376" s="63">
        <f t="shared" si="151"/>
        <v>0</v>
      </c>
      <c r="O376" s="63">
        <f t="shared" si="151"/>
        <v>0</v>
      </c>
      <c r="P376" s="63">
        <f t="shared" si="151"/>
        <v>0</v>
      </c>
      <c r="Q376" s="63">
        <f t="shared" si="151"/>
        <v>0</v>
      </c>
      <c r="R376" s="63">
        <f t="shared" si="152"/>
        <v>0</v>
      </c>
      <c r="S376" s="63">
        <f t="shared" si="152"/>
        <v>0</v>
      </c>
      <c r="T376" s="63">
        <f t="shared" si="152"/>
        <v>0</v>
      </c>
      <c r="U376" s="63">
        <f t="shared" si="152"/>
        <v>0</v>
      </c>
      <c r="V376" s="63">
        <f t="shared" si="152"/>
        <v>0</v>
      </c>
      <c r="W376" s="63">
        <f t="shared" si="152"/>
        <v>0</v>
      </c>
      <c r="X376" s="63">
        <f t="shared" si="152"/>
        <v>0</v>
      </c>
      <c r="Y376" s="63">
        <f t="shared" si="152"/>
        <v>0</v>
      </c>
      <c r="Z376" s="63">
        <f t="shared" si="152"/>
        <v>0</v>
      </c>
      <c r="AA376" s="63">
        <f t="shared" si="152"/>
        <v>0</v>
      </c>
      <c r="AB376" s="63">
        <f t="shared" si="152"/>
        <v>0</v>
      </c>
      <c r="AC376" s="63">
        <f t="shared" si="152"/>
        <v>0</v>
      </c>
      <c r="AD376" s="63">
        <f t="shared" si="152"/>
        <v>0</v>
      </c>
      <c r="AE376" s="63">
        <f t="shared" si="152"/>
        <v>0</v>
      </c>
      <c r="AF376" s="63">
        <f t="shared" si="147"/>
        <v>0</v>
      </c>
      <c r="AG376" s="58" t="str">
        <f>IF(ABS(AF376-F376)&lt;1,"ok","err")</f>
        <v>ok</v>
      </c>
    </row>
    <row r="377" spans="1:33">
      <c r="A377" s="60">
        <v>512</v>
      </c>
      <c r="B377" s="60" t="s">
        <v>226</v>
      </c>
      <c r="C377" s="44" t="s">
        <v>290</v>
      </c>
      <c r="D377" s="44" t="s">
        <v>930</v>
      </c>
      <c r="F377" s="79">
        <v>4117208</v>
      </c>
      <c r="H377" s="63">
        <f t="shared" si="151"/>
        <v>0</v>
      </c>
      <c r="I377" s="63">
        <f t="shared" si="151"/>
        <v>0</v>
      </c>
      <c r="J377" s="63">
        <f t="shared" si="151"/>
        <v>0</v>
      </c>
      <c r="K377" s="63">
        <f t="shared" si="151"/>
        <v>4117208</v>
      </c>
      <c r="L377" s="63">
        <f t="shared" si="151"/>
        <v>0</v>
      </c>
      <c r="M377" s="63">
        <f t="shared" si="151"/>
        <v>0</v>
      </c>
      <c r="N377" s="63">
        <f t="shared" si="151"/>
        <v>0</v>
      </c>
      <c r="O377" s="63">
        <f t="shared" si="151"/>
        <v>0</v>
      </c>
      <c r="P377" s="63">
        <f t="shared" si="151"/>
        <v>0</v>
      </c>
      <c r="Q377" s="63">
        <f t="shared" si="151"/>
        <v>0</v>
      </c>
      <c r="R377" s="63">
        <f t="shared" si="152"/>
        <v>0</v>
      </c>
      <c r="S377" s="63">
        <f t="shared" si="152"/>
        <v>0</v>
      </c>
      <c r="T377" s="63">
        <f t="shared" si="152"/>
        <v>0</v>
      </c>
      <c r="U377" s="63">
        <f t="shared" si="152"/>
        <v>0</v>
      </c>
      <c r="V377" s="63">
        <f t="shared" si="152"/>
        <v>0</v>
      </c>
      <c r="W377" s="63">
        <f t="shared" si="152"/>
        <v>0</v>
      </c>
      <c r="X377" s="63">
        <f t="shared" si="152"/>
        <v>0</v>
      </c>
      <c r="Y377" s="63">
        <f t="shared" si="152"/>
        <v>0</v>
      </c>
      <c r="Z377" s="63">
        <f t="shared" si="152"/>
        <v>0</v>
      </c>
      <c r="AA377" s="63">
        <f t="shared" si="152"/>
        <v>0</v>
      </c>
      <c r="AB377" s="63">
        <f t="shared" si="152"/>
        <v>0</v>
      </c>
      <c r="AC377" s="63">
        <f t="shared" si="152"/>
        <v>0</v>
      </c>
      <c r="AD377" s="63">
        <f t="shared" si="152"/>
        <v>0</v>
      </c>
      <c r="AE377" s="63">
        <f t="shared" si="152"/>
        <v>0</v>
      </c>
      <c r="AF377" s="63">
        <f t="shared" si="147"/>
        <v>4117208</v>
      </c>
      <c r="AG377" s="58" t="str">
        <f>IF(ABS(AF377-F377)&lt;1,"ok","err")</f>
        <v>ok</v>
      </c>
    </row>
    <row r="378" spans="1:33">
      <c r="A378" s="60">
        <v>513</v>
      </c>
      <c r="B378" s="60" t="s">
        <v>227</v>
      </c>
      <c r="C378" s="44" t="s">
        <v>291</v>
      </c>
      <c r="D378" s="44" t="s">
        <v>930</v>
      </c>
      <c r="F378" s="79">
        <v>2830954</v>
      </c>
      <c r="H378" s="63">
        <f t="shared" si="151"/>
        <v>0</v>
      </c>
      <c r="I378" s="63">
        <f t="shared" si="151"/>
        <v>0</v>
      </c>
      <c r="J378" s="63">
        <f t="shared" si="151"/>
        <v>0</v>
      </c>
      <c r="K378" s="63">
        <f t="shared" si="151"/>
        <v>2830954</v>
      </c>
      <c r="L378" s="63">
        <f t="shared" si="151"/>
        <v>0</v>
      </c>
      <c r="M378" s="63">
        <f t="shared" si="151"/>
        <v>0</v>
      </c>
      <c r="N378" s="63">
        <f t="shared" si="151"/>
        <v>0</v>
      </c>
      <c r="O378" s="63">
        <f t="shared" si="151"/>
        <v>0</v>
      </c>
      <c r="P378" s="63">
        <f t="shared" si="151"/>
        <v>0</v>
      </c>
      <c r="Q378" s="63">
        <f t="shared" si="151"/>
        <v>0</v>
      </c>
      <c r="R378" s="63">
        <f t="shared" si="152"/>
        <v>0</v>
      </c>
      <c r="S378" s="63">
        <f t="shared" si="152"/>
        <v>0</v>
      </c>
      <c r="T378" s="63">
        <f t="shared" si="152"/>
        <v>0</v>
      </c>
      <c r="U378" s="63">
        <f t="shared" si="152"/>
        <v>0</v>
      </c>
      <c r="V378" s="63">
        <f t="shared" si="152"/>
        <v>0</v>
      </c>
      <c r="W378" s="63">
        <f t="shared" si="152"/>
        <v>0</v>
      </c>
      <c r="X378" s="63">
        <f t="shared" si="152"/>
        <v>0</v>
      </c>
      <c r="Y378" s="63">
        <f t="shared" si="152"/>
        <v>0</v>
      </c>
      <c r="Z378" s="63">
        <f t="shared" si="152"/>
        <v>0</v>
      </c>
      <c r="AA378" s="63">
        <f t="shared" si="152"/>
        <v>0</v>
      </c>
      <c r="AB378" s="63">
        <f t="shared" si="152"/>
        <v>0</v>
      </c>
      <c r="AC378" s="63">
        <f t="shared" si="152"/>
        <v>0</v>
      </c>
      <c r="AD378" s="63">
        <f t="shared" si="152"/>
        <v>0</v>
      </c>
      <c r="AE378" s="63">
        <f t="shared" si="152"/>
        <v>0</v>
      </c>
      <c r="AF378" s="63">
        <f t="shared" si="147"/>
        <v>2830954</v>
      </c>
      <c r="AG378" s="58" t="str">
        <f>IF(ABS(AF378-F378)&lt;1,"ok","err")</f>
        <v>ok</v>
      </c>
    </row>
    <row r="379" spans="1:33">
      <c r="A379" s="60">
        <v>514</v>
      </c>
      <c r="B379" s="60" t="s">
        <v>230</v>
      </c>
      <c r="C379" s="44" t="s">
        <v>292</v>
      </c>
      <c r="D379" s="44" t="s">
        <v>930</v>
      </c>
      <c r="F379" s="79">
        <v>57828</v>
      </c>
      <c r="H379" s="63">
        <f t="shared" si="151"/>
        <v>0</v>
      </c>
      <c r="I379" s="63">
        <f t="shared" si="151"/>
        <v>0</v>
      </c>
      <c r="J379" s="63">
        <f t="shared" si="151"/>
        <v>0</v>
      </c>
      <c r="K379" s="63">
        <f t="shared" si="151"/>
        <v>57828</v>
      </c>
      <c r="L379" s="63">
        <f t="shared" si="151"/>
        <v>0</v>
      </c>
      <c r="M379" s="63">
        <f t="shared" si="151"/>
        <v>0</v>
      </c>
      <c r="N379" s="63">
        <f t="shared" si="151"/>
        <v>0</v>
      </c>
      <c r="O379" s="63">
        <f t="shared" si="151"/>
        <v>0</v>
      </c>
      <c r="P379" s="63">
        <f t="shared" si="151"/>
        <v>0</v>
      </c>
      <c r="Q379" s="63">
        <f t="shared" si="151"/>
        <v>0</v>
      </c>
      <c r="R379" s="63">
        <f t="shared" si="152"/>
        <v>0</v>
      </c>
      <c r="S379" s="63">
        <f t="shared" si="152"/>
        <v>0</v>
      </c>
      <c r="T379" s="63">
        <f t="shared" si="152"/>
        <v>0</v>
      </c>
      <c r="U379" s="63">
        <f t="shared" si="152"/>
        <v>0</v>
      </c>
      <c r="V379" s="63">
        <f t="shared" si="152"/>
        <v>0</v>
      </c>
      <c r="W379" s="63">
        <f t="shared" si="152"/>
        <v>0</v>
      </c>
      <c r="X379" s="63">
        <f t="shared" si="152"/>
        <v>0</v>
      </c>
      <c r="Y379" s="63">
        <f t="shared" si="152"/>
        <v>0</v>
      </c>
      <c r="Z379" s="63">
        <f t="shared" si="152"/>
        <v>0</v>
      </c>
      <c r="AA379" s="63">
        <f t="shared" si="152"/>
        <v>0</v>
      </c>
      <c r="AB379" s="63">
        <f t="shared" si="152"/>
        <v>0</v>
      </c>
      <c r="AC379" s="63">
        <f t="shared" si="152"/>
        <v>0</v>
      </c>
      <c r="AD379" s="63">
        <f t="shared" si="152"/>
        <v>0</v>
      </c>
      <c r="AE379" s="63">
        <f t="shared" si="152"/>
        <v>0</v>
      </c>
      <c r="AF379" s="63">
        <f t="shared" si="147"/>
        <v>57828</v>
      </c>
      <c r="AG379" s="58" t="str">
        <f>IF(ABS(AF379-F379)&lt;1,"ok","err")</f>
        <v>ok</v>
      </c>
    </row>
    <row r="380" spans="1:33">
      <c r="A380" s="60"/>
      <c r="B380" s="60"/>
      <c r="F380" s="76"/>
      <c r="W380" s="44"/>
      <c r="AF380" s="63"/>
      <c r="AG380" s="58"/>
    </row>
    <row r="381" spans="1:33">
      <c r="A381" s="60"/>
      <c r="B381" s="60" t="s">
        <v>232</v>
      </c>
      <c r="C381" s="44" t="s">
        <v>87</v>
      </c>
      <c r="F381" s="76">
        <f>SUM(F375:F380)</f>
        <v>10396529</v>
      </c>
      <c r="H381" s="62">
        <f t="shared" ref="H381:M381" si="153">SUM(H375:H380)</f>
        <v>0</v>
      </c>
      <c r="I381" s="62">
        <f t="shared" si="153"/>
        <v>0</v>
      </c>
      <c r="J381" s="62">
        <f t="shared" si="153"/>
        <v>0</v>
      </c>
      <c r="K381" s="62">
        <f t="shared" si="153"/>
        <v>10396529</v>
      </c>
      <c r="L381" s="62">
        <f t="shared" si="153"/>
        <v>0</v>
      </c>
      <c r="M381" s="62">
        <f t="shared" si="153"/>
        <v>0</v>
      </c>
      <c r="N381" s="62">
        <f>SUM(N375:N380)</f>
        <v>0</v>
      </c>
      <c r="O381" s="62">
        <f>SUM(O375:O380)</f>
        <v>0</v>
      </c>
      <c r="P381" s="62">
        <f>SUM(P375:P380)</f>
        <v>0</v>
      </c>
      <c r="Q381" s="62">
        <f t="shared" ref="Q381:AB381" si="154">SUM(Q375:Q380)</f>
        <v>0</v>
      </c>
      <c r="R381" s="62">
        <f t="shared" si="154"/>
        <v>0</v>
      </c>
      <c r="S381" s="62">
        <f t="shared" si="154"/>
        <v>0</v>
      </c>
      <c r="T381" s="62">
        <f t="shared" si="154"/>
        <v>0</v>
      </c>
      <c r="U381" s="62">
        <f t="shared" si="154"/>
        <v>0</v>
      </c>
      <c r="V381" s="62">
        <f t="shared" si="154"/>
        <v>0</v>
      </c>
      <c r="W381" s="62">
        <f t="shared" si="154"/>
        <v>0</v>
      </c>
      <c r="X381" s="62">
        <f t="shared" si="154"/>
        <v>0</v>
      </c>
      <c r="Y381" s="62">
        <f t="shared" si="154"/>
        <v>0</v>
      </c>
      <c r="Z381" s="62">
        <f t="shared" si="154"/>
        <v>0</v>
      </c>
      <c r="AA381" s="62">
        <f t="shared" si="154"/>
        <v>0</v>
      </c>
      <c r="AB381" s="62">
        <f t="shared" si="154"/>
        <v>0</v>
      </c>
      <c r="AC381" s="62">
        <f>SUM(AC375:AC380)</f>
        <v>0</v>
      </c>
      <c r="AD381" s="62">
        <f>SUM(AD375:AD380)</f>
        <v>0</v>
      </c>
      <c r="AE381" s="62">
        <f>SUM(AE375:AE380)</f>
        <v>0</v>
      </c>
      <c r="AF381" s="63">
        <f t="shared" si="147"/>
        <v>10396529</v>
      </c>
      <c r="AG381" s="58" t="str">
        <f>IF(ABS(AF381-F381)&lt;1,"ok","err")</f>
        <v>ok</v>
      </c>
    </row>
    <row r="382" spans="1:33">
      <c r="A382" s="60"/>
      <c r="B382" s="60"/>
      <c r="F382" s="76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3"/>
      <c r="AG382" s="58"/>
    </row>
    <row r="383" spans="1:33">
      <c r="A383" s="60"/>
      <c r="B383" s="60" t="s">
        <v>233</v>
      </c>
      <c r="F383" s="76">
        <f>F372+F381</f>
        <v>27718933</v>
      </c>
      <c r="H383" s="62">
        <f t="shared" ref="H383:M383" si="155">H372+H381</f>
        <v>5036922.7071977025</v>
      </c>
      <c r="I383" s="62">
        <f t="shared" si="155"/>
        <v>5276495.3444007561</v>
      </c>
      <c r="J383" s="62">
        <f t="shared" si="155"/>
        <v>4337261.3806462381</v>
      </c>
      <c r="K383" s="62">
        <f t="shared" si="155"/>
        <v>13068253.567755304</v>
      </c>
      <c r="L383" s="62">
        <f t="shared" si="155"/>
        <v>0</v>
      </c>
      <c r="M383" s="62">
        <f t="shared" si="155"/>
        <v>0</v>
      </c>
      <c r="N383" s="62">
        <f>N372+N381</f>
        <v>0</v>
      </c>
      <c r="O383" s="62">
        <f>O372+O381</f>
        <v>0</v>
      </c>
      <c r="P383" s="62">
        <f>P372+P381</f>
        <v>0</v>
      </c>
      <c r="Q383" s="62">
        <f t="shared" ref="Q383:AB383" si="156">Q372+Q381</f>
        <v>0</v>
      </c>
      <c r="R383" s="62">
        <f t="shared" si="156"/>
        <v>0</v>
      </c>
      <c r="S383" s="62">
        <f t="shared" si="156"/>
        <v>0</v>
      </c>
      <c r="T383" s="62">
        <f t="shared" si="156"/>
        <v>0</v>
      </c>
      <c r="U383" s="62">
        <f t="shared" si="156"/>
        <v>0</v>
      </c>
      <c r="V383" s="62">
        <f t="shared" si="156"/>
        <v>0</v>
      </c>
      <c r="W383" s="62">
        <f t="shared" si="156"/>
        <v>0</v>
      </c>
      <c r="X383" s="62">
        <f t="shared" si="156"/>
        <v>0</v>
      </c>
      <c r="Y383" s="62">
        <f t="shared" si="156"/>
        <v>0</v>
      </c>
      <c r="Z383" s="62">
        <f t="shared" si="156"/>
        <v>0</v>
      </c>
      <c r="AA383" s="62">
        <f t="shared" si="156"/>
        <v>0</v>
      </c>
      <c r="AB383" s="62">
        <f t="shared" si="156"/>
        <v>0</v>
      </c>
      <c r="AC383" s="62">
        <f>AC372+AC381</f>
        <v>0</v>
      </c>
      <c r="AD383" s="62">
        <f>AD372+AD381</f>
        <v>0</v>
      </c>
      <c r="AE383" s="62">
        <f>AE372+AE381</f>
        <v>0</v>
      </c>
      <c r="AF383" s="63">
        <f t="shared" si="147"/>
        <v>27718933</v>
      </c>
      <c r="AG383" s="58" t="str">
        <f>IF(ABS(AF383-F383)&lt;1,"ok","err")</f>
        <v>ok</v>
      </c>
    </row>
    <row r="384" spans="1:33">
      <c r="A384" s="60"/>
      <c r="B384" s="60"/>
      <c r="F384" s="76"/>
      <c r="W384" s="44"/>
      <c r="AF384" s="63"/>
      <c r="AG384" s="58"/>
    </row>
    <row r="385" spans="1:33" ht="15">
      <c r="A385" s="65" t="s">
        <v>320</v>
      </c>
      <c r="B385" s="60"/>
      <c r="W385" s="44"/>
      <c r="AG385" s="58"/>
    </row>
    <row r="386" spans="1:33">
      <c r="A386" s="70">
        <v>535</v>
      </c>
      <c r="B386" s="60" t="s">
        <v>209</v>
      </c>
      <c r="C386" s="44" t="s">
        <v>599</v>
      </c>
      <c r="D386" s="44" t="s">
        <v>650</v>
      </c>
      <c r="F386" s="76">
        <v>95870</v>
      </c>
      <c r="H386" s="63">
        <f t="shared" ref="H386:Q391" si="157">IF(VLOOKUP($D386,$C$6:$AE$653,H$2,)=0,0,((VLOOKUP($D386,$C$6:$AE$653,H$2,)/VLOOKUP($D386,$C$6:$AE$653,4,))*$F386))</f>
        <v>32960.231105477011</v>
      </c>
      <c r="I386" s="63">
        <f t="shared" si="157"/>
        <v>34527.928278490472</v>
      </c>
      <c r="J386" s="63">
        <f t="shared" si="157"/>
        <v>28381.840616032525</v>
      </c>
      <c r="K386" s="63">
        <f t="shared" si="157"/>
        <v>0</v>
      </c>
      <c r="L386" s="63">
        <f t="shared" si="157"/>
        <v>0</v>
      </c>
      <c r="M386" s="63">
        <f t="shared" si="157"/>
        <v>0</v>
      </c>
      <c r="N386" s="63">
        <f t="shared" si="157"/>
        <v>0</v>
      </c>
      <c r="O386" s="63">
        <f t="shared" si="157"/>
        <v>0</v>
      </c>
      <c r="P386" s="63">
        <f t="shared" si="157"/>
        <v>0</v>
      </c>
      <c r="Q386" s="63">
        <f t="shared" si="157"/>
        <v>0</v>
      </c>
      <c r="R386" s="63">
        <f t="shared" ref="R386:AE391" si="158">IF(VLOOKUP($D386,$C$6:$AE$653,R$2,)=0,0,((VLOOKUP($D386,$C$6:$AE$653,R$2,)/VLOOKUP($D386,$C$6:$AE$653,4,))*$F386))</f>
        <v>0</v>
      </c>
      <c r="S386" s="63">
        <f t="shared" si="158"/>
        <v>0</v>
      </c>
      <c r="T386" s="63">
        <f t="shared" si="158"/>
        <v>0</v>
      </c>
      <c r="U386" s="63">
        <f t="shared" si="158"/>
        <v>0</v>
      </c>
      <c r="V386" s="63">
        <f t="shared" si="158"/>
        <v>0</v>
      </c>
      <c r="W386" s="63">
        <f t="shared" si="158"/>
        <v>0</v>
      </c>
      <c r="X386" s="63">
        <f t="shared" si="158"/>
        <v>0</v>
      </c>
      <c r="Y386" s="63">
        <f t="shared" si="158"/>
        <v>0</v>
      </c>
      <c r="Z386" s="63">
        <f t="shared" si="158"/>
        <v>0</v>
      </c>
      <c r="AA386" s="63">
        <f t="shared" si="158"/>
        <v>0</v>
      </c>
      <c r="AB386" s="63">
        <f t="shared" si="158"/>
        <v>0</v>
      </c>
      <c r="AC386" s="63">
        <f t="shared" si="158"/>
        <v>0</v>
      </c>
      <c r="AD386" s="63">
        <f t="shared" si="158"/>
        <v>0</v>
      </c>
      <c r="AE386" s="63">
        <f t="shared" si="158"/>
        <v>0</v>
      </c>
      <c r="AF386" s="63">
        <f t="shared" ref="AF386:AF391" si="159">SUM(H386:AE386)</f>
        <v>95870.000000000015</v>
      </c>
      <c r="AG386" s="58" t="str">
        <f t="shared" ref="AG386:AG391" si="160">IF(ABS(AF386-F386)&lt;1,"ok","err")</f>
        <v>ok</v>
      </c>
    </row>
    <row r="387" spans="1:33">
      <c r="A387" s="276">
        <v>536</v>
      </c>
      <c r="B387" s="60" t="s">
        <v>327</v>
      </c>
      <c r="C387" s="44" t="s">
        <v>600</v>
      </c>
      <c r="D387" s="44" t="s">
        <v>646</v>
      </c>
      <c r="F387" s="79">
        <v>0</v>
      </c>
      <c r="H387" s="63">
        <f t="shared" si="157"/>
        <v>0</v>
      </c>
      <c r="I387" s="63">
        <f t="shared" si="157"/>
        <v>0</v>
      </c>
      <c r="J387" s="63">
        <f t="shared" si="157"/>
        <v>0</v>
      </c>
      <c r="K387" s="63">
        <f t="shared" si="157"/>
        <v>0</v>
      </c>
      <c r="L387" s="63">
        <f t="shared" si="157"/>
        <v>0</v>
      </c>
      <c r="M387" s="63">
        <f t="shared" si="157"/>
        <v>0</v>
      </c>
      <c r="N387" s="63">
        <f t="shared" si="157"/>
        <v>0</v>
      </c>
      <c r="O387" s="63">
        <f t="shared" si="157"/>
        <v>0</v>
      </c>
      <c r="P387" s="63">
        <f t="shared" si="157"/>
        <v>0</v>
      </c>
      <c r="Q387" s="63">
        <f t="shared" si="157"/>
        <v>0</v>
      </c>
      <c r="R387" s="63">
        <f t="shared" si="158"/>
        <v>0</v>
      </c>
      <c r="S387" s="63">
        <f t="shared" si="158"/>
        <v>0</v>
      </c>
      <c r="T387" s="63">
        <f t="shared" si="158"/>
        <v>0</v>
      </c>
      <c r="U387" s="63">
        <f t="shared" si="158"/>
        <v>0</v>
      </c>
      <c r="V387" s="63">
        <f t="shared" si="158"/>
        <v>0</v>
      </c>
      <c r="W387" s="63">
        <f t="shared" si="158"/>
        <v>0</v>
      </c>
      <c r="X387" s="63">
        <f t="shared" si="158"/>
        <v>0</v>
      </c>
      <c r="Y387" s="63">
        <f t="shared" si="158"/>
        <v>0</v>
      </c>
      <c r="Z387" s="63">
        <f t="shared" si="158"/>
        <v>0</v>
      </c>
      <c r="AA387" s="63">
        <f t="shared" si="158"/>
        <v>0</v>
      </c>
      <c r="AB387" s="63">
        <f t="shared" si="158"/>
        <v>0</v>
      </c>
      <c r="AC387" s="63">
        <f t="shared" si="158"/>
        <v>0</v>
      </c>
      <c r="AD387" s="63">
        <f t="shared" si="158"/>
        <v>0</v>
      </c>
      <c r="AE387" s="63">
        <f t="shared" si="158"/>
        <v>0</v>
      </c>
      <c r="AF387" s="63">
        <f t="shared" si="159"/>
        <v>0</v>
      </c>
      <c r="AG387" s="58" t="str">
        <f t="shared" si="160"/>
        <v>ok</v>
      </c>
    </row>
    <row r="388" spans="1:33">
      <c r="A388" s="60">
        <v>537</v>
      </c>
      <c r="B388" s="60" t="s">
        <v>326</v>
      </c>
      <c r="C388" s="44" t="s">
        <v>601</v>
      </c>
      <c r="D388" s="44" t="s">
        <v>646</v>
      </c>
      <c r="F388" s="79"/>
      <c r="H388" s="63">
        <f t="shared" si="157"/>
        <v>0</v>
      </c>
      <c r="I388" s="63">
        <f t="shared" si="157"/>
        <v>0</v>
      </c>
      <c r="J388" s="63">
        <f t="shared" si="157"/>
        <v>0</v>
      </c>
      <c r="K388" s="63">
        <f t="shared" si="157"/>
        <v>0</v>
      </c>
      <c r="L388" s="63">
        <f t="shared" si="157"/>
        <v>0</v>
      </c>
      <c r="M388" s="63">
        <f t="shared" si="157"/>
        <v>0</v>
      </c>
      <c r="N388" s="63">
        <f t="shared" si="157"/>
        <v>0</v>
      </c>
      <c r="O388" s="63">
        <f t="shared" si="157"/>
        <v>0</v>
      </c>
      <c r="P388" s="63">
        <f t="shared" si="157"/>
        <v>0</v>
      </c>
      <c r="Q388" s="63">
        <f t="shared" si="157"/>
        <v>0</v>
      </c>
      <c r="R388" s="63">
        <f t="shared" si="158"/>
        <v>0</v>
      </c>
      <c r="S388" s="63">
        <f t="shared" si="158"/>
        <v>0</v>
      </c>
      <c r="T388" s="63">
        <f t="shared" si="158"/>
        <v>0</v>
      </c>
      <c r="U388" s="63">
        <f t="shared" si="158"/>
        <v>0</v>
      </c>
      <c r="V388" s="63">
        <f t="shared" si="158"/>
        <v>0</v>
      </c>
      <c r="W388" s="63">
        <f t="shared" si="158"/>
        <v>0</v>
      </c>
      <c r="X388" s="63">
        <f t="shared" si="158"/>
        <v>0</v>
      </c>
      <c r="Y388" s="63">
        <f t="shared" si="158"/>
        <v>0</v>
      </c>
      <c r="Z388" s="63">
        <f t="shared" si="158"/>
        <v>0</v>
      </c>
      <c r="AA388" s="63">
        <f t="shared" si="158"/>
        <v>0</v>
      </c>
      <c r="AB388" s="63">
        <f t="shared" si="158"/>
        <v>0</v>
      </c>
      <c r="AC388" s="63">
        <f t="shared" si="158"/>
        <v>0</v>
      </c>
      <c r="AD388" s="63">
        <f t="shared" si="158"/>
        <v>0</v>
      </c>
      <c r="AE388" s="63">
        <f t="shared" si="158"/>
        <v>0</v>
      </c>
      <c r="AF388" s="63">
        <f t="shared" si="159"/>
        <v>0</v>
      </c>
      <c r="AG388" s="58" t="str">
        <f t="shared" si="160"/>
        <v>ok</v>
      </c>
    </row>
    <row r="389" spans="1:33">
      <c r="A389" s="275">
        <v>538</v>
      </c>
      <c r="B389" s="60" t="s">
        <v>215</v>
      </c>
      <c r="C389" s="44" t="s">
        <v>602</v>
      </c>
      <c r="D389" s="44" t="s">
        <v>646</v>
      </c>
      <c r="F389" s="79">
        <v>180161</v>
      </c>
      <c r="H389" s="63">
        <f t="shared" si="157"/>
        <v>61939.586900947557</v>
      </c>
      <c r="I389" s="63">
        <f t="shared" si="157"/>
        <v>64885.63770294276</v>
      </c>
      <c r="J389" s="63">
        <f t="shared" si="157"/>
        <v>53335.775396109682</v>
      </c>
      <c r="K389" s="63">
        <f t="shared" si="157"/>
        <v>0</v>
      </c>
      <c r="L389" s="63">
        <f t="shared" si="157"/>
        <v>0</v>
      </c>
      <c r="M389" s="63">
        <f t="shared" si="157"/>
        <v>0</v>
      </c>
      <c r="N389" s="63">
        <f t="shared" si="157"/>
        <v>0</v>
      </c>
      <c r="O389" s="63">
        <f t="shared" si="157"/>
        <v>0</v>
      </c>
      <c r="P389" s="63">
        <f t="shared" si="157"/>
        <v>0</v>
      </c>
      <c r="Q389" s="63">
        <f t="shared" si="157"/>
        <v>0</v>
      </c>
      <c r="R389" s="63">
        <f t="shared" si="158"/>
        <v>0</v>
      </c>
      <c r="S389" s="63">
        <f t="shared" si="158"/>
        <v>0</v>
      </c>
      <c r="T389" s="63">
        <f t="shared" si="158"/>
        <v>0</v>
      </c>
      <c r="U389" s="63">
        <f t="shared" si="158"/>
        <v>0</v>
      </c>
      <c r="V389" s="63">
        <f t="shared" si="158"/>
        <v>0</v>
      </c>
      <c r="W389" s="63">
        <f t="shared" si="158"/>
        <v>0</v>
      </c>
      <c r="X389" s="63">
        <f t="shared" si="158"/>
        <v>0</v>
      </c>
      <c r="Y389" s="63">
        <f t="shared" si="158"/>
        <v>0</v>
      </c>
      <c r="Z389" s="63">
        <f t="shared" si="158"/>
        <v>0</v>
      </c>
      <c r="AA389" s="63">
        <f t="shared" si="158"/>
        <v>0</v>
      </c>
      <c r="AB389" s="63">
        <f t="shared" si="158"/>
        <v>0</v>
      </c>
      <c r="AC389" s="63">
        <f t="shared" si="158"/>
        <v>0</v>
      </c>
      <c r="AD389" s="63">
        <f t="shared" si="158"/>
        <v>0</v>
      </c>
      <c r="AE389" s="63">
        <f t="shared" si="158"/>
        <v>0</v>
      </c>
      <c r="AF389" s="63">
        <f t="shared" si="159"/>
        <v>180161</v>
      </c>
      <c r="AG389" s="58" t="str">
        <f t="shared" si="160"/>
        <v>ok</v>
      </c>
    </row>
    <row r="390" spans="1:33">
      <c r="A390" s="60">
        <v>539</v>
      </c>
      <c r="B390" s="60" t="s">
        <v>328</v>
      </c>
      <c r="C390" s="44" t="s">
        <v>603</v>
      </c>
      <c r="D390" s="44" t="s">
        <v>646</v>
      </c>
      <c r="F390" s="79">
        <v>60427</v>
      </c>
      <c r="H390" s="63">
        <f t="shared" si="157"/>
        <v>20774.881454163544</v>
      </c>
      <c r="I390" s="63">
        <f t="shared" si="157"/>
        <v>21763.003255286781</v>
      </c>
      <c r="J390" s="63">
        <f t="shared" si="157"/>
        <v>17889.115290549675</v>
      </c>
      <c r="K390" s="63">
        <f t="shared" si="157"/>
        <v>0</v>
      </c>
      <c r="L390" s="63">
        <f t="shared" si="157"/>
        <v>0</v>
      </c>
      <c r="M390" s="63">
        <f t="shared" si="157"/>
        <v>0</v>
      </c>
      <c r="N390" s="63">
        <f t="shared" si="157"/>
        <v>0</v>
      </c>
      <c r="O390" s="63">
        <f t="shared" si="157"/>
        <v>0</v>
      </c>
      <c r="P390" s="63">
        <f t="shared" si="157"/>
        <v>0</v>
      </c>
      <c r="Q390" s="63">
        <f t="shared" si="157"/>
        <v>0</v>
      </c>
      <c r="R390" s="63">
        <f t="shared" si="158"/>
        <v>0</v>
      </c>
      <c r="S390" s="63">
        <f t="shared" si="158"/>
        <v>0</v>
      </c>
      <c r="T390" s="63">
        <f t="shared" si="158"/>
        <v>0</v>
      </c>
      <c r="U390" s="63">
        <f t="shared" si="158"/>
        <v>0</v>
      </c>
      <c r="V390" s="63">
        <f t="shared" si="158"/>
        <v>0</v>
      </c>
      <c r="W390" s="63">
        <f t="shared" si="158"/>
        <v>0</v>
      </c>
      <c r="X390" s="63">
        <f t="shared" si="158"/>
        <v>0</v>
      </c>
      <c r="Y390" s="63">
        <f t="shared" si="158"/>
        <v>0</v>
      </c>
      <c r="Z390" s="63">
        <f t="shared" si="158"/>
        <v>0</v>
      </c>
      <c r="AA390" s="63">
        <f t="shared" si="158"/>
        <v>0</v>
      </c>
      <c r="AB390" s="63">
        <f t="shared" si="158"/>
        <v>0</v>
      </c>
      <c r="AC390" s="63">
        <f t="shared" si="158"/>
        <v>0</v>
      </c>
      <c r="AD390" s="63">
        <f t="shared" si="158"/>
        <v>0</v>
      </c>
      <c r="AE390" s="63">
        <f t="shared" si="158"/>
        <v>0</v>
      </c>
      <c r="AF390" s="63">
        <f t="shared" si="159"/>
        <v>60427</v>
      </c>
      <c r="AG390" s="58" t="str">
        <f t="shared" si="160"/>
        <v>ok</v>
      </c>
    </row>
    <row r="391" spans="1:33">
      <c r="A391" s="275">
        <v>540</v>
      </c>
      <c r="B391" s="60" t="s">
        <v>1004</v>
      </c>
      <c r="D391" s="44" t="s">
        <v>646</v>
      </c>
      <c r="F391" s="79">
        <v>0</v>
      </c>
      <c r="H391" s="63">
        <f t="shared" si="157"/>
        <v>0</v>
      </c>
      <c r="I391" s="63">
        <f t="shared" si="157"/>
        <v>0</v>
      </c>
      <c r="J391" s="63">
        <f t="shared" si="157"/>
        <v>0</v>
      </c>
      <c r="K391" s="63">
        <f t="shared" si="157"/>
        <v>0</v>
      </c>
      <c r="L391" s="63">
        <f t="shared" si="157"/>
        <v>0</v>
      </c>
      <c r="M391" s="63">
        <f t="shared" si="157"/>
        <v>0</v>
      </c>
      <c r="N391" s="63">
        <f t="shared" si="157"/>
        <v>0</v>
      </c>
      <c r="O391" s="63">
        <f t="shared" si="157"/>
        <v>0</v>
      </c>
      <c r="P391" s="63">
        <f t="shared" si="157"/>
        <v>0</v>
      </c>
      <c r="Q391" s="63">
        <f t="shared" si="157"/>
        <v>0</v>
      </c>
      <c r="R391" s="63">
        <f t="shared" si="158"/>
        <v>0</v>
      </c>
      <c r="S391" s="63">
        <f t="shared" si="158"/>
        <v>0</v>
      </c>
      <c r="T391" s="63">
        <f t="shared" si="158"/>
        <v>0</v>
      </c>
      <c r="U391" s="63">
        <f t="shared" si="158"/>
        <v>0</v>
      </c>
      <c r="V391" s="63">
        <f t="shared" si="158"/>
        <v>0</v>
      </c>
      <c r="W391" s="63">
        <f t="shared" si="158"/>
        <v>0</v>
      </c>
      <c r="X391" s="63">
        <f t="shared" si="158"/>
        <v>0</v>
      </c>
      <c r="Y391" s="63">
        <f t="shared" si="158"/>
        <v>0</v>
      </c>
      <c r="Z391" s="63">
        <f t="shared" si="158"/>
        <v>0</v>
      </c>
      <c r="AA391" s="63">
        <f t="shared" si="158"/>
        <v>0</v>
      </c>
      <c r="AB391" s="63">
        <f t="shared" si="158"/>
        <v>0</v>
      </c>
      <c r="AC391" s="63">
        <f t="shared" si="158"/>
        <v>0</v>
      </c>
      <c r="AD391" s="63">
        <f t="shared" si="158"/>
        <v>0</v>
      </c>
      <c r="AE391" s="63">
        <f t="shared" si="158"/>
        <v>0</v>
      </c>
      <c r="AF391" s="63">
        <f t="shared" si="159"/>
        <v>0</v>
      </c>
      <c r="AG391" s="58" t="str">
        <f t="shared" si="160"/>
        <v>ok</v>
      </c>
    </row>
    <row r="392" spans="1:33">
      <c r="A392" s="60"/>
      <c r="B392" s="60"/>
      <c r="F392" s="76"/>
      <c r="W392" s="44"/>
      <c r="AF392" s="63"/>
      <c r="AG392" s="58"/>
    </row>
    <row r="393" spans="1:33">
      <c r="A393" s="60"/>
      <c r="B393" s="60" t="s">
        <v>323</v>
      </c>
      <c r="C393" s="44" t="s">
        <v>652</v>
      </c>
      <c r="F393" s="76">
        <f>SUM(F386:F392)</f>
        <v>336458</v>
      </c>
      <c r="H393" s="62">
        <f t="shared" ref="H393:M393" si="161">SUM(H386:H392)</f>
        <v>115674.6994605881</v>
      </c>
      <c r="I393" s="62">
        <f t="shared" si="161"/>
        <v>121176.56923672001</v>
      </c>
      <c r="J393" s="62">
        <f t="shared" si="161"/>
        <v>99606.731302691886</v>
      </c>
      <c r="K393" s="62">
        <f t="shared" si="161"/>
        <v>0</v>
      </c>
      <c r="L393" s="62">
        <f t="shared" si="161"/>
        <v>0</v>
      </c>
      <c r="M393" s="62">
        <f t="shared" si="161"/>
        <v>0</v>
      </c>
      <c r="N393" s="62">
        <f>SUM(N386:N392)</f>
        <v>0</v>
      </c>
      <c r="O393" s="62">
        <f>SUM(O386:O392)</f>
        <v>0</v>
      </c>
      <c r="P393" s="62">
        <f>SUM(P386:P392)</f>
        <v>0</v>
      </c>
      <c r="Q393" s="62">
        <f t="shared" ref="Q393:AB393" si="162">SUM(Q386:Q392)</f>
        <v>0</v>
      </c>
      <c r="R393" s="62">
        <f t="shared" si="162"/>
        <v>0</v>
      </c>
      <c r="S393" s="62">
        <f t="shared" si="162"/>
        <v>0</v>
      </c>
      <c r="T393" s="62">
        <f t="shared" si="162"/>
        <v>0</v>
      </c>
      <c r="U393" s="62">
        <f t="shared" si="162"/>
        <v>0</v>
      </c>
      <c r="V393" s="62">
        <f t="shared" si="162"/>
        <v>0</v>
      </c>
      <c r="W393" s="62">
        <f t="shared" si="162"/>
        <v>0</v>
      </c>
      <c r="X393" s="62">
        <f t="shared" si="162"/>
        <v>0</v>
      </c>
      <c r="Y393" s="62">
        <f t="shared" si="162"/>
        <v>0</v>
      </c>
      <c r="Z393" s="62">
        <f t="shared" si="162"/>
        <v>0</v>
      </c>
      <c r="AA393" s="62">
        <f t="shared" si="162"/>
        <v>0</v>
      </c>
      <c r="AB393" s="62">
        <f t="shared" si="162"/>
        <v>0</v>
      </c>
      <c r="AC393" s="62">
        <f>SUM(AC386:AC392)</f>
        <v>0</v>
      </c>
      <c r="AD393" s="62">
        <f>SUM(AD386:AD392)</f>
        <v>0</v>
      </c>
      <c r="AE393" s="62">
        <f>SUM(AE386:AE392)</f>
        <v>0</v>
      </c>
      <c r="AF393" s="63">
        <f>SUM(H393:AE393)</f>
        <v>336458</v>
      </c>
      <c r="AG393" s="58" t="str">
        <f>IF(ABS(AF393-F393)&lt;1,"ok","err")</f>
        <v>ok</v>
      </c>
    </row>
    <row r="394" spans="1:33">
      <c r="A394" s="60"/>
      <c r="B394" s="60"/>
      <c r="F394" s="76"/>
      <c r="W394" s="44"/>
      <c r="AG394" s="58"/>
    </row>
    <row r="395" spans="1:33" ht="15">
      <c r="A395" s="65" t="s">
        <v>321</v>
      </c>
      <c r="B395" s="60"/>
      <c r="F395" s="76"/>
      <c r="W395" s="44"/>
      <c r="AG395" s="58"/>
    </row>
    <row r="396" spans="1:33">
      <c r="A396" s="70">
        <v>541</v>
      </c>
      <c r="B396" s="60" t="s">
        <v>224</v>
      </c>
      <c r="C396" s="44" t="s">
        <v>604</v>
      </c>
      <c r="D396" s="44" t="s">
        <v>657</v>
      </c>
      <c r="F396" s="76">
        <v>0</v>
      </c>
      <c r="H396" s="63">
        <f t="shared" ref="H396:Q400" si="163">IF(VLOOKUP($D396,$C$6:$AE$653,H$2,)=0,0,((VLOOKUP($D396,$C$6:$AE$653,H$2,)/VLOOKUP($D396,$C$6:$AE$653,4,))*$F396))</f>
        <v>0</v>
      </c>
      <c r="I396" s="63">
        <f t="shared" si="163"/>
        <v>0</v>
      </c>
      <c r="J396" s="63">
        <f t="shared" si="163"/>
        <v>0</v>
      </c>
      <c r="K396" s="63">
        <f t="shared" si="163"/>
        <v>0</v>
      </c>
      <c r="L396" s="63">
        <f t="shared" si="163"/>
        <v>0</v>
      </c>
      <c r="M396" s="63">
        <f t="shared" si="163"/>
        <v>0</v>
      </c>
      <c r="N396" s="63">
        <f t="shared" si="163"/>
        <v>0</v>
      </c>
      <c r="O396" s="63">
        <f t="shared" si="163"/>
        <v>0</v>
      </c>
      <c r="P396" s="63">
        <f t="shared" si="163"/>
        <v>0</v>
      </c>
      <c r="Q396" s="63">
        <f t="shared" si="163"/>
        <v>0</v>
      </c>
      <c r="R396" s="63">
        <f t="shared" ref="R396:AE400" si="164">IF(VLOOKUP($D396,$C$6:$AE$653,R$2,)=0,0,((VLOOKUP($D396,$C$6:$AE$653,R$2,)/VLOOKUP($D396,$C$6:$AE$653,4,))*$F396))</f>
        <v>0</v>
      </c>
      <c r="S396" s="63">
        <f t="shared" si="164"/>
        <v>0</v>
      </c>
      <c r="T396" s="63">
        <f t="shared" si="164"/>
        <v>0</v>
      </c>
      <c r="U396" s="63">
        <f t="shared" si="164"/>
        <v>0</v>
      </c>
      <c r="V396" s="63">
        <f t="shared" si="164"/>
        <v>0</v>
      </c>
      <c r="W396" s="63">
        <f t="shared" si="164"/>
        <v>0</v>
      </c>
      <c r="X396" s="63">
        <f t="shared" si="164"/>
        <v>0</v>
      </c>
      <c r="Y396" s="63">
        <f t="shared" si="164"/>
        <v>0</v>
      </c>
      <c r="Z396" s="63">
        <f t="shared" si="164"/>
        <v>0</v>
      </c>
      <c r="AA396" s="63">
        <f t="shared" si="164"/>
        <v>0</v>
      </c>
      <c r="AB396" s="63">
        <f t="shared" si="164"/>
        <v>0</v>
      </c>
      <c r="AC396" s="63">
        <f t="shared" si="164"/>
        <v>0</v>
      </c>
      <c r="AD396" s="63">
        <f t="shared" si="164"/>
        <v>0</v>
      </c>
      <c r="AE396" s="63">
        <f t="shared" si="164"/>
        <v>0</v>
      </c>
      <c r="AF396" s="63">
        <f>SUM(H396:AE396)</f>
        <v>0</v>
      </c>
      <c r="AG396" s="58" t="str">
        <f>IF(ABS(AF396-F396)&lt;1,"ok","err")</f>
        <v>ok</v>
      </c>
    </row>
    <row r="397" spans="1:33">
      <c r="A397" s="70">
        <v>542</v>
      </c>
      <c r="B397" s="60" t="s">
        <v>223</v>
      </c>
      <c r="C397" s="44" t="s">
        <v>605</v>
      </c>
      <c r="D397" s="44" t="s">
        <v>646</v>
      </c>
      <c r="F397" s="79">
        <v>46873</v>
      </c>
      <c r="H397" s="63">
        <f t="shared" si="163"/>
        <v>16114.998566882481</v>
      </c>
      <c r="I397" s="63">
        <f t="shared" si="163"/>
        <v>16881.480986728737</v>
      </c>
      <c r="J397" s="63">
        <f t="shared" si="163"/>
        <v>13876.520446388782</v>
      </c>
      <c r="K397" s="63">
        <f t="shared" si="163"/>
        <v>0</v>
      </c>
      <c r="L397" s="63">
        <f t="shared" si="163"/>
        <v>0</v>
      </c>
      <c r="M397" s="63">
        <f t="shared" si="163"/>
        <v>0</v>
      </c>
      <c r="N397" s="63">
        <f t="shared" si="163"/>
        <v>0</v>
      </c>
      <c r="O397" s="63">
        <f t="shared" si="163"/>
        <v>0</v>
      </c>
      <c r="P397" s="63">
        <f t="shared" si="163"/>
        <v>0</v>
      </c>
      <c r="Q397" s="63">
        <f t="shared" si="163"/>
        <v>0</v>
      </c>
      <c r="R397" s="63">
        <f t="shared" si="164"/>
        <v>0</v>
      </c>
      <c r="S397" s="63">
        <f t="shared" si="164"/>
        <v>0</v>
      </c>
      <c r="T397" s="63">
        <f t="shared" si="164"/>
        <v>0</v>
      </c>
      <c r="U397" s="63">
        <f t="shared" si="164"/>
        <v>0</v>
      </c>
      <c r="V397" s="63">
        <f t="shared" si="164"/>
        <v>0</v>
      </c>
      <c r="W397" s="63">
        <f t="shared" si="164"/>
        <v>0</v>
      </c>
      <c r="X397" s="63">
        <f t="shared" si="164"/>
        <v>0</v>
      </c>
      <c r="Y397" s="63">
        <f t="shared" si="164"/>
        <v>0</v>
      </c>
      <c r="Z397" s="63">
        <f t="shared" si="164"/>
        <v>0</v>
      </c>
      <c r="AA397" s="63">
        <f t="shared" si="164"/>
        <v>0</v>
      </c>
      <c r="AB397" s="63">
        <f t="shared" si="164"/>
        <v>0</v>
      </c>
      <c r="AC397" s="63">
        <f t="shared" si="164"/>
        <v>0</v>
      </c>
      <c r="AD397" s="63">
        <f t="shared" si="164"/>
        <v>0</v>
      </c>
      <c r="AE397" s="63">
        <f t="shared" si="164"/>
        <v>0</v>
      </c>
      <c r="AF397" s="63">
        <f>SUM(H397:AE397)</f>
        <v>46873</v>
      </c>
      <c r="AG397" s="58" t="str">
        <f>IF(ABS(AF397-F397)&lt;1,"ok","err")</f>
        <v>ok</v>
      </c>
    </row>
    <row r="398" spans="1:33">
      <c r="A398" s="70">
        <v>543</v>
      </c>
      <c r="B398" s="60" t="s">
        <v>322</v>
      </c>
      <c r="C398" s="44" t="s">
        <v>606</v>
      </c>
      <c r="D398" s="44" t="s">
        <v>646</v>
      </c>
      <c r="F398" s="79">
        <v>46873</v>
      </c>
      <c r="H398" s="63">
        <f t="shared" si="163"/>
        <v>16114.998566882481</v>
      </c>
      <c r="I398" s="63">
        <f t="shared" si="163"/>
        <v>16881.480986728737</v>
      </c>
      <c r="J398" s="63">
        <f t="shared" si="163"/>
        <v>13876.520446388782</v>
      </c>
      <c r="K398" s="63">
        <f t="shared" si="163"/>
        <v>0</v>
      </c>
      <c r="L398" s="63">
        <f t="shared" si="163"/>
        <v>0</v>
      </c>
      <c r="M398" s="63">
        <f t="shared" si="163"/>
        <v>0</v>
      </c>
      <c r="N398" s="63">
        <f t="shared" si="163"/>
        <v>0</v>
      </c>
      <c r="O398" s="63">
        <f t="shared" si="163"/>
        <v>0</v>
      </c>
      <c r="P398" s="63">
        <f t="shared" si="163"/>
        <v>0</v>
      </c>
      <c r="Q398" s="63">
        <f t="shared" si="163"/>
        <v>0</v>
      </c>
      <c r="R398" s="63">
        <f t="shared" si="164"/>
        <v>0</v>
      </c>
      <c r="S398" s="63">
        <f t="shared" si="164"/>
        <v>0</v>
      </c>
      <c r="T398" s="63">
        <f t="shared" si="164"/>
        <v>0</v>
      </c>
      <c r="U398" s="63">
        <f t="shared" si="164"/>
        <v>0</v>
      </c>
      <c r="V398" s="63">
        <f t="shared" si="164"/>
        <v>0</v>
      </c>
      <c r="W398" s="63">
        <f t="shared" si="164"/>
        <v>0</v>
      </c>
      <c r="X398" s="63">
        <f t="shared" si="164"/>
        <v>0</v>
      </c>
      <c r="Y398" s="63">
        <f t="shared" si="164"/>
        <v>0</v>
      </c>
      <c r="Z398" s="63">
        <f t="shared" si="164"/>
        <v>0</v>
      </c>
      <c r="AA398" s="63">
        <f t="shared" si="164"/>
        <v>0</v>
      </c>
      <c r="AB398" s="63">
        <f t="shared" si="164"/>
        <v>0</v>
      </c>
      <c r="AC398" s="63">
        <f t="shared" si="164"/>
        <v>0</v>
      </c>
      <c r="AD398" s="63">
        <f t="shared" si="164"/>
        <v>0</v>
      </c>
      <c r="AE398" s="63">
        <f t="shared" si="164"/>
        <v>0</v>
      </c>
      <c r="AF398" s="63">
        <f>SUM(H398:AE398)</f>
        <v>46873</v>
      </c>
      <c r="AG398" s="58" t="str">
        <f>IF(ABS(AF398-F398)&lt;1,"ok","err")</f>
        <v>ok</v>
      </c>
    </row>
    <row r="399" spans="1:33">
      <c r="A399" s="60">
        <v>544</v>
      </c>
      <c r="B399" s="60" t="s">
        <v>227</v>
      </c>
      <c r="C399" s="44" t="s">
        <v>607</v>
      </c>
      <c r="D399" s="44" t="s">
        <v>930</v>
      </c>
      <c r="F399" s="79">
        <v>151040</v>
      </c>
      <c r="H399" s="63">
        <f t="shared" si="163"/>
        <v>0</v>
      </c>
      <c r="I399" s="63">
        <f t="shared" si="163"/>
        <v>0</v>
      </c>
      <c r="J399" s="63">
        <f t="shared" si="163"/>
        <v>0</v>
      </c>
      <c r="K399" s="63">
        <f t="shared" si="163"/>
        <v>151040</v>
      </c>
      <c r="L399" s="63">
        <f t="shared" si="163"/>
        <v>0</v>
      </c>
      <c r="M399" s="63">
        <f t="shared" si="163"/>
        <v>0</v>
      </c>
      <c r="N399" s="63">
        <f t="shared" si="163"/>
        <v>0</v>
      </c>
      <c r="O399" s="63">
        <f t="shared" si="163"/>
        <v>0</v>
      </c>
      <c r="P399" s="63">
        <f t="shared" si="163"/>
        <v>0</v>
      </c>
      <c r="Q399" s="63">
        <f t="shared" si="163"/>
        <v>0</v>
      </c>
      <c r="R399" s="63">
        <f t="shared" si="164"/>
        <v>0</v>
      </c>
      <c r="S399" s="63">
        <f t="shared" si="164"/>
        <v>0</v>
      </c>
      <c r="T399" s="63">
        <f t="shared" si="164"/>
        <v>0</v>
      </c>
      <c r="U399" s="63">
        <f t="shared" si="164"/>
        <v>0</v>
      </c>
      <c r="V399" s="63">
        <f t="shared" si="164"/>
        <v>0</v>
      </c>
      <c r="W399" s="63">
        <f t="shared" si="164"/>
        <v>0</v>
      </c>
      <c r="X399" s="63">
        <f t="shared" si="164"/>
        <v>0</v>
      </c>
      <c r="Y399" s="63">
        <f t="shared" si="164"/>
        <v>0</v>
      </c>
      <c r="Z399" s="63">
        <f t="shared" si="164"/>
        <v>0</v>
      </c>
      <c r="AA399" s="63">
        <f t="shared" si="164"/>
        <v>0</v>
      </c>
      <c r="AB399" s="63">
        <f t="shared" si="164"/>
        <v>0</v>
      </c>
      <c r="AC399" s="63">
        <f t="shared" si="164"/>
        <v>0</v>
      </c>
      <c r="AD399" s="63">
        <f t="shared" si="164"/>
        <v>0</v>
      </c>
      <c r="AE399" s="63">
        <f t="shared" si="164"/>
        <v>0</v>
      </c>
      <c r="AF399" s="63">
        <f>SUM(H399:AE399)</f>
        <v>151040</v>
      </c>
      <c r="AG399" s="58" t="str">
        <f>IF(ABS(AF399-F399)&lt;1,"ok","err")</f>
        <v>ok</v>
      </c>
    </row>
    <row r="400" spans="1:33">
      <c r="A400" s="60">
        <v>545</v>
      </c>
      <c r="B400" s="60" t="s">
        <v>329</v>
      </c>
      <c r="C400" s="44" t="s">
        <v>608</v>
      </c>
      <c r="D400" s="44" t="s">
        <v>930</v>
      </c>
      <c r="F400" s="79">
        <v>0</v>
      </c>
      <c r="H400" s="63">
        <f t="shared" si="163"/>
        <v>0</v>
      </c>
      <c r="I400" s="63">
        <f t="shared" si="163"/>
        <v>0</v>
      </c>
      <c r="J400" s="63">
        <f t="shared" si="163"/>
        <v>0</v>
      </c>
      <c r="K400" s="63">
        <f t="shared" si="163"/>
        <v>0</v>
      </c>
      <c r="L400" s="63">
        <f t="shared" si="163"/>
        <v>0</v>
      </c>
      <c r="M400" s="63">
        <f t="shared" si="163"/>
        <v>0</v>
      </c>
      <c r="N400" s="63">
        <f t="shared" si="163"/>
        <v>0</v>
      </c>
      <c r="O400" s="63">
        <f t="shared" si="163"/>
        <v>0</v>
      </c>
      <c r="P400" s="63">
        <f t="shared" si="163"/>
        <v>0</v>
      </c>
      <c r="Q400" s="63">
        <f t="shared" si="163"/>
        <v>0</v>
      </c>
      <c r="R400" s="63">
        <f t="shared" si="164"/>
        <v>0</v>
      </c>
      <c r="S400" s="63">
        <f t="shared" si="164"/>
        <v>0</v>
      </c>
      <c r="T400" s="63">
        <f t="shared" si="164"/>
        <v>0</v>
      </c>
      <c r="U400" s="63">
        <f t="shared" si="164"/>
        <v>0</v>
      </c>
      <c r="V400" s="63">
        <f t="shared" si="164"/>
        <v>0</v>
      </c>
      <c r="W400" s="63">
        <f t="shared" si="164"/>
        <v>0</v>
      </c>
      <c r="X400" s="63">
        <f t="shared" si="164"/>
        <v>0</v>
      </c>
      <c r="Y400" s="63">
        <f t="shared" si="164"/>
        <v>0</v>
      </c>
      <c r="Z400" s="63">
        <f t="shared" si="164"/>
        <v>0</v>
      </c>
      <c r="AA400" s="63">
        <f t="shared" si="164"/>
        <v>0</v>
      </c>
      <c r="AB400" s="63">
        <f t="shared" si="164"/>
        <v>0</v>
      </c>
      <c r="AC400" s="63">
        <f t="shared" si="164"/>
        <v>0</v>
      </c>
      <c r="AD400" s="63">
        <f t="shared" si="164"/>
        <v>0</v>
      </c>
      <c r="AE400" s="63">
        <f t="shared" si="164"/>
        <v>0</v>
      </c>
      <c r="AF400" s="63">
        <f>SUM(H400:AE400)</f>
        <v>0</v>
      </c>
      <c r="AG400" s="58" t="str">
        <f>IF(ABS(AF400-F400)&lt;1,"ok","err")</f>
        <v>ok</v>
      </c>
    </row>
    <row r="401" spans="1:33">
      <c r="A401" s="60"/>
      <c r="B401" s="60"/>
      <c r="F401" s="76"/>
      <c r="W401" s="44"/>
      <c r="AG401" s="58"/>
    </row>
    <row r="402" spans="1:33">
      <c r="A402" s="60"/>
      <c r="B402" s="60" t="s">
        <v>325</v>
      </c>
      <c r="C402" s="44" t="s">
        <v>653</v>
      </c>
      <c r="F402" s="76">
        <f>SUM(F396:F401)</f>
        <v>244786</v>
      </c>
      <c r="H402" s="62">
        <f t="shared" ref="H402:M402" si="165">SUM(H396:H401)</f>
        <v>32229.997133764962</v>
      </c>
      <c r="I402" s="62">
        <f t="shared" si="165"/>
        <v>33762.961973457474</v>
      </c>
      <c r="J402" s="62">
        <f t="shared" si="165"/>
        <v>27753.040892777564</v>
      </c>
      <c r="K402" s="62">
        <f t="shared" si="165"/>
        <v>151040</v>
      </c>
      <c r="L402" s="62">
        <f t="shared" si="165"/>
        <v>0</v>
      </c>
      <c r="M402" s="62">
        <f t="shared" si="165"/>
        <v>0</v>
      </c>
      <c r="N402" s="62">
        <f>SUM(N396:N401)</f>
        <v>0</v>
      </c>
      <c r="O402" s="62">
        <f>SUM(O396:O401)</f>
        <v>0</v>
      </c>
      <c r="P402" s="62">
        <f>SUM(P396:P401)</f>
        <v>0</v>
      </c>
      <c r="Q402" s="62">
        <f t="shared" ref="Q402:AB402" si="166">SUM(Q396:Q401)</f>
        <v>0</v>
      </c>
      <c r="R402" s="62">
        <f t="shared" si="166"/>
        <v>0</v>
      </c>
      <c r="S402" s="62">
        <f t="shared" si="166"/>
        <v>0</v>
      </c>
      <c r="T402" s="62">
        <f t="shared" si="166"/>
        <v>0</v>
      </c>
      <c r="U402" s="62">
        <f t="shared" si="166"/>
        <v>0</v>
      </c>
      <c r="V402" s="62">
        <f t="shared" si="166"/>
        <v>0</v>
      </c>
      <c r="W402" s="62">
        <f t="shared" si="166"/>
        <v>0</v>
      </c>
      <c r="X402" s="62">
        <f t="shared" si="166"/>
        <v>0</v>
      </c>
      <c r="Y402" s="62">
        <f t="shared" si="166"/>
        <v>0</v>
      </c>
      <c r="Z402" s="62">
        <f t="shared" si="166"/>
        <v>0</v>
      </c>
      <c r="AA402" s="62">
        <f t="shared" si="166"/>
        <v>0</v>
      </c>
      <c r="AB402" s="62">
        <f t="shared" si="166"/>
        <v>0</v>
      </c>
      <c r="AC402" s="62">
        <f>SUM(AC396:AC401)</f>
        <v>0</v>
      </c>
      <c r="AD402" s="62">
        <f>SUM(AD396:AD401)</f>
        <v>0</v>
      </c>
      <c r="AE402" s="62">
        <f>SUM(AE396:AE401)</f>
        <v>0</v>
      </c>
      <c r="AF402" s="63">
        <f>SUM(H402:AE402)</f>
        <v>244786</v>
      </c>
      <c r="AG402" s="58" t="str">
        <f>IF(ABS(AF402-F402)&lt;1,"ok","err")</f>
        <v>ok</v>
      </c>
    </row>
    <row r="403" spans="1:33">
      <c r="A403" s="60"/>
      <c r="B403" s="60"/>
      <c r="F403" s="76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3"/>
      <c r="AG403" s="58"/>
    </row>
    <row r="404" spans="1:33">
      <c r="A404" s="60"/>
      <c r="B404" s="60" t="s">
        <v>324</v>
      </c>
      <c r="F404" s="76">
        <f>F393+F402</f>
        <v>581244</v>
      </c>
      <c r="H404" s="62">
        <f t="shared" ref="H404:M404" si="167">H393+H402</f>
        <v>147904.69659435307</v>
      </c>
      <c r="I404" s="62">
        <f t="shared" si="167"/>
        <v>154939.53121017749</v>
      </c>
      <c r="J404" s="62">
        <f t="shared" si="167"/>
        <v>127359.77219546944</v>
      </c>
      <c r="K404" s="62">
        <f t="shared" si="167"/>
        <v>151040</v>
      </c>
      <c r="L404" s="62">
        <f t="shared" si="167"/>
        <v>0</v>
      </c>
      <c r="M404" s="62">
        <f t="shared" si="167"/>
        <v>0</v>
      </c>
      <c r="N404" s="62">
        <f>N393+N402</f>
        <v>0</v>
      </c>
      <c r="O404" s="62">
        <f>O393+O402</f>
        <v>0</v>
      </c>
      <c r="P404" s="62">
        <f>P393+P402</f>
        <v>0</v>
      </c>
      <c r="Q404" s="62">
        <f t="shared" ref="Q404:AB404" si="168">Q393+Q402</f>
        <v>0</v>
      </c>
      <c r="R404" s="62">
        <f t="shared" si="168"/>
        <v>0</v>
      </c>
      <c r="S404" s="62">
        <f t="shared" si="168"/>
        <v>0</v>
      </c>
      <c r="T404" s="62">
        <f t="shared" si="168"/>
        <v>0</v>
      </c>
      <c r="U404" s="62">
        <f t="shared" si="168"/>
        <v>0</v>
      </c>
      <c r="V404" s="62">
        <f t="shared" si="168"/>
        <v>0</v>
      </c>
      <c r="W404" s="62">
        <f t="shared" si="168"/>
        <v>0</v>
      </c>
      <c r="X404" s="62">
        <f t="shared" si="168"/>
        <v>0</v>
      </c>
      <c r="Y404" s="62">
        <f t="shared" si="168"/>
        <v>0</v>
      </c>
      <c r="Z404" s="62">
        <f t="shared" si="168"/>
        <v>0</v>
      </c>
      <c r="AA404" s="62">
        <f t="shared" si="168"/>
        <v>0</v>
      </c>
      <c r="AB404" s="62">
        <f t="shared" si="168"/>
        <v>0</v>
      </c>
      <c r="AC404" s="62">
        <f>AC393+AC402</f>
        <v>0</v>
      </c>
      <c r="AD404" s="62">
        <f>AD393+AD402</f>
        <v>0</v>
      </c>
      <c r="AE404" s="62">
        <f>AE393+AE402</f>
        <v>0</v>
      </c>
      <c r="AF404" s="63">
        <f>SUM(H404:AE404)</f>
        <v>581244</v>
      </c>
      <c r="AG404" s="58" t="str">
        <f>IF(ABS(AF404-F404)&lt;1,"ok","err")</f>
        <v>ok</v>
      </c>
    </row>
    <row r="405" spans="1:33">
      <c r="A405" s="60"/>
      <c r="B405" s="60"/>
      <c r="F405" s="76"/>
      <c r="W405" s="44"/>
      <c r="AF405" s="63"/>
      <c r="AG405" s="58"/>
    </row>
    <row r="406" spans="1:33" ht="15">
      <c r="A406" s="59" t="s">
        <v>45</v>
      </c>
      <c r="B406" s="60"/>
      <c r="F406" s="76"/>
      <c r="W406" s="44"/>
      <c r="AF406" s="63"/>
      <c r="AG406" s="58"/>
    </row>
    <row r="407" spans="1:33">
      <c r="A407" s="60"/>
      <c r="B407" s="60"/>
      <c r="F407" s="76"/>
      <c r="W407" s="44"/>
      <c r="AF407" s="63"/>
      <c r="AG407" s="58"/>
    </row>
    <row r="408" spans="1:33" ht="15">
      <c r="A408" s="65" t="s">
        <v>234</v>
      </c>
      <c r="B408" s="60"/>
      <c r="F408" s="76"/>
      <c r="W408" s="44"/>
      <c r="AF408" s="63"/>
      <c r="AG408" s="58"/>
    </row>
    <row r="409" spans="1:33">
      <c r="A409" s="60">
        <v>546</v>
      </c>
      <c r="B409" s="60" t="s">
        <v>209</v>
      </c>
      <c r="C409" s="44" t="s">
        <v>293</v>
      </c>
      <c r="D409" s="44" t="s">
        <v>646</v>
      </c>
      <c r="F409" s="76">
        <v>468874</v>
      </c>
      <c r="H409" s="63">
        <f t="shared" ref="H409:Q413" si="169">IF(VLOOKUP($D409,$C$6:$AE$653,H$2,)=0,0,((VLOOKUP($D409,$C$6:$AE$653,H$2,)/VLOOKUP($D409,$C$6:$AE$653,4,))*$F409))</f>
        <v>161199.4930567375</v>
      </c>
      <c r="I409" s="63">
        <f t="shared" si="169"/>
        <v>168866.67198966249</v>
      </c>
      <c r="J409" s="63">
        <f t="shared" si="169"/>
        <v>138807.83495360002</v>
      </c>
      <c r="K409" s="63">
        <f t="shared" si="169"/>
        <v>0</v>
      </c>
      <c r="L409" s="63">
        <f t="shared" si="169"/>
        <v>0</v>
      </c>
      <c r="M409" s="63">
        <f t="shared" si="169"/>
        <v>0</v>
      </c>
      <c r="N409" s="63">
        <f t="shared" si="169"/>
        <v>0</v>
      </c>
      <c r="O409" s="63">
        <f t="shared" si="169"/>
        <v>0</v>
      </c>
      <c r="P409" s="63">
        <f t="shared" si="169"/>
        <v>0</v>
      </c>
      <c r="Q409" s="63">
        <f t="shared" si="169"/>
        <v>0</v>
      </c>
      <c r="R409" s="63">
        <f t="shared" ref="R409:AE413" si="170">IF(VLOOKUP($D409,$C$6:$AE$653,R$2,)=0,0,((VLOOKUP($D409,$C$6:$AE$653,R$2,)/VLOOKUP($D409,$C$6:$AE$653,4,))*$F409))</f>
        <v>0</v>
      </c>
      <c r="S409" s="63">
        <f t="shared" si="170"/>
        <v>0</v>
      </c>
      <c r="T409" s="63">
        <f t="shared" si="170"/>
        <v>0</v>
      </c>
      <c r="U409" s="63">
        <f t="shared" si="170"/>
        <v>0</v>
      </c>
      <c r="V409" s="63">
        <f t="shared" si="170"/>
        <v>0</v>
      </c>
      <c r="W409" s="63">
        <f t="shared" si="170"/>
        <v>0</v>
      </c>
      <c r="X409" s="63">
        <f t="shared" si="170"/>
        <v>0</v>
      </c>
      <c r="Y409" s="63">
        <f t="shared" si="170"/>
        <v>0</v>
      </c>
      <c r="Z409" s="63">
        <f t="shared" si="170"/>
        <v>0</v>
      </c>
      <c r="AA409" s="63">
        <f t="shared" si="170"/>
        <v>0</v>
      </c>
      <c r="AB409" s="63">
        <f t="shared" si="170"/>
        <v>0</v>
      </c>
      <c r="AC409" s="63">
        <f t="shared" si="170"/>
        <v>0</v>
      </c>
      <c r="AD409" s="63">
        <f t="shared" si="170"/>
        <v>0</v>
      </c>
      <c r="AE409" s="63">
        <f t="shared" si="170"/>
        <v>0</v>
      </c>
      <c r="AF409" s="63">
        <f t="shared" ref="AF409:AF415" si="171">SUM(H409:AE409)</f>
        <v>468874</v>
      </c>
      <c r="AG409" s="58" t="str">
        <f>IF(ABS(AF409-F409)&lt;1,"ok","err")</f>
        <v>ok</v>
      </c>
    </row>
    <row r="410" spans="1:33">
      <c r="A410" s="60">
        <v>547</v>
      </c>
      <c r="B410" s="60" t="s">
        <v>211</v>
      </c>
      <c r="C410" s="44" t="s">
        <v>294</v>
      </c>
      <c r="D410" s="44" t="s">
        <v>930</v>
      </c>
      <c r="F410" s="79">
        <v>0</v>
      </c>
      <c r="H410" s="63">
        <f t="shared" si="169"/>
        <v>0</v>
      </c>
      <c r="I410" s="63">
        <f t="shared" si="169"/>
        <v>0</v>
      </c>
      <c r="J410" s="63">
        <f t="shared" si="169"/>
        <v>0</v>
      </c>
      <c r="K410" s="63">
        <f t="shared" si="169"/>
        <v>0</v>
      </c>
      <c r="L410" s="63">
        <f t="shared" si="169"/>
        <v>0</v>
      </c>
      <c r="M410" s="63">
        <f t="shared" si="169"/>
        <v>0</v>
      </c>
      <c r="N410" s="63">
        <f t="shared" si="169"/>
        <v>0</v>
      </c>
      <c r="O410" s="63">
        <f t="shared" si="169"/>
        <v>0</v>
      </c>
      <c r="P410" s="63">
        <f t="shared" si="169"/>
        <v>0</v>
      </c>
      <c r="Q410" s="63">
        <f t="shared" si="169"/>
        <v>0</v>
      </c>
      <c r="R410" s="63">
        <f t="shared" si="170"/>
        <v>0</v>
      </c>
      <c r="S410" s="63">
        <f t="shared" si="170"/>
        <v>0</v>
      </c>
      <c r="T410" s="63">
        <f t="shared" si="170"/>
        <v>0</v>
      </c>
      <c r="U410" s="63">
        <f t="shared" si="170"/>
        <v>0</v>
      </c>
      <c r="V410" s="63">
        <f t="shared" si="170"/>
        <v>0</v>
      </c>
      <c r="W410" s="63">
        <f t="shared" si="170"/>
        <v>0</v>
      </c>
      <c r="X410" s="63">
        <f t="shared" si="170"/>
        <v>0</v>
      </c>
      <c r="Y410" s="63">
        <f t="shared" si="170"/>
        <v>0</v>
      </c>
      <c r="Z410" s="63">
        <f t="shared" si="170"/>
        <v>0</v>
      </c>
      <c r="AA410" s="63">
        <f t="shared" si="170"/>
        <v>0</v>
      </c>
      <c r="AB410" s="63">
        <f t="shared" si="170"/>
        <v>0</v>
      </c>
      <c r="AC410" s="63">
        <f t="shared" si="170"/>
        <v>0</v>
      </c>
      <c r="AD410" s="63">
        <f t="shared" si="170"/>
        <v>0</v>
      </c>
      <c r="AE410" s="63">
        <f t="shared" si="170"/>
        <v>0</v>
      </c>
      <c r="AF410" s="63">
        <f t="shared" si="171"/>
        <v>0</v>
      </c>
      <c r="AG410" s="58" t="str">
        <f>IF(ABS(AF410-F410)&lt;1,"ok","err")</f>
        <v>ok</v>
      </c>
    </row>
    <row r="411" spans="1:33">
      <c r="A411" s="60">
        <v>548</v>
      </c>
      <c r="B411" s="60" t="s">
        <v>237</v>
      </c>
      <c r="C411" s="44" t="s">
        <v>295</v>
      </c>
      <c r="D411" s="44" t="s">
        <v>646</v>
      </c>
      <c r="F411" s="79">
        <v>161301</v>
      </c>
      <c r="H411" s="63">
        <f t="shared" si="169"/>
        <v>55455.494289606191</v>
      </c>
      <c r="I411" s="63">
        <f t="shared" si="169"/>
        <v>58093.140286312635</v>
      </c>
      <c r="J411" s="63">
        <f t="shared" si="169"/>
        <v>47752.365424081174</v>
      </c>
      <c r="K411" s="63">
        <f t="shared" si="169"/>
        <v>0</v>
      </c>
      <c r="L411" s="63">
        <f t="shared" si="169"/>
        <v>0</v>
      </c>
      <c r="M411" s="63">
        <f t="shared" si="169"/>
        <v>0</v>
      </c>
      <c r="N411" s="63">
        <f t="shared" si="169"/>
        <v>0</v>
      </c>
      <c r="O411" s="63">
        <f t="shared" si="169"/>
        <v>0</v>
      </c>
      <c r="P411" s="63">
        <f t="shared" si="169"/>
        <v>0</v>
      </c>
      <c r="Q411" s="63">
        <f t="shared" si="169"/>
        <v>0</v>
      </c>
      <c r="R411" s="63">
        <f t="shared" si="170"/>
        <v>0</v>
      </c>
      <c r="S411" s="63">
        <f t="shared" si="170"/>
        <v>0</v>
      </c>
      <c r="T411" s="63">
        <f t="shared" si="170"/>
        <v>0</v>
      </c>
      <c r="U411" s="63">
        <f t="shared" si="170"/>
        <v>0</v>
      </c>
      <c r="V411" s="63">
        <f t="shared" si="170"/>
        <v>0</v>
      </c>
      <c r="W411" s="63">
        <f t="shared" si="170"/>
        <v>0</v>
      </c>
      <c r="X411" s="63">
        <f t="shared" si="170"/>
        <v>0</v>
      </c>
      <c r="Y411" s="63">
        <f t="shared" si="170"/>
        <v>0</v>
      </c>
      <c r="Z411" s="63">
        <f t="shared" si="170"/>
        <v>0</v>
      </c>
      <c r="AA411" s="63">
        <f t="shared" si="170"/>
        <v>0</v>
      </c>
      <c r="AB411" s="63">
        <f t="shared" si="170"/>
        <v>0</v>
      </c>
      <c r="AC411" s="63">
        <f t="shared" si="170"/>
        <v>0</v>
      </c>
      <c r="AD411" s="63">
        <f t="shared" si="170"/>
        <v>0</v>
      </c>
      <c r="AE411" s="63">
        <f t="shared" si="170"/>
        <v>0</v>
      </c>
      <c r="AF411" s="63">
        <f t="shared" si="171"/>
        <v>161301</v>
      </c>
      <c r="AG411" s="58" t="str">
        <f>IF(ABS(AF411-F411)&lt;1,"ok","err")</f>
        <v>ok</v>
      </c>
    </row>
    <row r="412" spans="1:33">
      <c r="A412" s="60">
        <v>549</v>
      </c>
      <c r="B412" s="60" t="s">
        <v>239</v>
      </c>
      <c r="C412" s="44" t="s">
        <v>296</v>
      </c>
      <c r="D412" s="44" t="s">
        <v>646</v>
      </c>
      <c r="F412" s="79">
        <v>354300</v>
      </c>
      <c r="H412" s="63">
        <f t="shared" si="169"/>
        <v>121808.8023434912</v>
      </c>
      <c r="I412" s="63">
        <f t="shared" si="169"/>
        <v>127602.43026044827</v>
      </c>
      <c r="J412" s="63">
        <f t="shared" si="169"/>
        <v>104888.76739606053</v>
      </c>
      <c r="K412" s="63">
        <f t="shared" si="169"/>
        <v>0</v>
      </c>
      <c r="L412" s="63">
        <f t="shared" si="169"/>
        <v>0</v>
      </c>
      <c r="M412" s="63">
        <f t="shared" si="169"/>
        <v>0</v>
      </c>
      <c r="N412" s="63">
        <f t="shared" si="169"/>
        <v>0</v>
      </c>
      <c r="O412" s="63">
        <f t="shared" si="169"/>
        <v>0</v>
      </c>
      <c r="P412" s="63">
        <f t="shared" si="169"/>
        <v>0</v>
      </c>
      <c r="Q412" s="63">
        <f t="shared" si="169"/>
        <v>0</v>
      </c>
      <c r="R412" s="63">
        <f t="shared" si="170"/>
        <v>0</v>
      </c>
      <c r="S412" s="63">
        <f t="shared" si="170"/>
        <v>0</v>
      </c>
      <c r="T412" s="63">
        <f t="shared" si="170"/>
        <v>0</v>
      </c>
      <c r="U412" s="63">
        <f t="shared" si="170"/>
        <v>0</v>
      </c>
      <c r="V412" s="63">
        <f t="shared" si="170"/>
        <v>0</v>
      </c>
      <c r="W412" s="63">
        <f t="shared" si="170"/>
        <v>0</v>
      </c>
      <c r="X412" s="63">
        <f t="shared" si="170"/>
        <v>0</v>
      </c>
      <c r="Y412" s="63">
        <f t="shared" si="170"/>
        <v>0</v>
      </c>
      <c r="Z412" s="63">
        <f t="shared" si="170"/>
        <v>0</v>
      </c>
      <c r="AA412" s="63">
        <f t="shared" si="170"/>
        <v>0</v>
      </c>
      <c r="AB412" s="63">
        <f t="shared" si="170"/>
        <v>0</v>
      </c>
      <c r="AC412" s="63">
        <f t="shared" si="170"/>
        <v>0</v>
      </c>
      <c r="AD412" s="63">
        <f t="shared" si="170"/>
        <v>0</v>
      </c>
      <c r="AE412" s="63">
        <f t="shared" si="170"/>
        <v>0</v>
      </c>
      <c r="AF412" s="63">
        <f t="shared" si="171"/>
        <v>354300</v>
      </c>
      <c r="AG412" s="58" t="str">
        <f>IF(ABS(AF412-F412)&lt;1,"ok","err")</f>
        <v>ok</v>
      </c>
    </row>
    <row r="413" spans="1:33">
      <c r="A413" s="60">
        <v>550</v>
      </c>
      <c r="B413" s="60" t="s">
        <v>1004</v>
      </c>
      <c r="C413" s="44" t="s">
        <v>297</v>
      </c>
      <c r="D413" s="44" t="s">
        <v>646</v>
      </c>
      <c r="F413" s="79">
        <v>0</v>
      </c>
      <c r="H413" s="63">
        <f t="shared" si="169"/>
        <v>0</v>
      </c>
      <c r="I413" s="63">
        <f t="shared" si="169"/>
        <v>0</v>
      </c>
      <c r="J413" s="63">
        <f t="shared" si="169"/>
        <v>0</v>
      </c>
      <c r="K413" s="63">
        <f t="shared" si="169"/>
        <v>0</v>
      </c>
      <c r="L413" s="63">
        <f t="shared" si="169"/>
        <v>0</v>
      </c>
      <c r="M413" s="63">
        <f t="shared" si="169"/>
        <v>0</v>
      </c>
      <c r="N413" s="63">
        <f t="shared" si="169"/>
        <v>0</v>
      </c>
      <c r="O413" s="63">
        <f t="shared" si="169"/>
        <v>0</v>
      </c>
      <c r="P413" s="63">
        <f t="shared" si="169"/>
        <v>0</v>
      </c>
      <c r="Q413" s="63">
        <f t="shared" si="169"/>
        <v>0</v>
      </c>
      <c r="R413" s="63">
        <f t="shared" si="170"/>
        <v>0</v>
      </c>
      <c r="S413" s="63">
        <f t="shared" si="170"/>
        <v>0</v>
      </c>
      <c r="T413" s="63">
        <f t="shared" si="170"/>
        <v>0</v>
      </c>
      <c r="U413" s="63">
        <f t="shared" si="170"/>
        <v>0</v>
      </c>
      <c r="V413" s="63">
        <f t="shared" si="170"/>
        <v>0</v>
      </c>
      <c r="W413" s="63">
        <f t="shared" si="170"/>
        <v>0</v>
      </c>
      <c r="X413" s="63">
        <f t="shared" si="170"/>
        <v>0</v>
      </c>
      <c r="Y413" s="63">
        <f t="shared" si="170"/>
        <v>0</v>
      </c>
      <c r="Z413" s="63">
        <f t="shared" si="170"/>
        <v>0</v>
      </c>
      <c r="AA413" s="63">
        <f t="shared" si="170"/>
        <v>0</v>
      </c>
      <c r="AB413" s="63">
        <f t="shared" si="170"/>
        <v>0</v>
      </c>
      <c r="AC413" s="63">
        <f t="shared" si="170"/>
        <v>0</v>
      </c>
      <c r="AD413" s="63">
        <f t="shared" si="170"/>
        <v>0</v>
      </c>
      <c r="AE413" s="63">
        <f t="shared" si="170"/>
        <v>0</v>
      </c>
      <c r="AF413" s="63">
        <f t="shared" si="171"/>
        <v>0</v>
      </c>
      <c r="AG413" s="58" t="str">
        <f>IF(ABS(AF413-F413)&lt;1,"ok","err")</f>
        <v>ok</v>
      </c>
    </row>
    <row r="414" spans="1:33">
      <c r="A414" s="60"/>
      <c r="B414" s="60"/>
      <c r="F414" s="79"/>
      <c r="W414" s="44"/>
      <c r="AF414" s="63"/>
      <c r="AG414" s="58"/>
    </row>
    <row r="415" spans="1:33">
      <c r="A415" s="60"/>
      <c r="B415" s="60" t="s">
        <v>242</v>
      </c>
      <c r="C415" s="44" t="s">
        <v>654</v>
      </c>
      <c r="F415" s="76">
        <f>SUM(F409:F414)</f>
        <v>984475</v>
      </c>
      <c r="H415" s="62">
        <f t="shared" ref="H415:M415" si="172">SUM(H409:H414)</f>
        <v>338463.78968983493</v>
      </c>
      <c r="I415" s="62">
        <f t="shared" si="172"/>
        <v>354562.24253642338</v>
      </c>
      <c r="J415" s="62">
        <f t="shared" si="172"/>
        <v>291448.96777374169</v>
      </c>
      <c r="K415" s="62">
        <f t="shared" si="172"/>
        <v>0</v>
      </c>
      <c r="L415" s="62">
        <f t="shared" si="172"/>
        <v>0</v>
      </c>
      <c r="M415" s="62">
        <f t="shared" si="172"/>
        <v>0</v>
      </c>
      <c r="N415" s="62">
        <f>SUM(N409:N414)</f>
        <v>0</v>
      </c>
      <c r="O415" s="62">
        <f>SUM(O409:O414)</f>
        <v>0</v>
      </c>
      <c r="P415" s="62">
        <f>SUM(P409:P414)</f>
        <v>0</v>
      </c>
      <c r="Q415" s="62">
        <f t="shared" ref="Q415:AB415" si="173">SUM(Q409:Q414)</f>
        <v>0</v>
      </c>
      <c r="R415" s="62">
        <f t="shared" si="173"/>
        <v>0</v>
      </c>
      <c r="S415" s="62">
        <f t="shared" si="173"/>
        <v>0</v>
      </c>
      <c r="T415" s="62">
        <f t="shared" si="173"/>
        <v>0</v>
      </c>
      <c r="U415" s="62">
        <f t="shared" si="173"/>
        <v>0</v>
      </c>
      <c r="V415" s="62">
        <f t="shared" si="173"/>
        <v>0</v>
      </c>
      <c r="W415" s="62">
        <f t="shared" si="173"/>
        <v>0</v>
      </c>
      <c r="X415" s="62">
        <f t="shared" si="173"/>
        <v>0</v>
      </c>
      <c r="Y415" s="62">
        <f t="shared" si="173"/>
        <v>0</v>
      </c>
      <c r="Z415" s="62">
        <f t="shared" si="173"/>
        <v>0</v>
      </c>
      <c r="AA415" s="62">
        <f t="shared" si="173"/>
        <v>0</v>
      </c>
      <c r="AB415" s="62">
        <f t="shared" si="173"/>
        <v>0</v>
      </c>
      <c r="AC415" s="62">
        <f>SUM(AC409:AC414)</f>
        <v>0</v>
      </c>
      <c r="AD415" s="62">
        <f>SUM(AD409:AD414)</f>
        <v>0</v>
      </c>
      <c r="AE415" s="62">
        <f>SUM(AE409:AE414)</f>
        <v>0</v>
      </c>
      <c r="AF415" s="63">
        <f t="shared" si="171"/>
        <v>984475</v>
      </c>
      <c r="AG415" s="58" t="str">
        <f>IF(ABS(AF415-F415)&lt;1,"ok","err")</f>
        <v>ok</v>
      </c>
    </row>
    <row r="416" spans="1:33">
      <c r="A416" s="60"/>
      <c r="B416" s="60"/>
      <c r="F416" s="76"/>
      <c r="W416" s="44"/>
      <c r="AF416" s="63"/>
      <c r="AG416" s="58"/>
    </row>
    <row r="417" spans="1:33" ht="15">
      <c r="A417" s="65" t="s">
        <v>243</v>
      </c>
      <c r="B417" s="60"/>
      <c r="F417" s="76"/>
      <c r="W417" s="44"/>
      <c r="AF417" s="63"/>
      <c r="AG417" s="58"/>
    </row>
    <row r="418" spans="1:33">
      <c r="A418" s="60">
        <v>551</v>
      </c>
      <c r="B418" s="60" t="s">
        <v>224</v>
      </c>
      <c r="C418" s="44" t="s">
        <v>298</v>
      </c>
      <c r="D418" s="44" t="s">
        <v>646</v>
      </c>
      <c r="F418" s="76">
        <v>230613</v>
      </c>
      <c r="H418" s="63">
        <f t="shared" ref="H418:Q421" si="174">IF(VLOOKUP($D418,$C$6:$AE$653,H$2,)=0,0,((VLOOKUP($D418,$C$6:$AE$653,H$2,)/VLOOKUP($D418,$C$6:$AE$653,4,))*$F418))</f>
        <v>79285.05033824312</v>
      </c>
      <c r="I418" s="63">
        <f t="shared" si="174"/>
        <v>83056.108522869763</v>
      </c>
      <c r="J418" s="63">
        <f t="shared" si="174"/>
        <v>68271.841138887117</v>
      </c>
      <c r="K418" s="63">
        <f t="shared" si="174"/>
        <v>0</v>
      </c>
      <c r="L418" s="63">
        <f t="shared" si="174"/>
        <v>0</v>
      </c>
      <c r="M418" s="63">
        <f t="shared" si="174"/>
        <v>0</v>
      </c>
      <c r="N418" s="63">
        <f t="shared" si="174"/>
        <v>0</v>
      </c>
      <c r="O418" s="63">
        <f t="shared" si="174"/>
        <v>0</v>
      </c>
      <c r="P418" s="63">
        <f t="shared" si="174"/>
        <v>0</v>
      </c>
      <c r="Q418" s="63">
        <f t="shared" si="174"/>
        <v>0</v>
      </c>
      <c r="R418" s="63">
        <f t="shared" ref="R418:AE421" si="175">IF(VLOOKUP($D418,$C$6:$AE$653,R$2,)=0,0,((VLOOKUP($D418,$C$6:$AE$653,R$2,)/VLOOKUP($D418,$C$6:$AE$653,4,))*$F418))</f>
        <v>0</v>
      </c>
      <c r="S418" s="63">
        <f t="shared" si="175"/>
        <v>0</v>
      </c>
      <c r="T418" s="63">
        <f t="shared" si="175"/>
        <v>0</v>
      </c>
      <c r="U418" s="63">
        <f t="shared" si="175"/>
        <v>0</v>
      </c>
      <c r="V418" s="63">
        <f t="shared" si="175"/>
        <v>0</v>
      </c>
      <c r="W418" s="63">
        <f t="shared" si="175"/>
        <v>0</v>
      </c>
      <c r="X418" s="63">
        <f t="shared" si="175"/>
        <v>0</v>
      </c>
      <c r="Y418" s="63">
        <f t="shared" si="175"/>
        <v>0</v>
      </c>
      <c r="Z418" s="63">
        <f t="shared" si="175"/>
        <v>0</v>
      </c>
      <c r="AA418" s="63">
        <f t="shared" si="175"/>
        <v>0</v>
      </c>
      <c r="AB418" s="63">
        <f t="shared" si="175"/>
        <v>0</v>
      </c>
      <c r="AC418" s="63">
        <f t="shared" si="175"/>
        <v>0</v>
      </c>
      <c r="AD418" s="63">
        <f t="shared" si="175"/>
        <v>0</v>
      </c>
      <c r="AE418" s="63">
        <f t="shared" si="175"/>
        <v>0</v>
      </c>
      <c r="AF418" s="63">
        <f t="shared" ref="AF418:AF425" si="176">SUM(H418:AE418)</f>
        <v>230613</v>
      </c>
      <c r="AG418" s="58" t="str">
        <f>IF(ABS(AF418-F418)&lt;1,"ok","err")</f>
        <v>ok</v>
      </c>
    </row>
    <row r="419" spans="1:33">
      <c r="A419" s="60">
        <v>552</v>
      </c>
      <c r="B419" s="60" t="s">
        <v>223</v>
      </c>
      <c r="C419" s="44" t="s">
        <v>299</v>
      </c>
      <c r="D419" s="44" t="s">
        <v>646</v>
      </c>
      <c r="F419" s="79">
        <v>0</v>
      </c>
      <c r="H419" s="63">
        <f t="shared" si="174"/>
        <v>0</v>
      </c>
      <c r="I419" s="63">
        <f t="shared" si="174"/>
        <v>0</v>
      </c>
      <c r="J419" s="63">
        <f t="shared" si="174"/>
        <v>0</v>
      </c>
      <c r="K419" s="63">
        <f t="shared" si="174"/>
        <v>0</v>
      </c>
      <c r="L419" s="63">
        <f t="shared" si="174"/>
        <v>0</v>
      </c>
      <c r="M419" s="63">
        <f t="shared" si="174"/>
        <v>0</v>
      </c>
      <c r="N419" s="63">
        <f t="shared" si="174"/>
        <v>0</v>
      </c>
      <c r="O419" s="63">
        <f t="shared" si="174"/>
        <v>0</v>
      </c>
      <c r="P419" s="63">
        <f t="shared" si="174"/>
        <v>0</v>
      </c>
      <c r="Q419" s="63">
        <f t="shared" si="174"/>
        <v>0</v>
      </c>
      <c r="R419" s="63">
        <f t="shared" si="175"/>
        <v>0</v>
      </c>
      <c r="S419" s="63">
        <f t="shared" si="175"/>
        <v>0</v>
      </c>
      <c r="T419" s="63">
        <f t="shared" si="175"/>
        <v>0</v>
      </c>
      <c r="U419" s="63">
        <f t="shared" si="175"/>
        <v>0</v>
      </c>
      <c r="V419" s="63">
        <f t="shared" si="175"/>
        <v>0</v>
      </c>
      <c r="W419" s="63">
        <f t="shared" si="175"/>
        <v>0</v>
      </c>
      <c r="X419" s="63">
        <f t="shared" si="175"/>
        <v>0</v>
      </c>
      <c r="Y419" s="63">
        <f t="shared" si="175"/>
        <v>0</v>
      </c>
      <c r="Z419" s="63">
        <f t="shared" si="175"/>
        <v>0</v>
      </c>
      <c r="AA419" s="63">
        <f t="shared" si="175"/>
        <v>0</v>
      </c>
      <c r="AB419" s="63">
        <f t="shared" si="175"/>
        <v>0</v>
      </c>
      <c r="AC419" s="63">
        <f t="shared" si="175"/>
        <v>0</v>
      </c>
      <c r="AD419" s="63">
        <f t="shared" si="175"/>
        <v>0</v>
      </c>
      <c r="AE419" s="63">
        <f t="shared" si="175"/>
        <v>0</v>
      </c>
      <c r="AF419" s="63">
        <f t="shared" si="176"/>
        <v>0</v>
      </c>
      <c r="AG419" s="58" t="str">
        <f>IF(ABS(AF419-F419)&lt;1,"ok","err")</f>
        <v>ok</v>
      </c>
    </row>
    <row r="420" spans="1:33">
      <c r="A420" s="60">
        <v>553</v>
      </c>
      <c r="B420" s="60" t="s">
        <v>246</v>
      </c>
      <c r="C420" s="44" t="s">
        <v>300</v>
      </c>
      <c r="D420" s="44" t="s">
        <v>646</v>
      </c>
      <c r="F420" s="79">
        <v>606788</v>
      </c>
      <c r="H420" s="63">
        <f t="shared" si="174"/>
        <v>208614.50622749745</v>
      </c>
      <c r="I420" s="63">
        <f t="shared" si="174"/>
        <v>218536.8993871772</v>
      </c>
      <c r="J420" s="63">
        <f t="shared" si="174"/>
        <v>179636.59438532536</v>
      </c>
      <c r="K420" s="63">
        <f t="shared" si="174"/>
        <v>0</v>
      </c>
      <c r="L420" s="63">
        <f t="shared" si="174"/>
        <v>0</v>
      </c>
      <c r="M420" s="63">
        <f t="shared" si="174"/>
        <v>0</v>
      </c>
      <c r="N420" s="63">
        <f t="shared" si="174"/>
        <v>0</v>
      </c>
      <c r="O420" s="63">
        <f t="shared" si="174"/>
        <v>0</v>
      </c>
      <c r="P420" s="63">
        <f t="shared" si="174"/>
        <v>0</v>
      </c>
      <c r="Q420" s="63">
        <f t="shared" si="174"/>
        <v>0</v>
      </c>
      <c r="R420" s="63">
        <f t="shared" si="175"/>
        <v>0</v>
      </c>
      <c r="S420" s="63">
        <f t="shared" si="175"/>
        <v>0</v>
      </c>
      <c r="T420" s="63">
        <f t="shared" si="175"/>
        <v>0</v>
      </c>
      <c r="U420" s="63">
        <f t="shared" si="175"/>
        <v>0</v>
      </c>
      <c r="V420" s="63">
        <f t="shared" si="175"/>
        <v>0</v>
      </c>
      <c r="W420" s="63">
        <f t="shared" si="175"/>
        <v>0</v>
      </c>
      <c r="X420" s="63">
        <f t="shared" si="175"/>
        <v>0</v>
      </c>
      <c r="Y420" s="63">
        <f t="shared" si="175"/>
        <v>0</v>
      </c>
      <c r="Z420" s="63">
        <f t="shared" si="175"/>
        <v>0</v>
      </c>
      <c r="AA420" s="63">
        <f t="shared" si="175"/>
        <v>0</v>
      </c>
      <c r="AB420" s="63">
        <f t="shared" si="175"/>
        <v>0</v>
      </c>
      <c r="AC420" s="63">
        <f t="shared" si="175"/>
        <v>0</v>
      </c>
      <c r="AD420" s="63">
        <f t="shared" si="175"/>
        <v>0</v>
      </c>
      <c r="AE420" s="63">
        <f t="shared" si="175"/>
        <v>0</v>
      </c>
      <c r="AF420" s="63">
        <f t="shared" si="176"/>
        <v>606788</v>
      </c>
      <c r="AG420" s="58" t="str">
        <f>IF(ABS(AF420-F420)&lt;1,"ok","err")</f>
        <v>ok</v>
      </c>
    </row>
    <row r="421" spans="1:33">
      <c r="A421" s="60">
        <v>554</v>
      </c>
      <c r="B421" s="60" t="s">
        <v>248</v>
      </c>
      <c r="C421" s="44" t="s">
        <v>301</v>
      </c>
      <c r="D421" s="44" t="s">
        <v>646</v>
      </c>
      <c r="F421" s="79">
        <v>-160951</v>
      </c>
      <c r="H421" s="63">
        <f t="shared" si="174"/>
        <v>-55335.163832873986</v>
      </c>
      <c r="I421" s="63">
        <f t="shared" si="174"/>
        <v>-57967.086516650888</v>
      </c>
      <c r="J421" s="63">
        <f t="shared" si="174"/>
        <v>-47648.749650475133</v>
      </c>
      <c r="K421" s="63">
        <f t="shared" si="174"/>
        <v>0</v>
      </c>
      <c r="L421" s="63">
        <f t="shared" si="174"/>
        <v>0</v>
      </c>
      <c r="M421" s="63">
        <f t="shared" si="174"/>
        <v>0</v>
      </c>
      <c r="N421" s="63">
        <f t="shared" si="174"/>
        <v>0</v>
      </c>
      <c r="O421" s="63">
        <f t="shared" si="174"/>
        <v>0</v>
      </c>
      <c r="P421" s="63">
        <f t="shared" si="174"/>
        <v>0</v>
      </c>
      <c r="Q421" s="63">
        <f t="shared" si="174"/>
        <v>0</v>
      </c>
      <c r="R421" s="63">
        <f t="shared" si="175"/>
        <v>0</v>
      </c>
      <c r="S421" s="63">
        <f t="shared" si="175"/>
        <v>0</v>
      </c>
      <c r="T421" s="63">
        <f t="shared" si="175"/>
        <v>0</v>
      </c>
      <c r="U421" s="63">
        <f t="shared" si="175"/>
        <v>0</v>
      </c>
      <c r="V421" s="63">
        <f t="shared" si="175"/>
        <v>0</v>
      </c>
      <c r="W421" s="63">
        <f t="shared" si="175"/>
        <v>0</v>
      </c>
      <c r="X421" s="63">
        <f t="shared" si="175"/>
        <v>0</v>
      </c>
      <c r="Y421" s="63">
        <f t="shared" si="175"/>
        <v>0</v>
      </c>
      <c r="Z421" s="63">
        <f t="shared" si="175"/>
        <v>0</v>
      </c>
      <c r="AA421" s="63">
        <f t="shared" si="175"/>
        <v>0</v>
      </c>
      <c r="AB421" s="63">
        <f t="shared" si="175"/>
        <v>0</v>
      </c>
      <c r="AC421" s="63">
        <f t="shared" si="175"/>
        <v>0</v>
      </c>
      <c r="AD421" s="63">
        <f t="shared" si="175"/>
        <v>0</v>
      </c>
      <c r="AE421" s="63">
        <f t="shared" si="175"/>
        <v>0</v>
      </c>
      <c r="AF421" s="63">
        <f t="shared" si="176"/>
        <v>-160951</v>
      </c>
      <c r="AG421" s="58" t="str">
        <f>IF(ABS(AF421-F421)&lt;1,"ok","err")</f>
        <v>ok</v>
      </c>
    </row>
    <row r="422" spans="1:33">
      <c r="A422" s="60"/>
      <c r="B422" s="60"/>
      <c r="F422" s="79"/>
      <c r="W422" s="44"/>
      <c r="AF422" s="63"/>
      <c r="AG422" s="58"/>
    </row>
    <row r="423" spans="1:33">
      <c r="A423" s="60"/>
      <c r="B423" s="60" t="s">
        <v>251</v>
      </c>
      <c r="C423" s="44" t="s">
        <v>655</v>
      </c>
      <c r="F423" s="76">
        <f>SUM(F418:F422)</f>
        <v>676450</v>
      </c>
      <c r="H423" s="62">
        <f t="shared" ref="H423:M423" si="177">SUM(H418:H422)</f>
        <v>232564.39273286657</v>
      </c>
      <c r="I423" s="62">
        <f t="shared" si="177"/>
        <v>243625.92139339607</v>
      </c>
      <c r="J423" s="62">
        <f t="shared" si="177"/>
        <v>200259.68587373735</v>
      </c>
      <c r="K423" s="62">
        <f t="shared" si="177"/>
        <v>0</v>
      </c>
      <c r="L423" s="62">
        <f t="shared" si="177"/>
        <v>0</v>
      </c>
      <c r="M423" s="62">
        <f t="shared" si="177"/>
        <v>0</v>
      </c>
      <c r="N423" s="62">
        <f>SUM(N418:N422)</f>
        <v>0</v>
      </c>
      <c r="O423" s="62">
        <f>SUM(O418:O422)</f>
        <v>0</v>
      </c>
      <c r="P423" s="62">
        <f>SUM(P418:P422)</f>
        <v>0</v>
      </c>
      <c r="Q423" s="62">
        <f t="shared" ref="Q423:AB423" si="178">SUM(Q418:Q422)</f>
        <v>0</v>
      </c>
      <c r="R423" s="62">
        <f t="shared" si="178"/>
        <v>0</v>
      </c>
      <c r="S423" s="62">
        <f t="shared" si="178"/>
        <v>0</v>
      </c>
      <c r="T423" s="62">
        <f t="shared" si="178"/>
        <v>0</v>
      </c>
      <c r="U423" s="62">
        <f t="shared" si="178"/>
        <v>0</v>
      </c>
      <c r="V423" s="62">
        <f t="shared" si="178"/>
        <v>0</v>
      </c>
      <c r="W423" s="62">
        <f t="shared" si="178"/>
        <v>0</v>
      </c>
      <c r="X423" s="62">
        <f t="shared" si="178"/>
        <v>0</v>
      </c>
      <c r="Y423" s="62">
        <f t="shared" si="178"/>
        <v>0</v>
      </c>
      <c r="Z423" s="62">
        <f t="shared" si="178"/>
        <v>0</v>
      </c>
      <c r="AA423" s="62">
        <f t="shared" si="178"/>
        <v>0</v>
      </c>
      <c r="AB423" s="62">
        <f t="shared" si="178"/>
        <v>0</v>
      </c>
      <c r="AC423" s="62">
        <f>SUM(AC418:AC422)</f>
        <v>0</v>
      </c>
      <c r="AD423" s="62">
        <f>SUM(AD418:AD422)</f>
        <v>0</v>
      </c>
      <c r="AE423" s="62">
        <f>SUM(AE418:AE422)</f>
        <v>0</v>
      </c>
      <c r="AF423" s="63">
        <f t="shared" si="176"/>
        <v>676450</v>
      </c>
      <c r="AG423" s="58" t="str">
        <f>IF(ABS(AF423-F423)&lt;1,"ok","err")</f>
        <v>ok</v>
      </c>
    </row>
    <row r="424" spans="1:33">
      <c r="A424" s="60"/>
      <c r="B424" s="60"/>
      <c r="F424" s="76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3"/>
      <c r="AG424" s="58"/>
    </row>
    <row r="425" spans="1:33">
      <c r="A425" s="60"/>
      <c r="B425" s="60" t="s">
        <v>250</v>
      </c>
      <c r="F425" s="76">
        <f>F415+F423</f>
        <v>1660925</v>
      </c>
      <c r="H425" s="62">
        <f t="shared" ref="H425:M425" si="179">H415+H423</f>
        <v>571028.1824227015</v>
      </c>
      <c r="I425" s="62">
        <f t="shared" si="179"/>
        <v>598188.16392981948</v>
      </c>
      <c r="J425" s="62">
        <f t="shared" si="179"/>
        <v>491708.65364747902</v>
      </c>
      <c r="K425" s="62">
        <f t="shared" si="179"/>
        <v>0</v>
      </c>
      <c r="L425" s="62">
        <f t="shared" si="179"/>
        <v>0</v>
      </c>
      <c r="M425" s="62">
        <f t="shared" si="179"/>
        <v>0</v>
      </c>
      <c r="N425" s="62">
        <f>N415+N423</f>
        <v>0</v>
      </c>
      <c r="O425" s="62">
        <f>O415+O423</f>
        <v>0</v>
      </c>
      <c r="P425" s="62">
        <f>P415+P423</f>
        <v>0</v>
      </c>
      <c r="Q425" s="62">
        <f t="shared" ref="Q425:AB425" si="180">Q415+Q423</f>
        <v>0</v>
      </c>
      <c r="R425" s="62">
        <f t="shared" si="180"/>
        <v>0</v>
      </c>
      <c r="S425" s="62">
        <f t="shared" si="180"/>
        <v>0</v>
      </c>
      <c r="T425" s="62">
        <f t="shared" si="180"/>
        <v>0</v>
      </c>
      <c r="U425" s="62">
        <f t="shared" si="180"/>
        <v>0</v>
      </c>
      <c r="V425" s="62">
        <f t="shared" si="180"/>
        <v>0</v>
      </c>
      <c r="W425" s="62">
        <f t="shared" si="180"/>
        <v>0</v>
      </c>
      <c r="X425" s="62">
        <f t="shared" si="180"/>
        <v>0</v>
      </c>
      <c r="Y425" s="62">
        <f t="shared" si="180"/>
        <v>0</v>
      </c>
      <c r="Z425" s="62">
        <f t="shared" si="180"/>
        <v>0</v>
      </c>
      <c r="AA425" s="62">
        <f t="shared" si="180"/>
        <v>0</v>
      </c>
      <c r="AB425" s="62">
        <f t="shared" si="180"/>
        <v>0</v>
      </c>
      <c r="AC425" s="62">
        <f>AC415+AC423</f>
        <v>0</v>
      </c>
      <c r="AD425" s="62">
        <f>AD415+AD423</f>
        <v>0</v>
      </c>
      <c r="AE425" s="62">
        <f>AE415+AE423</f>
        <v>0</v>
      </c>
      <c r="AF425" s="63">
        <f t="shared" si="176"/>
        <v>1660925</v>
      </c>
      <c r="AG425" s="58" t="str">
        <f>IF(ABS(AF425-F425)&lt;1,"ok","err")</f>
        <v>ok</v>
      </c>
    </row>
    <row r="426" spans="1:33">
      <c r="A426" s="60"/>
      <c r="B426" s="60"/>
      <c r="F426" s="76"/>
      <c r="W426" s="44"/>
      <c r="AF426" s="63"/>
      <c r="AG426" s="58"/>
    </row>
    <row r="427" spans="1:33">
      <c r="A427" s="60"/>
      <c r="B427" s="60" t="s">
        <v>341</v>
      </c>
      <c r="C427" s="44" t="s">
        <v>342</v>
      </c>
      <c r="F427" s="76">
        <f>F383+F404+F425</f>
        <v>29961102</v>
      </c>
      <c r="H427" s="62">
        <f t="shared" ref="H427:M427" si="181">H383+H404+H425</f>
        <v>5755855.5862147566</v>
      </c>
      <c r="I427" s="62">
        <f t="shared" si="181"/>
        <v>6029623.0395407528</v>
      </c>
      <c r="J427" s="62">
        <f t="shared" si="181"/>
        <v>4956329.8064891864</v>
      </c>
      <c r="K427" s="62">
        <f t="shared" si="181"/>
        <v>13219293.567755304</v>
      </c>
      <c r="L427" s="62">
        <f t="shared" si="181"/>
        <v>0</v>
      </c>
      <c r="M427" s="62">
        <f t="shared" si="181"/>
        <v>0</v>
      </c>
      <c r="N427" s="62">
        <f>N383+N404+N425</f>
        <v>0</v>
      </c>
      <c r="O427" s="62">
        <f>O383+O404+O425</f>
        <v>0</v>
      </c>
      <c r="P427" s="62">
        <f>P383+P404+P425</f>
        <v>0</v>
      </c>
      <c r="Q427" s="62">
        <f t="shared" ref="Q427:AB427" si="182">Q383+Q404+Q425</f>
        <v>0</v>
      </c>
      <c r="R427" s="62">
        <f t="shared" si="182"/>
        <v>0</v>
      </c>
      <c r="S427" s="62">
        <f t="shared" si="182"/>
        <v>0</v>
      </c>
      <c r="T427" s="62">
        <f t="shared" si="182"/>
        <v>0</v>
      </c>
      <c r="U427" s="62">
        <f t="shared" si="182"/>
        <v>0</v>
      </c>
      <c r="V427" s="62">
        <f t="shared" si="182"/>
        <v>0</v>
      </c>
      <c r="W427" s="62">
        <f t="shared" si="182"/>
        <v>0</v>
      </c>
      <c r="X427" s="62">
        <f t="shared" si="182"/>
        <v>0</v>
      </c>
      <c r="Y427" s="62">
        <f t="shared" si="182"/>
        <v>0</v>
      </c>
      <c r="Z427" s="62">
        <f t="shared" si="182"/>
        <v>0</v>
      </c>
      <c r="AA427" s="62">
        <f t="shared" si="182"/>
        <v>0</v>
      </c>
      <c r="AB427" s="62">
        <f t="shared" si="182"/>
        <v>0</v>
      </c>
      <c r="AC427" s="62">
        <f>AC383+AC404+AC425</f>
        <v>0</v>
      </c>
      <c r="AD427" s="62">
        <f>AD383+AD404+AD425</f>
        <v>0</v>
      </c>
      <c r="AE427" s="62">
        <f>AE383+AE404+AE425</f>
        <v>0</v>
      </c>
      <c r="AF427" s="63">
        <f>SUM(H427:AE427)</f>
        <v>29961102</v>
      </c>
      <c r="AG427" s="58" t="str">
        <f>IF(ABS(AF427-F427)&lt;1,"ok","err")</f>
        <v>ok</v>
      </c>
    </row>
    <row r="428" spans="1:33" ht="15">
      <c r="A428" s="59"/>
      <c r="B428" s="60"/>
      <c r="W428" s="44"/>
      <c r="AG428" s="58"/>
    </row>
    <row r="429" spans="1:33" ht="15">
      <c r="A429" s="65" t="s">
        <v>985</v>
      </c>
      <c r="B429" s="60"/>
      <c r="W429" s="44"/>
      <c r="AG429" s="58"/>
    </row>
    <row r="430" spans="1:33">
      <c r="A430" s="60">
        <v>555</v>
      </c>
      <c r="B430" s="60" t="s">
        <v>1151</v>
      </c>
      <c r="C430" s="44" t="s">
        <v>101</v>
      </c>
      <c r="D430" s="44" t="s">
        <v>986</v>
      </c>
      <c r="F430" s="76">
        <v>0</v>
      </c>
      <c r="G430" s="62"/>
      <c r="H430" s="63">
        <f t="shared" ref="H430:Q432" si="183">IF(VLOOKUP($D430,$C$6:$AE$653,H$2,)=0,0,((VLOOKUP($D430,$C$6:$AE$653,H$2,)/VLOOKUP($D430,$C$6:$AE$653,4,))*$F430))</f>
        <v>0</v>
      </c>
      <c r="I430" s="63">
        <f t="shared" si="183"/>
        <v>0</v>
      </c>
      <c r="J430" s="63">
        <f t="shared" si="183"/>
        <v>0</v>
      </c>
      <c r="K430" s="63">
        <f t="shared" si="183"/>
        <v>0</v>
      </c>
      <c r="L430" s="63">
        <f t="shared" si="183"/>
        <v>0</v>
      </c>
      <c r="M430" s="63">
        <f t="shared" si="183"/>
        <v>0</v>
      </c>
      <c r="N430" s="63">
        <f t="shared" si="183"/>
        <v>0</v>
      </c>
      <c r="O430" s="63">
        <f t="shared" si="183"/>
        <v>0</v>
      </c>
      <c r="P430" s="63">
        <f t="shared" si="183"/>
        <v>0</v>
      </c>
      <c r="Q430" s="63">
        <f t="shared" si="183"/>
        <v>0</v>
      </c>
      <c r="R430" s="63">
        <f t="shared" ref="R430:AE432" si="184">IF(VLOOKUP($D430,$C$6:$AE$653,R$2,)=0,0,((VLOOKUP($D430,$C$6:$AE$653,R$2,)/VLOOKUP($D430,$C$6:$AE$653,4,))*$F430))</f>
        <v>0</v>
      </c>
      <c r="S430" s="63">
        <f t="shared" si="184"/>
        <v>0</v>
      </c>
      <c r="T430" s="63">
        <f t="shared" si="184"/>
        <v>0</v>
      </c>
      <c r="U430" s="63">
        <f t="shared" si="184"/>
        <v>0</v>
      </c>
      <c r="V430" s="63">
        <f t="shared" si="184"/>
        <v>0</v>
      </c>
      <c r="W430" s="63">
        <f t="shared" si="184"/>
        <v>0</v>
      </c>
      <c r="X430" s="63">
        <f t="shared" si="184"/>
        <v>0</v>
      </c>
      <c r="Y430" s="63">
        <f t="shared" si="184"/>
        <v>0</v>
      </c>
      <c r="Z430" s="63">
        <f t="shared" si="184"/>
        <v>0</v>
      </c>
      <c r="AA430" s="63">
        <f t="shared" si="184"/>
        <v>0</v>
      </c>
      <c r="AB430" s="63">
        <f t="shared" si="184"/>
        <v>0</v>
      </c>
      <c r="AC430" s="63">
        <f t="shared" si="184"/>
        <v>0</v>
      </c>
      <c r="AD430" s="63">
        <f t="shared" si="184"/>
        <v>0</v>
      </c>
      <c r="AE430" s="63">
        <f t="shared" si="184"/>
        <v>0</v>
      </c>
      <c r="AF430" s="63">
        <f>SUM(H430:AE430)</f>
        <v>0</v>
      </c>
      <c r="AG430" s="58" t="str">
        <f>IF(ABS(AF430-F430)&lt;1,"ok","err")</f>
        <v>ok</v>
      </c>
    </row>
    <row r="431" spans="1:33">
      <c r="A431" s="60">
        <v>556</v>
      </c>
      <c r="B431" s="60" t="s">
        <v>260</v>
      </c>
      <c r="C431" s="44" t="s">
        <v>609</v>
      </c>
      <c r="D431" s="44" t="s">
        <v>646</v>
      </c>
      <c r="F431" s="79">
        <v>956703</v>
      </c>
      <c r="G431" s="62"/>
      <c r="H431" s="63">
        <f t="shared" si="183"/>
        <v>328915.7398487865</v>
      </c>
      <c r="I431" s="63">
        <f t="shared" si="183"/>
        <v>344560.05599057756</v>
      </c>
      <c r="J431" s="63">
        <f t="shared" si="183"/>
        <v>283227.20416063588</v>
      </c>
      <c r="K431" s="63">
        <f t="shared" si="183"/>
        <v>0</v>
      </c>
      <c r="L431" s="63">
        <f t="shared" si="183"/>
        <v>0</v>
      </c>
      <c r="M431" s="63">
        <f t="shared" si="183"/>
        <v>0</v>
      </c>
      <c r="N431" s="63">
        <f t="shared" si="183"/>
        <v>0</v>
      </c>
      <c r="O431" s="63">
        <f t="shared" si="183"/>
        <v>0</v>
      </c>
      <c r="P431" s="63">
        <f t="shared" si="183"/>
        <v>0</v>
      </c>
      <c r="Q431" s="63">
        <f t="shared" si="183"/>
        <v>0</v>
      </c>
      <c r="R431" s="63">
        <f t="shared" si="184"/>
        <v>0</v>
      </c>
      <c r="S431" s="63">
        <f t="shared" si="184"/>
        <v>0</v>
      </c>
      <c r="T431" s="63">
        <f t="shared" si="184"/>
        <v>0</v>
      </c>
      <c r="U431" s="63">
        <f t="shared" si="184"/>
        <v>0</v>
      </c>
      <c r="V431" s="63">
        <f t="shared" si="184"/>
        <v>0</v>
      </c>
      <c r="W431" s="63">
        <f t="shared" si="184"/>
        <v>0</v>
      </c>
      <c r="X431" s="63">
        <f t="shared" si="184"/>
        <v>0</v>
      </c>
      <c r="Y431" s="63">
        <f t="shared" si="184"/>
        <v>0</v>
      </c>
      <c r="Z431" s="63">
        <f t="shared" si="184"/>
        <v>0</v>
      </c>
      <c r="AA431" s="63">
        <f t="shared" si="184"/>
        <v>0</v>
      </c>
      <c r="AB431" s="63">
        <f t="shared" si="184"/>
        <v>0</v>
      </c>
      <c r="AC431" s="63">
        <f t="shared" si="184"/>
        <v>0</v>
      </c>
      <c r="AD431" s="63">
        <f t="shared" si="184"/>
        <v>0</v>
      </c>
      <c r="AE431" s="63">
        <f t="shared" si="184"/>
        <v>0</v>
      </c>
      <c r="AF431" s="63">
        <f>SUM(H431:AE431)</f>
        <v>956703</v>
      </c>
      <c r="AG431" s="58" t="str">
        <f>IF(ABS(AF431-F431)&lt;1,"ok","err")</f>
        <v>ok</v>
      </c>
    </row>
    <row r="432" spans="1:33">
      <c r="A432" s="60">
        <v>557</v>
      </c>
      <c r="B432" s="60" t="s">
        <v>7</v>
      </c>
      <c r="C432" s="44" t="s">
        <v>47</v>
      </c>
      <c r="D432" s="44" t="s">
        <v>646</v>
      </c>
      <c r="F432" s="79">
        <v>0</v>
      </c>
      <c r="G432" s="62"/>
      <c r="H432" s="63">
        <f t="shared" si="183"/>
        <v>0</v>
      </c>
      <c r="I432" s="63">
        <f t="shared" si="183"/>
        <v>0</v>
      </c>
      <c r="J432" s="63">
        <f t="shared" si="183"/>
        <v>0</v>
      </c>
      <c r="K432" s="63">
        <f t="shared" si="183"/>
        <v>0</v>
      </c>
      <c r="L432" s="63">
        <f t="shared" si="183"/>
        <v>0</v>
      </c>
      <c r="M432" s="63">
        <f t="shared" si="183"/>
        <v>0</v>
      </c>
      <c r="N432" s="63">
        <f t="shared" si="183"/>
        <v>0</v>
      </c>
      <c r="O432" s="63">
        <f t="shared" si="183"/>
        <v>0</v>
      </c>
      <c r="P432" s="63">
        <f t="shared" si="183"/>
        <v>0</v>
      </c>
      <c r="Q432" s="63">
        <f t="shared" si="183"/>
        <v>0</v>
      </c>
      <c r="R432" s="63">
        <f t="shared" si="184"/>
        <v>0</v>
      </c>
      <c r="S432" s="63">
        <f t="shared" si="184"/>
        <v>0</v>
      </c>
      <c r="T432" s="63">
        <f t="shared" si="184"/>
        <v>0</v>
      </c>
      <c r="U432" s="63">
        <f t="shared" si="184"/>
        <v>0</v>
      </c>
      <c r="V432" s="63">
        <f t="shared" si="184"/>
        <v>0</v>
      </c>
      <c r="W432" s="63">
        <f t="shared" si="184"/>
        <v>0</v>
      </c>
      <c r="X432" s="63">
        <f t="shared" si="184"/>
        <v>0</v>
      </c>
      <c r="Y432" s="63">
        <f t="shared" si="184"/>
        <v>0</v>
      </c>
      <c r="Z432" s="63">
        <f t="shared" si="184"/>
        <v>0</v>
      </c>
      <c r="AA432" s="63">
        <f t="shared" si="184"/>
        <v>0</v>
      </c>
      <c r="AB432" s="63">
        <f t="shared" si="184"/>
        <v>0</v>
      </c>
      <c r="AC432" s="63">
        <f t="shared" si="184"/>
        <v>0</v>
      </c>
      <c r="AD432" s="63">
        <f t="shared" si="184"/>
        <v>0</v>
      </c>
      <c r="AE432" s="63">
        <f t="shared" si="184"/>
        <v>0</v>
      </c>
      <c r="AF432" s="63">
        <f>SUM(H432:AE432)</f>
        <v>0</v>
      </c>
      <c r="AG432" s="58" t="str">
        <f>IF(ABS(AF432-F432)&lt;1,"ok","err")</f>
        <v>ok</v>
      </c>
    </row>
    <row r="433" spans="1:33">
      <c r="A433" s="60"/>
      <c r="B433" s="60"/>
      <c r="F433" s="76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3"/>
      <c r="AG433" s="58"/>
    </row>
    <row r="434" spans="1:33">
      <c r="A434" s="60"/>
      <c r="B434" s="60" t="s">
        <v>103</v>
      </c>
      <c r="C434" s="44" t="s">
        <v>46</v>
      </c>
      <c r="F434" s="76">
        <f>SUM(F430:F432)</f>
        <v>956703</v>
      </c>
      <c r="G434" s="62"/>
      <c r="H434" s="62">
        <f t="shared" ref="H434:M434" si="185">SUM(H430:H432)</f>
        <v>328915.7398487865</v>
      </c>
      <c r="I434" s="62">
        <f t="shared" si="185"/>
        <v>344560.05599057756</v>
      </c>
      <c r="J434" s="62">
        <f t="shared" si="185"/>
        <v>283227.20416063588</v>
      </c>
      <c r="K434" s="62">
        <f t="shared" si="185"/>
        <v>0</v>
      </c>
      <c r="L434" s="62">
        <f t="shared" si="185"/>
        <v>0</v>
      </c>
      <c r="M434" s="62">
        <f t="shared" si="185"/>
        <v>0</v>
      </c>
      <c r="N434" s="62">
        <f>SUM(N430:N432)</f>
        <v>0</v>
      </c>
      <c r="O434" s="62">
        <f>SUM(O430:O432)</f>
        <v>0</v>
      </c>
      <c r="P434" s="62">
        <f>SUM(P430:P432)</f>
        <v>0</v>
      </c>
      <c r="Q434" s="62">
        <f t="shared" ref="Q434:AB434" si="186">SUM(Q430:Q432)</f>
        <v>0</v>
      </c>
      <c r="R434" s="62">
        <f t="shared" si="186"/>
        <v>0</v>
      </c>
      <c r="S434" s="62">
        <f t="shared" si="186"/>
        <v>0</v>
      </c>
      <c r="T434" s="62">
        <f t="shared" si="186"/>
        <v>0</v>
      </c>
      <c r="U434" s="62">
        <f t="shared" si="186"/>
        <v>0</v>
      </c>
      <c r="V434" s="62">
        <f t="shared" si="186"/>
        <v>0</v>
      </c>
      <c r="W434" s="62">
        <f t="shared" si="186"/>
        <v>0</v>
      </c>
      <c r="X434" s="62">
        <f t="shared" si="186"/>
        <v>0</v>
      </c>
      <c r="Y434" s="62">
        <f t="shared" si="186"/>
        <v>0</v>
      </c>
      <c r="Z434" s="62">
        <f t="shared" si="186"/>
        <v>0</v>
      </c>
      <c r="AA434" s="62">
        <f t="shared" si="186"/>
        <v>0</v>
      </c>
      <c r="AB434" s="62">
        <f t="shared" si="186"/>
        <v>0</v>
      </c>
      <c r="AC434" s="62">
        <f>SUM(AC430:AC432)</f>
        <v>0</v>
      </c>
      <c r="AD434" s="62">
        <f>SUM(AD430:AD432)</f>
        <v>0</v>
      </c>
      <c r="AE434" s="62">
        <f>SUM(AE430:AE432)</f>
        <v>0</v>
      </c>
      <c r="AF434" s="63">
        <f>SUM(H434:AE434)</f>
        <v>956703</v>
      </c>
      <c r="AG434" s="58" t="str">
        <f>IF(ABS(AF434-F434)&lt;1,"ok","err")</f>
        <v>ok</v>
      </c>
    </row>
    <row r="435" spans="1:33">
      <c r="A435" s="60"/>
      <c r="B435" s="60"/>
      <c r="F435" s="76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3"/>
      <c r="AG435" s="58"/>
    </row>
    <row r="436" spans="1:33">
      <c r="A436" s="60"/>
      <c r="B436" s="60"/>
      <c r="F436" s="76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3"/>
      <c r="AG436" s="58"/>
    </row>
    <row r="437" spans="1:33" ht="15">
      <c r="A437" s="59" t="s">
        <v>45</v>
      </c>
      <c r="B437" s="60"/>
      <c r="F437" s="76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3"/>
      <c r="AG437" s="58"/>
    </row>
    <row r="438" spans="1:33">
      <c r="A438" s="60"/>
      <c r="B438" s="60"/>
      <c r="F438" s="76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3"/>
      <c r="AG438" s="58"/>
    </row>
    <row r="439" spans="1:33" ht="15">
      <c r="A439" s="65" t="s">
        <v>105</v>
      </c>
      <c r="B439" s="60"/>
      <c r="F439" s="76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3"/>
      <c r="AG439" s="58"/>
    </row>
    <row r="440" spans="1:33">
      <c r="A440" s="60">
        <v>560</v>
      </c>
      <c r="B440" s="60" t="s">
        <v>1146</v>
      </c>
      <c r="C440" s="44" t="s">
        <v>102</v>
      </c>
      <c r="D440" s="44" t="s">
        <v>1161</v>
      </c>
      <c r="F440" s="76">
        <v>642049</v>
      </c>
      <c r="G440" s="62"/>
      <c r="H440" s="63">
        <f t="shared" ref="H440:Q448" si="187">IF(VLOOKUP($D440,$C$6:$AE$653,H$2,)=0,0,((VLOOKUP($D440,$C$6:$AE$653,H$2,)/VLOOKUP($D440,$C$6:$AE$653,4,))*$F440))</f>
        <v>0</v>
      </c>
      <c r="I440" s="63">
        <f t="shared" si="187"/>
        <v>0</v>
      </c>
      <c r="J440" s="63">
        <f t="shared" si="187"/>
        <v>0</v>
      </c>
      <c r="K440" s="63">
        <f t="shared" si="187"/>
        <v>0</v>
      </c>
      <c r="L440" s="63">
        <f t="shared" si="187"/>
        <v>0</v>
      </c>
      <c r="M440" s="63">
        <f t="shared" si="187"/>
        <v>0</v>
      </c>
      <c r="N440" s="63">
        <f t="shared" si="187"/>
        <v>642049</v>
      </c>
      <c r="O440" s="63">
        <f t="shared" si="187"/>
        <v>0</v>
      </c>
      <c r="P440" s="63">
        <f t="shared" si="187"/>
        <v>0</v>
      </c>
      <c r="Q440" s="63">
        <f t="shared" si="187"/>
        <v>0</v>
      </c>
      <c r="R440" s="63">
        <f t="shared" ref="R440:AE448" si="188">IF(VLOOKUP($D440,$C$6:$AE$653,R$2,)=0,0,((VLOOKUP($D440,$C$6:$AE$653,R$2,)/VLOOKUP($D440,$C$6:$AE$653,4,))*$F440))</f>
        <v>0</v>
      </c>
      <c r="S440" s="63">
        <f t="shared" si="188"/>
        <v>0</v>
      </c>
      <c r="T440" s="63">
        <f t="shared" si="188"/>
        <v>0</v>
      </c>
      <c r="U440" s="63">
        <f t="shared" si="188"/>
        <v>0</v>
      </c>
      <c r="V440" s="63">
        <f t="shared" si="188"/>
        <v>0</v>
      </c>
      <c r="W440" s="63">
        <f t="shared" si="188"/>
        <v>0</v>
      </c>
      <c r="X440" s="63">
        <f t="shared" si="188"/>
        <v>0</v>
      </c>
      <c r="Y440" s="63">
        <f t="shared" si="188"/>
        <v>0</v>
      </c>
      <c r="Z440" s="63">
        <f t="shared" si="188"/>
        <v>0</v>
      </c>
      <c r="AA440" s="63">
        <f t="shared" si="188"/>
        <v>0</v>
      </c>
      <c r="AB440" s="63">
        <f t="shared" si="188"/>
        <v>0</v>
      </c>
      <c r="AC440" s="63">
        <f t="shared" si="188"/>
        <v>0</v>
      </c>
      <c r="AD440" s="63">
        <f t="shared" si="188"/>
        <v>0</v>
      </c>
      <c r="AE440" s="63">
        <f t="shared" si="188"/>
        <v>0</v>
      </c>
      <c r="AF440" s="63">
        <f t="shared" ref="AF440:AF447" si="189">SUM(H440:AE440)</f>
        <v>642049</v>
      </c>
      <c r="AG440" s="58" t="str">
        <f t="shared" ref="AG440:AG448" si="190">IF(ABS(AF440-F440)&lt;1,"ok","err")</f>
        <v>ok</v>
      </c>
    </row>
    <row r="441" spans="1:33">
      <c r="A441" s="60">
        <v>561</v>
      </c>
      <c r="B441" s="60" t="s">
        <v>990</v>
      </c>
      <c r="C441" s="44" t="s">
        <v>48</v>
      </c>
      <c r="D441" s="44" t="s">
        <v>1161</v>
      </c>
      <c r="F441" s="79">
        <v>1454366</v>
      </c>
      <c r="G441" s="62"/>
      <c r="H441" s="63">
        <f t="shared" si="187"/>
        <v>0</v>
      </c>
      <c r="I441" s="63">
        <f t="shared" si="187"/>
        <v>0</v>
      </c>
      <c r="J441" s="63">
        <f t="shared" si="187"/>
        <v>0</v>
      </c>
      <c r="K441" s="63">
        <f t="shared" si="187"/>
        <v>0</v>
      </c>
      <c r="L441" s="63">
        <f t="shared" si="187"/>
        <v>0</v>
      </c>
      <c r="M441" s="63">
        <f t="shared" si="187"/>
        <v>0</v>
      </c>
      <c r="N441" s="63">
        <f t="shared" si="187"/>
        <v>1454366</v>
      </c>
      <c r="O441" s="63">
        <f t="shared" si="187"/>
        <v>0</v>
      </c>
      <c r="P441" s="63">
        <f t="shared" si="187"/>
        <v>0</v>
      </c>
      <c r="Q441" s="63">
        <f t="shared" si="187"/>
        <v>0</v>
      </c>
      <c r="R441" s="63">
        <f t="shared" si="188"/>
        <v>0</v>
      </c>
      <c r="S441" s="63">
        <f t="shared" si="188"/>
        <v>0</v>
      </c>
      <c r="T441" s="63">
        <f t="shared" si="188"/>
        <v>0</v>
      </c>
      <c r="U441" s="63">
        <f t="shared" si="188"/>
        <v>0</v>
      </c>
      <c r="V441" s="63">
        <f t="shared" si="188"/>
        <v>0</v>
      </c>
      <c r="W441" s="63">
        <f t="shared" si="188"/>
        <v>0</v>
      </c>
      <c r="X441" s="63">
        <f t="shared" si="188"/>
        <v>0</v>
      </c>
      <c r="Y441" s="63">
        <f t="shared" si="188"/>
        <v>0</v>
      </c>
      <c r="Z441" s="63">
        <f t="shared" si="188"/>
        <v>0</v>
      </c>
      <c r="AA441" s="63">
        <f t="shared" si="188"/>
        <v>0</v>
      </c>
      <c r="AB441" s="63">
        <f t="shared" si="188"/>
        <v>0</v>
      </c>
      <c r="AC441" s="63">
        <f t="shared" si="188"/>
        <v>0</v>
      </c>
      <c r="AD441" s="63">
        <f t="shared" si="188"/>
        <v>0</v>
      </c>
      <c r="AE441" s="63">
        <f t="shared" si="188"/>
        <v>0</v>
      </c>
      <c r="AF441" s="63">
        <f t="shared" si="189"/>
        <v>1454366</v>
      </c>
      <c r="AG441" s="58" t="str">
        <f t="shared" si="190"/>
        <v>ok</v>
      </c>
    </row>
    <row r="442" spans="1:33">
      <c r="A442" s="60">
        <v>562</v>
      </c>
      <c r="B442" s="60" t="s">
        <v>1144</v>
      </c>
      <c r="C442" s="44" t="s">
        <v>49</v>
      </c>
      <c r="D442" s="44" t="s">
        <v>1161</v>
      </c>
      <c r="F442" s="79">
        <v>433996</v>
      </c>
      <c r="G442" s="62"/>
      <c r="H442" s="63">
        <f t="shared" si="187"/>
        <v>0</v>
      </c>
      <c r="I442" s="63">
        <f t="shared" si="187"/>
        <v>0</v>
      </c>
      <c r="J442" s="63">
        <f t="shared" si="187"/>
        <v>0</v>
      </c>
      <c r="K442" s="63">
        <f t="shared" si="187"/>
        <v>0</v>
      </c>
      <c r="L442" s="63">
        <f t="shared" si="187"/>
        <v>0</v>
      </c>
      <c r="M442" s="63">
        <f t="shared" si="187"/>
        <v>0</v>
      </c>
      <c r="N442" s="63">
        <f t="shared" si="187"/>
        <v>433996</v>
      </c>
      <c r="O442" s="63">
        <f t="shared" si="187"/>
        <v>0</v>
      </c>
      <c r="P442" s="63">
        <f t="shared" si="187"/>
        <v>0</v>
      </c>
      <c r="Q442" s="63">
        <f t="shared" si="187"/>
        <v>0</v>
      </c>
      <c r="R442" s="63">
        <f t="shared" si="188"/>
        <v>0</v>
      </c>
      <c r="S442" s="63">
        <f t="shared" si="188"/>
        <v>0</v>
      </c>
      <c r="T442" s="63">
        <f t="shared" si="188"/>
        <v>0</v>
      </c>
      <c r="U442" s="63">
        <f t="shared" si="188"/>
        <v>0</v>
      </c>
      <c r="V442" s="63">
        <f t="shared" si="188"/>
        <v>0</v>
      </c>
      <c r="W442" s="63">
        <f t="shared" si="188"/>
        <v>0</v>
      </c>
      <c r="X442" s="63">
        <f t="shared" si="188"/>
        <v>0</v>
      </c>
      <c r="Y442" s="63">
        <f t="shared" si="188"/>
        <v>0</v>
      </c>
      <c r="Z442" s="63">
        <f t="shared" si="188"/>
        <v>0</v>
      </c>
      <c r="AA442" s="63">
        <f t="shared" si="188"/>
        <v>0</v>
      </c>
      <c r="AB442" s="63">
        <f t="shared" si="188"/>
        <v>0</v>
      </c>
      <c r="AC442" s="63">
        <f t="shared" si="188"/>
        <v>0</v>
      </c>
      <c r="AD442" s="63">
        <f t="shared" si="188"/>
        <v>0</v>
      </c>
      <c r="AE442" s="63">
        <f t="shared" si="188"/>
        <v>0</v>
      </c>
      <c r="AF442" s="63">
        <f t="shared" si="189"/>
        <v>433996</v>
      </c>
      <c r="AG442" s="58" t="str">
        <f t="shared" si="190"/>
        <v>ok</v>
      </c>
    </row>
    <row r="443" spans="1:33">
      <c r="A443" s="60">
        <v>563</v>
      </c>
      <c r="B443" s="60" t="s">
        <v>992</v>
      </c>
      <c r="C443" s="44" t="s">
        <v>50</v>
      </c>
      <c r="D443" s="44" t="s">
        <v>1161</v>
      </c>
      <c r="F443" s="79">
        <v>0</v>
      </c>
      <c r="G443" s="62"/>
      <c r="H443" s="63">
        <f t="shared" si="187"/>
        <v>0</v>
      </c>
      <c r="I443" s="63">
        <f t="shared" si="187"/>
        <v>0</v>
      </c>
      <c r="J443" s="63">
        <f t="shared" si="187"/>
        <v>0</v>
      </c>
      <c r="K443" s="63">
        <f t="shared" si="187"/>
        <v>0</v>
      </c>
      <c r="L443" s="63">
        <f t="shared" si="187"/>
        <v>0</v>
      </c>
      <c r="M443" s="63">
        <f t="shared" si="187"/>
        <v>0</v>
      </c>
      <c r="N443" s="63">
        <f t="shared" si="187"/>
        <v>0</v>
      </c>
      <c r="O443" s="63">
        <f t="shared" si="187"/>
        <v>0</v>
      </c>
      <c r="P443" s="63">
        <f t="shared" si="187"/>
        <v>0</v>
      </c>
      <c r="Q443" s="63">
        <f t="shared" si="187"/>
        <v>0</v>
      </c>
      <c r="R443" s="63">
        <f t="shared" si="188"/>
        <v>0</v>
      </c>
      <c r="S443" s="63">
        <f t="shared" si="188"/>
        <v>0</v>
      </c>
      <c r="T443" s="63">
        <f t="shared" si="188"/>
        <v>0</v>
      </c>
      <c r="U443" s="63">
        <f t="shared" si="188"/>
        <v>0</v>
      </c>
      <c r="V443" s="63">
        <f t="shared" si="188"/>
        <v>0</v>
      </c>
      <c r="W443" s="63">
        <f t="shared" si="188"/>
        <v>0</v>
      </c>
      <c r="X443" s="63">
        <f t="shared" si="188"/>
        <v>0</v>
      </c>
      <c r="Y443" s="63">
        <f t="shared" si="188"/>
        <v>0</v>
      </c>
      <c r="Z443" s="63">
        <f t="shared" si="188"/>
        <v>0</v>
      </c>
      <c r="AA443" s="63">
        <f t="shared" si="188"/>
        <v>0</v>
      </c>
      <c r="AB443" s="63">
        <f t="shared" si="188"/>
        <v>0</v>
      </c>
      <c r="AC443" s="63">
        <f t="shared" si="188"/>
        <v>0</v>
      </c>
      <c r="AD443" s="63">
        <f t="shared" si="188"/>
        <v>0</v>
      </c>
      <c r="AE443" s="63">
        <f t="shared" si="188"/>
        <v>0</v>
      </c>
      <c r="AF443" s="63">
        <f t="shared" si="189"/>
        <v>0</v>
      </c>
      <c r="AG443" s="58" t="str">
        <f t="shared" si="190"/>
        <v>ok</v>
      </c>
    </row>
    <row r="444" spans="1:33">
      <c r="A444" s="60">
        <v>566</v>
      </c>
      <c r="B444" s="60" t="s">
        <v>147</v>
      </c>
      <c r="C444" s="44" t="s">
        <v>151</v>
      </c>
      <c r="D444" s="44" t="s">
        <v>1161</v>
      </c>
      <c r="F444" s="79">
        <v>105592</v>
      </c>
      <c r="G444" s="62"/>
      <c r="H444" s="63">
        <f t="shared" si="187"/>
        <v>0</v>
      </c>
      <c r="I444" s="63">
        <f t="shared" si="187"/>
        <v>0</v>
      </c>
      <c r="J444" s="63">
        <f t="shared" si="187"/>
        <v>0</v>
      </c>
      <c r="K444" s="63">
        <f t="shared" si="187"/>
        <v>0</v>
      </c>
      <c r="L444" s="63">
        <f t="shared" si="187"/>
        <v>0</v>
      </c>
      <c r="M444" s="63">
        <f t="shared" si="187"/>
        <v>0</v>
      </c>
      <c r="N444" s="63">
        <f t="shared" si="187"/>
        <v>105592</v>
      </c>
      <c r="O444" s="63">
        <f t="shared" si="187"/>
        <v>0</v>
      </c>
      <c r="P444" s="63">
        <f t="shared" si="187"/>
        <v>0</v>
      </c>
      <c r="Q444" s="63">
        <f t="shared" si="187"/>
        <v>0</v>
      </c>
      <c r="R444" s="63">
        <f t="shared" si="188"/>
        <v>0</v>
      </c>
      <c r="S444" s="63">
        <f t="shared" si="188"/>
        <v>0</v>
      </c>
      <c r="T444" s="63">
        <f t="shared" si="188"/>
        <v>0</v>
      </c>
      <c r="U444" s="63">
        <f t="shared" si="188"/>
        <v>0</v>
      </c>
      <c r="V444" s="63">
        <f t="shared" si="188"/>
        <v>0</v>
      </c>
      <c r="W444" s="63">
        <f t="shared" si="188"/>
        <v>0</v>
      </c>
      <c r="X444" s="63">
        <f t="shared" si="188"/>
        <v>0</v>
      </c>
      <c r="Y444" s="63">
        <f t="shared" si="188"/>
        <v>0</v>
      </c>
      <c r="Z444" s="63">
        <f t="shared" si="188"/>
        <v>0</v>
      </c>
      <c r="AA444" s="63">
        <f t="shared" si="188"/>
        <v>0</v>
      </c>
      <c r="AB444" s="63">
        <f t="shared" si="188"/>
        <v>0</v>
      </c>
      <c r="AC444" s="63">
        <f t="shared" si="188"/>
        <v>0</v>
      </c>
      <c r="AD444" s="63">
        <f t="shared" si="188"/>
        <v>0</v>
      </c>
      <c r="AE444" s="63">
        <f t="shared" si="188"/>
        <v>0</v>
      </c>
      <c r="AF444" s="63">
        <f t="shared" si="189"/>
        <v>105592</v>
      </c>
      <c r="AG444" s="58" t="str">
        <f t="shared" si="190"/>
        <v>ok</v>
      </c>
    </row>
    <row r="445" spans="1:33">
      <c r="A445" s="60">
        <v>569</v>
      </c>
      <c r="B445" s="60" t="s">
        <v>610</v>
      </c>
      <c r="C445" s="44" t="s">
        <v>611</v>
      </c>
      <c r="D445" s="44" t="s">
        <v>1161</v>
      </c>
      <c r="F445" s="79">
        <v>0</v>
      </c>
      <c r="G445" s="62"/>
      <c r="H445" s="63">
        <f t="shared" si="187"/>
        <v>0</v>
      </c>
      <c r="I445" s="63">
        <f t="shared" si="187"/>
        <v>0</v>
      </c>
      <c r="J445" s="63">
        <f t="shared" si="187"/>
        <v>0</v>
      </c>
      <c r="K445" s="63">
        <f t="shared" si="187"/>
        <v>0</v>
      </c>
      <c r="L445" s="63">
        <f t="shared" si="187"/>
        <v>0</v>
      </c>
      <c r="M445" s="63">
        <f t="shared" si="187"/>
        <v>0</v>
      </c>
      <c r="N445" s="63">
        <f t="shared" si="187"/>
        <v>0</v>
      </c>
      <c r="O445" s="63">
        <f t="shared" si="187"/>
        <v>0</v>
      </c>
      <c r="P445" s="63">
        <f t="shared" si="187"/>
        <v>0</v>
      </c>
      <c r="Q445" s="63">
        <f t="shared" si="187"/>
        <v>0</v>
      </c>
      <c r="R445" s="63">
        <f t="shared" si="188"/>
        <v>0</v>
      </c>
      <c r="S445" s="63">
        <f t="shared" si="188"/>
        <v>0</v>
      </c>
      <c r="T445" s="63">
        <f t="shared" si="188"/>
        <v>0</v>
      </c>
      <c r="U445" s="63">
        <f t="shared" si="188"/>
        <v>0</v>
      </c>
      <c r="V445" s="63">
        <f t="shared" si="188"/>
        <v>0</v>
      </c>
      <c r="W445" s="63">
        <f t="shared" si="188"/>
        <v>0</v>
      </c>
      <c r="X445" s="63">
        <f t="shared" si="188"/>
        <v>0</v>
      </c>
      <c r="Y445" s="63">
        <f t="shared" si="188"/>
        <v>0</v>
      </c>
      <c r="Z445" s="63">
        <f t="shared" si="188"/>
        <v>0</v>
      </c>
      <c r="AA445" s="63">
        <f t="shared" si="188"/>
        <v>0</v>
      </c>
      <c r="AB445" s="63">
        <f t="shared" si="188"/>
        <v>0</v>
      </c>
      <c r="AC445" s="63">
        <f t="shared" si="188"/>
        <v>0</v>
      </c>
      <c r="AD445" s="63">
        <f t="shared" si="188"/>
        <v>0</v>
      </c>
      <c r="AE445" s="63">
        <f t="shared" si="188"/>
        <v>0</v>
      </c>
      <c r="AF445" s="63">
        <f t="shared" si="189"/>
        <v>0</v>
      </c>
      <c r="AG445" s="58" t="str">
        <f t="shared" si="190"/>
        <v>ok</v>
      </c>
    </row>
    <row r="446" spans="1:33">
      <c r="A446" s="60">
        <v>570</v>
      </c>
      <c r="B446" s="60" t="s">
        <v>1147</v>
      </c>
      <c r="C446" s="44" t="s">
        <v>51</v>
      </c>
      <c r="D446" s="44" t="s">
        <v>1161</v>
      </c>
      <c r="F446" s="79">
        <v>416335</v>
      </c>
      <c r="G446" s="62"/>
      <c r="H446" s="63">
        <f t="shared" si="187"/>
        <v>0</v>
      </c>
      <c r="I446" s="63">
        <f t="shared" si="187"/>
        <v>0</v>
      </c>
      <c r="J446" s="63">
        <f t="shared" si="187"/>
        <v>0</v>
      </c>
      <c r="K446" s="63">
        <f t="shared" si="187"/>
        <v>0</v>
      </c>
      <c r="L446" s="63">
        <f t="shared" si="187"/>
        <v>0</v>
      </c>
      <c r="M446" s="63">
        <f t="shared" si="187"/>
        <v>0</v>
      </c>
      <c r="N446" s="63">
        <f t="shared" si="187"/>
        <v>416335</v>
      </c>
      <c r="O446" s="63">
        <f t="shared" si="187"/>
        <v>0</v>
      </c>
      <c r="P446" s="63">
        <f t="shared" si="187"/>
        <v>0</v>
      </c>
      <c r="Q446" s="63">
        <f t="shared" si="187"/>
        <v>0</v>
      </c>
      <c r="R446" s="63">
        <f t="shared" si="188"/>
        <v>0</v>
      </c>
      <c r="S446" s="63">
        <f t="shared" si="188"/>
        <v>0</v>
      </c>
      <c r="T446" s="63">
        <f t="shared" si="188"/>
        <v>0</v>
      </c>
      <c r="U446" s="63">
        <f t="shared" si="188"/>
        <v>0</v>
      </c>
      <c r="V446" s="63">
        <f t="shared" si="188"/>
        <v>0</v>
      </c>
      <c r="W446" s="63">
        <f t="shared" si="188"/>
        <v>0</v>
      </c>
      <c r="X446" s="63">
        <f t="shared" si="188"/>
        <v>0</v>
      </c>
      <c r="Y446" s="63">
        <f t="shared" si="188"/>
        <v>0</v>
      </c>
      <c r="Z446" s="63">
        <f t="shared" si="188"/>
        <v>0</v>
      </c>
      <c r="AA446" s="63">
        <f t="shared" si="188"/>
        <v>0</v>
      </c>
      <c r="AB446" s="63">
        <f t="shared" si="188"/>
        <v>0</v>
      </c>
      <c r="AC446" s="63">
        <f t="shared" si="188"/>
        <v>0</v>
      </c>
      <c r="AD446" s="63">
        <f t="shared" si="188"/>
        <v>0</v>
      </c>
      <c r="AE446" s="63">
        <f t="shared" si="188"/>
        <v>0</v>
      </c>
      <c r="AF446" s="63">
        <f t="shared" si="189"/>
        <v>416335</v>
      </c>
      <c r="AG446" s="58" t="str">
        <f t="shared" si="190"/>
        <v>ok</v>
      </c>
    </row>
    <row r="447" spans="1:33">
      <c r="A447" s="60">
        <v>571</v>
      </c>
      <c r="B447" s="60" t="s">
        <v>1148</v>
      </c>
      <c r="C447" s="44" t="s">
        <v>52</v>
      </c>
      <c r="D447" s="44" t="s">
        <v>1161</v>
      </c>
      <c r="F447" s="79">
        <v>83079</v>
      </c>
      <c r="G447" s="62"/>
      <c r="H447" s="63">
        <f t="shared" si="187"/>
        <v>0</v>
      </c>
      <c r="I447" s="63">
        <f t="shared" si="187"/>
        <v>0</v>
      </c>
      <c r="J447" s="63">
        <f t="shared" si="187"/>
        <v>0</v>
      </c>
      <c r="K447" s="63">
        <f t="shared" si="187"/>
        <v>0</v>
      </c>
      <c r="L447" s="63">
        <f t="shared" si="187"/>
        <v>0</v>
      </c>
      <c r="M447" s="63">
        <f t="shared" si="187"/>
        <v>0</v>
      </c>
      <c r="N447" s="63">
        <f t="shared" si="187"/>
        <v>83079</v>
      </c>
      <c r="O447" s="63">
        <f t="shared" si="187"/>
        <v>0</v>
      </c>
      <c r="P447" s="63">
        <f t="shared" si="187"/>
        <v>0</v>
      </c>
      <c r="Q447" s="63">
        <f t="shared" si="187"/>
        <v>0</v>
      </c>
      <c r="R447" s="63">
        <f t="shared" si="188"/>
        <v>0</v>
      </c>
      <c r="S447" s="63">
        <f t="shared" si="188"/>
        <v>0</v>
      </c>
      <c r="T447" s="63">
        <f t="shared" si="188"/>
        <v>0</v>
      </c>
      <c r="U447" s="63">
        <f t="shared" si="188"/>
        <v>0</v>
      </c>
      <c r="V447" s="63">
        <f t="shared" si="188"/>
        <v>0</v>
      </c>
      <c r="W447" s="63">
        <f t="shared" si="188"/>
        <v>0</v>
      </c>
      <c r="X447" s="63">
        <f t="shared" si="188"/>
        <v>0</v>
      </c>
      <c r="Y447" s="63">
        <f t="shared" si="188"/>
        <v>0</v>
      </c>
      <c r="Z447" s="63">
        <f t="shared" si="188"/>
        <v>0</v>
      </c>
      <c r="AA447" s="63">
        <f t="shared" si="188"/>
        <v>0</v>
      </c>
      <c r="AB447" s="63">
        <f t="shared" si="188"/>
        <v>0</v>
      </c>
      <c r="AC447" s="63">
        <f t="shared" si="188"/>
        <v>0</v>
      </c>
      <c r="AD447" s="63">
        <f t="shared" si="188"/>
        <v>0</v>
      </c>
      <c r="AE447" s="63">
        <f t="shared" si="188"/>
        <v>0</v>
      </c>
      <c r="AF447" s="63">
        <f t="shared" si="189"/>
        <v>83079</v>
      </c>
      <c r="AG447" s="58" t="str">
        <f t="shared" si="190"/>
        <v>ok</v>
      </c>
    </row>
    <row r="448" spans="1:33">
      <c r="A448" s="60">
        <v>573</v>
      </c>
      <c r="B448" s="60" t="s">
        <v>612</v>
      </c>
      <c r="C448" s="44" t="s">
        <v>613</v>
      </c>
      <c r="D448" s="44" t="s">
        <v>1161</v>
      </c>
      <c r="F448" s="79">
        <v>0</v>
      </c>
      <c r="G448" s="62"/>
      <c r="H448" s="63">
        <f t="shared" si="187"/>
        <v>0</v>
      </c>
      <c r="I448" s="63">
        <f t="shared" si="187"/>
        <v>0</v>
      </c>
      <c r="J448" s="63">
        <f t="shared" si="187"/>
        <v>0</v>
      </c>
      <c r="K448" s="63">
        <f t="shared" si="187"/>
        <v>0</v>
      </c>
      <c r="L448" s="63">
        <f t="shared" si="187"/>
        <v>0</v>
      </c>
      <c r="M448" s="63">
        <f t="shared" si="187"/>
        <v>0</v>
      </c>
      <c r="N448" s="63">
        <f t="shared" si="187"/>
        <v>0</v>
      </c>
      <c r="O448" s="63">
        <f t="shared" si="187"/>
        <v>0</v>
      </c>
      <c r="P448" s="63">
        <f t="shared" si="187"/>
        <v>0</v>
      </c>
      <c r="Q448" s="63">
        <f t="shared" si="187"/>
        <v>0</v>
      </c>
      <c r="R448" s="63">
        <f t="shared" si="188"/>
        <v>0</v>
      </c>
      <c r="S448" s="63">
        <f t="shared" si="188"/>
        <v>0</v>
      </c>
      <c r="T448" s="63">
        <f t="shared" si="188"/>
        <v>0</v>
      </c>
      <c r="U448" s="63">
        <f t="shared" si="188"/>
        <v>0</v>
      </c>
      <c r="V448" s="63">
        <f t="shared" si="188"/>
        <v>0</v>
      </c>
      <c r="W448" s="63">
        <f t="shared" si="188"/>
        <v>0</v>
      </c>
      <c r="X448" s="63">
        <f t="shared" si="188"/>
        <v>0</v>
      </c>
      <c r="Y448" s="63">
        <f t="shared" si="188"/>
        <v>0</v>
      </c>
      <c r="Z448" s="63">
        <f t="shared" si="188"/>
        <v>0</v>
      </c>
      <c r="AA448" s="63">
        <f t="shared" si="188"/>
        <v>0</v>
      </c>
      <c r="AB448" s="63">
        <f t="shared" si="188"/>
        <v>0</v>
      </c>
      <c r="AC448" s="63">
        <f t="shared" si="188"/>
        <v>0</v>
      </c>
      <c r="AD448" s="63">
        <f t="shared" si="188"/>
        <v>0</v>
      </c>
      <c r="AE448" s="63">
        <f t="shared" si="188"/>
        <v>0</v>
      </c>
      <c r="AF448" s="63">
        <f>SUM(H448:AE448)</f>
        <v>0</v>
      </c>
      <c r="AG448" s="58" t="str">
        <f t="shared" si="190"/>
        <v>ok</v>
      </c>
    </row>
    <row r="449" spans="1:33">
      <c r="A449" s="60"/>
      <c r="B449" s="60"/>
      <c r="F449" s="76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3"/>
      <c r="AG449" s="58"/>
    </row>
    <row r="450" spans="1:33">
      <c r="A450" s="60" t="s">
        <v>104</v>
      </c>
      <c r="B450" s="60"/>
      <c r="C450" s="44" t="s">
        <v>666</v>
      </c>
      <c r="F450" s="80">
        <f>SUM(F440:F449)</f>
        <v>3135417</v>
      </c>
      <c r="G450" s="64">
        <f>SUM(G440:G447)</f>
        <v>0</v>
      </c>
      <c r="H450" s="64">
        <f t="shared" ref="H450:M450" si="191">SUM(H440:H449)</f>
        <v>0</v>
      </c>
      <c r="I450" s="64">
        <f t="shared" si="191"/>
        <v>0</v>
      </c>
      <c r="J450" s="64">
        <f t="shared" si="191"/>
        <v>0</v>
      </c>
      <c r="K450" s="64">
        <f t="shared" si="191"/>
        <v>0</v>
      </c>
      <c r="L450" s="64">
        <f t="shared" si="191"/>
        <v>0</v>
      </c>
      <c r="M450" s="64">
        <f t="shared" si="191"/>
        <v>0</v>
      </c>
      <c r="N450" s="64">
        <f>SUM(N440:N449)</f>
        <v>3135417</v>
      </c>
      <c r="O450" s="64">
        <f>SUM(O440:O449)</f>
        <v>0</v>
      </c>
      <c r="P450" s="64">
        <f>SUM(P440:P449)</f>
        <v>0</v>
      </c>
      <c r="Q450" s="64">
        <f t="shared" ref="Q450:AB450" si="192">SUM(Q440:Q449)</f>
        <v>0</v>
      </c>
      <c r="R450" s="64">
        <f t="shared" si="192"/>
        <v>0</v>
      </c>
      <c r="S450" s="64">
        <f t="shared" si="192"/>
        <v>0</v>
      </c>
      <c r="T450" s="64">
        <f t="shared" si="192"/>
        <v>0</v>
      </c>
      <c r="U450" s="64">
        <f t="shared" si="192"/>
        <v>0</v>
      </c>
      <c r="V450" s="64">
        <f t="shared" si="192"/>
        <v>0</v>
      </c>
      <c r="W450" s="64">
        <f t="shared" si="192"/>
        <v>0</v>
      </c>
      <c r="X450" s="64">
        <f t="shared" si="192"/>
        <v>0</v>
      </c>
      <c r="Y450" s="64">
        <f t="shared" si="192"/>
        <v>0</v>
      </c>
      <c r="Z450" s="64">
        <f t="shared" si="192"/>
        <v>0</v>
      </c>
      <c r="AA450" s="64">
        <f t="shared" si="192"/>
        <v>0</v>
      </c>
      <c r="AB450" s="64">
        <f t="shared" si="192"/>
        <v>0</v>
      </c>
      <c r="AC450" s="64">
        <f>SUM(AC440:AC449)</f>
        <v>0</v>
      </c>
      <c r="AD450" s="64">
        <f>SUM(AD440:AD449)</f>
        <v>0</v>
      </c>
      <c r="AE450" s="64">
        <f>SUM(AE440:AE449)</f>
        <v>0</v>
      </c>
      <c r="AF450" s="62">
        <f>SUM(H450:AE450)</f>
        <v>3135417</v>
      </c>
      <c r="AG450" s="58" t="str">
        <f>IF(ABS(AF450-F450)&lt;1,"ok","err")</f>
        <v>ok</v>
      </c>
    </row>
    <row r="451" spans="1:33">
      <c r="A451" s="60"/>
      <c r="B451" s="60"/>
      <c r="W451" s="44"/>
      <c r="AG451" s="58"/>
    </row>
    <row r="452" spans="1:33" ht="15">
      <c r="A452" s="65" t="s">
        <v>106</v>
      </c>
      <c r="B452" s="60"/>
      <c r="W452" s="44"/>
      <c r="AG452" s="58"/>
    </row>
    <row r="453" spans="1:33">
      <c r="A453" s="60">
        <v>580</v>
      </c>
      <c r="B453" s="60" t="s">
        <v>988</v>
      </c>
      <c r="C453" s="44" t="s">
        <v>53</v>
      </c>
      <c r="D453" s="44" t="s">
        <v>658</v>
      </c>
      <c r="F453" s="76">
        <v>898041</v>
      </c>
      <c r="H453" s="63">
        <f t="shared" ref="H453:Q463" si="193">IF(VLOOKUP($D453,$C$6:$AE$653,H$2,)=0,0,((VLOOKUP($D453,$C$6:$AE$653,H$2,)/VLOOKUP($D453,$C$6:$AE$653,4,))*$F453))</f>
        <v>0</v>
      </c>
      <c r="I453" s="63">
        <f t="shared" si="193"/>
        <v>0</v>
      </c>
      <c r="J453" s="63">
        <f t="shared" si="193"/>
        <v>0</v>
      </c>
      <c r="K453" s="63">
        <f t="shared" si="193"/>
        <v>0</v>
      </c>
      <c r="L453" s="63">
        <f t="shared" si="193"/>
        <v>0</v>
      </c>
      <c r="M453" s="63">
        <f t="shared" si="193"/>
        <v>0</v>
      </c>
      <c r="N453" s="63">
        <f t="shared" si="193"/>
        <v>0</v>
      </c>
      <c r="O453" s="63">
        <f t="shared" si="193"/>
        <v>0</v>
      </c>
      <c r="P453" s="63">
        <f t="shared" si="193"/>
        <v>0</v>
      </c>
      <c r="Q453" s="63">
        <f t="shared" si="193"/>
        <v>0</v>
      </c>
      <c r="R453" s="63">
        <f t="shared" ref="R453:AE463" si="194">IF(VLOOKUP($D453,$C$6:$AE$653,R$2,)=0,0,((VLOOKUP($D453,$C$6:$AE$653,R$2,)/VLOOKUP($D453,$C$6:$AE$653,4,))*$F453))</f>
        <v>166627.28664474227</v>
      </c>
      <c r="S453" s="63">
        <f t="shared" si="194"/>
        <v>0</v>
      </c>
      <c r="T453" s="63">
        <f t="shared" si="194"/>
        <v>90524.508122150582</v>
      </c>
      <c r="U453" s="63">
        <f t="shared" si="194"/>
        <v>137596.86612884916</v>
      </c>
      <c r="V453" s="63">
        <f t="shared" si="194"/>
        <v>29082.838434249414</v>
      </c>
      <c r="W453" s="63">
        <f t="shared" si="194"/>
        <v>43032.389497037439</v>
      </c>
      <c r="X453" s="63">
        <f t="shared" si="194"/>
        <v>11689.058385867527</v>
      </c>
      <c r="Y453" s="63">
        <f t="shared" si="194"/>
        <v>8174.7704992297477</v>
      </c>
      <c r="Z453" s="63">
        <f t="shared" si="194"/>
        <v>4059.7438788722834</v>
      </c>
      <c r="AA453" s="63">
        <f t="shared" si="194"/>
        <v>394350.01128252473</v>
      </c>
      <c r="AB453" s="63">
        <f t="shared" si="194"/>
        <v>12903.527126476827</v>
      </c>
      <c r="AC453" s="63">
        <f t="shared" si="194"/>
        <v>0</v>
      </c>
      <c r="AD453" s="63">
        <f t="shared" si="194"/>
        <v>0</v>
      </c>
      <c r="AE453" s="63">
        <f t="shared" si="194"/>
        <v>0</v>
      </c>
      <c r="AF453" s="63">
        <f t="shared" ref="AF453:AF463" si="195">SUM(H453:AE453)</f>
        <v>898041</v>
      </c>
      <c r="AG453" s="58" t="str">
        <f t="shared" ref="AG453:AG463" si="196">IF(ABS(AF453-F453)&lt;1,"ok","err")</f>
        <v>ok</v>
      </c>
    </row>
    <row r="454" spans="1:33">
      <c r="A454" s="60">
        <v>581</v>
      </c>
      <c r="B454" s="60" t="s">
        <v>990</v>
      </c>
      <c r="C454" s="44" t="s">
        <v>54</v>
      </c>
      <c r="D454" s="44" t="s">
        <v>939</v>
      </c>
      <c r="F454" s="79">
        <v>574384</v>
      </c>
      <c r="H454" s="63">
        <f t="shared" si="193"/>
        <v>0</v>
      </c>
      <c r="I454" s="63">
        <f t="shared" si="193"/>
        <v>0</v>
      </c>
      <c r="J454" s="63">
        <f t="shared" si="193"/>
        <v>0</v>
      </c>
      <c r="K454" s="63">
        <f t="shared" si="193"/>
        <v>0</v>
      </c>
      <c r="L454" s="63">
        <f t="shared" si="193"/>
        <v>0</v>
      </c>
      <c r="M454" s="63">
        <f t="shared" si="193"/>
        <v>0</v>
      </c>
      <c r="N454" s="63">
        <f t="shared" si="193"/>
        <v>0</v>
      </c>
      <c r="O454" s="63">
        <f t="shared" si="193"/>
        <v>0</v>
      </c>
      <c r="P454" s="63">
        <f t="shared" si="193"/>
        <v>0</v>
      </c>
      <c r="Q454" s="63">
        <f t="shared" si="193"/>
        <v>0</v>
      </c>
      <c r="R454" s="63">
        <f t="shared" si="194"/>
        <v>574384</v>
      </c>
      <c r="S454" s="63">
        <f t="shared" si="194"/>
        <v>0</v>
      </c>
      <c r="T454" s="63">
        <f t="shared" si="194"/>
        <v>0</v>
      </c>
      <c r="U454" s="63">
        <f t="shared" si="194"/>
        <v>0</v>
      </c>
      <c r="V454" s="63">
        <f t="shared" si="194"/>
        <v>0</v>
      </c>
      <c r="W454" s="63">
        <f t="shared" si="194"/>
        <v>0</v>
      </c>
      <c r="X454" s="63">
        <f t="shared" si="194"/>
        <v>0</v>
      </c>
      <c r="Y454" s="63">
        <f t="shared" si="194"/>
        <v>0</v>
      </c>
      <c r="Z454" s="63">
        <f t="shared" si="194"/>
        <v>0</v>
      </c>
      <c r="AA454" s="63">
        <f t="shared" si="194"/>
        <v>0</v>
      </c>
      <c r="AB454" s="63">
        <f t="shared" si="194"/>
        <v>0</v>
      </c>
      <c r="AC454" s="63">
        <f t="shared" si="194"/>
        <v>0</v>
      </c>
      <c r="AD454" s="63">
        <f t="shared" si="194"/>
        <v>0</v>
      </c>
      <c r="AE454" s="63">
        <f t="shared" si="194"/>
        <v>0</v>
      </c>
      <c r="AF454" s="63">
        <f t="shared" si="195"/>
        <v>574384</v>
      </c>
      <c r="AG454" s="58" t="str">
        <f t="shared" si="196"/>
        <v>ok</v>
      </c>
    </row>
    <row r="455" spans="1:33">
      <c r="A455" s="60">
        <v>582</v>
      </c>
      <c r="B455" s="60" t="s">
        <v>1144</v>
      </c>
      <c r="C455" s="44" t="s">
        <v>55</v>
      </c>
      <c r="D455" s="44" t="s">
        <v>939</v>
      </c>
      <c r="F455" s="79">
        <v>851000</v>
      </c>
      <c r="H455" s="63">
        <f t="shared" si="193"/>
        <v>0</v>
      </c>
      <c r="I455" s="63">
        <f t="shared" si="193"/>
        <v>0</v>
      </c>
      <c r="J455" s="63">
        <f t="shared" si="193"/>
        <v>0</v>
      </c>
      <c r="K455" s="63">
        <f t="shared" si="193"/>
        <v>0</v>
      </c>
      <c r="L455" s="63">
        <f t="shared" si="193"/>
        <v>0</v>
      </c>
      <c r="M455" s="63">
        <f t="shared" si="193"/>
        <v>0</v>
      </c>
      <c r="N455" s="63">
        <f t="shared" si="193"/>
        <v>0</v>
      </c>
      <c r="O455" s="63">
        <f t="shared" si="193"/>
        <v>0</v>
      </c>
      <c r="P455" s="63">
        <f t="shared" si="193"/>
        <v>0</v>
      </c>
      <c r="Q455" s="63">
        <f t="shared" si="193"/>
        <v>0</v>
      </c>
      <c r="R455" s="63">
        <f t="shared" si="194"/>
        <v>851000</v>
      </c>
      <c r="S455" s="63">
        <f t="shared" si="194"/>
        <v>0</v>
      </c>
      <c r="T455" s="63">
        <f t="shared" si="194"/>
        <v>0</v>
      </c>
      <c r="U455" s="63">
        <f t="shared" si="194"/>
        <v>0</v>
      </c>
      <c r="V455" s="63">
        <f t="shared" si="194"/>
        <v>0</v>
      </c>
      <c r="W455" s="63">
        <f t="shared" si="194"/>
        <v>0</v>
      </c>
      <c r="X455" s="63">
        <f t="shared" si="194"/>
        <v>0</v>
      </c>
      <c r="Y455" s="63">
        <f t="shared" si="194"/>
        <v>0</v>
      </c>
      <c r="Z455" s="63">
        <f t="shared" si="194"/>
        <v>0</v>
      </c>
      <c r="AA455" s="63">
        <f t="shared" si="194"/>
        <v>0</v>
      </c>
      <c r="AB455" s="63">
        <f t="shared" si="194"/>
        <v>0</v>
      </c>
      <c r="AC455" s="63">
        <f t="shared" si="194"/>
        <v>0</v>
      </c>
      <c r="AD455" s="63">
        <f t="shared" si="194"/>
        <v>0</v>
      </c>
      <c r="AE455" s="63">
        <f t="shared" si="194"/>
        <v>0</v>
      </c>
      <c r="AF455" s="63">
        <f t="shared" si="195"/>
        <v>851000</v>
      </c>
      <c r="AG455" s="58" t="str">
        <f t="shared" si="196"/>
        <v>ok</v>
      </c>
    </row>
    <row r="456" spans="1:33">
      <c r="A456" s="60">
        <v>583</v>
      </c>
      <c r="B456" s="60" t="s">
        <v>992</v>
      </c>
      <c r="C456" s="44" t="s">
        <v>56</v>
      </c>
      <c r="D456" s="44" t="s">
        <v>942</v>
      </c>
      <c r="F456" s="79">
        <v>1741898</v>
      </c>
      <c r="H456" s="63">
        <f t="shared" si="193"/>
        <v>0</v>
      </c>
      <c r="I456" s="63">
        <f t="shared" si="193"/>
        <v>0</v>
      </c>
      <c r="J456" s="63">
        <f t="shared" si="193"/>
        <v>0</v>
      </c>
      <c r="K456" s="63">
        <f t="shared" si="193"/>
        <v>0</v>
      </c>
      <c r="L456" s="63">
        <f t="shared" si="193"/>
        <v>0</v>
      </c>
      <c r="M456" s="63">
        <f t="shared" si="193"/>
        <v>0</v>
      </c>
      <c r="N456" s="63">
        <f t="shared" si="193"/>
        <v>0</v>
      </c>
      <c r="O456" s="63">
        <f t="shared" si="193"/>
        <v>0</v>
      </c>
      <c r="P456" s="63">
        <f t="shared" si="193"/>
        <v>0</v>
      </c>
      <c r="Q456" s="63">
        <f t="shared" si="193"/>
        <v>0</v>
      </c>
      <c r="R456" s="63">
        <f t="shared" si="194"/>
        <v>0</v>
      </c>
      <c r="S456" s="63">
        <f t="shared" si="194"/>
        <v>0</v>
      </c>
      <c r="T456" s="63">
        <f t="shared" si="194"/>
        <v>520213.62230684003</v>
      </c>
      <c r="U456" s="63">
        <f t="shared" si="194"/>
        <v>754507.33409316</v>
      </c>
      <c r="V456" s="63">
        <f t="shared" si="194"/>
        <v>190654.95149316001</v>
      </c>
      <c r="W456" s="63">
        <f t="shared" si="194"/>
        <v>276522.09210683999</v>
      </c>
      <c r="X456" s="63">
        <f t="shared" si="194"/>
        <v>0</v>
      </c>
      <c r="Y456" s="63">
        <f t="shared" si="194"/>
        <v>0</v>
      </c>
      <c r="Z456" s="63">
        <f t="shared" si="194"/>
        <v>0</v>
      </c>
      <c r="AA456" s="63">
        <f t="shared" si="194"/>
        <v>0</v>
      </c>
      <c r="AB456" s="63">
        <f t="shared" si="194"/>
        <v>0</v>
      </c>
      <c r="AC456" s="63">
        <f t="shared" si="194"/>
        <v>0</v>
      </c>
      <c r="AD456" s="63">
        <f t="shared" si="194"/>
        <v>0</v>
      </c>
      <c r="AE456" s="63">
        <f t="shared" si="194"/>
        <v>0</v>
      </c>
      <c r="AF456" s="63">
        <f t="shared" si="195"/>
        <v>1741898</v>
      </c>
      <c r="AG456" s="58" t="str">
        <f t="shared" si="196"/>
        <v>ok</v>
      </c>
    </row>
    <row r="457" spans="1:33">
      <c r="A457" s="60">
        <v>584</v>
      </c>
      <c r="B457" s="60" t="s">
        <v>994</v>
      </c>
      <c r="C457" s="44" t="s">
        <v>57</v>
      </c>
      <c r="D457" s="44" t="s">
        <v>945</v>
      </c>
      <c r="F457" s="79">
        <v>168503</v>
      </c>
      <c r="H457" s="63">
        <f t="shared" si="193"/>
        <v>0</v>
      </c>
      <c r="I457" s="63">
        <f t="shared" si="193"/>
        <v>0</v>
      </c>
      <c r="J457" s="63">
        <f t="shared" si="193"/>
        <v>0</v>
      </c>
      <c r="K457" s="63">
        <f t="shared" si="193"/>
        <v>0</v>
      </c>
      <c r="L457" s="63">
        <f t="shared" si="193"/>
        <v>0</v>
      </c>
      <c r="M457" s="63">
        <f t="shared" si="193"/>
        <v>0</v>
      </c>
      <c r="N457" s="63">
        <f t="shared" si="193"/>
        <v>0</v>
      </c>
      <c r="O457" s="63">
        <f t="shared" si="193"/>
        <v>0</v>
      </c>
      <c r="P457" s="63">
        <f t="shared" si="193"/>
        <v>0</v>
      </c>
      <c r="Q457" s="63">
        <f t="shared" si="193"/>
        <v>0</v>
      </c>
      <c r="R457" s="63">
        <f t="shared" si="194"/>
        <v>0</v>
      </c>
      <c r="S457" s="63">
        <f t="shared" si="194"/>
        <v>0</v>
      </c>
      <c r="T457" s="63">
        <f t="shared" si="194"/>
        <v>52893.142250900004</v>
      </c>
      <c r="U457" s="63">
        <f t="shared" si="194"/>
        <v>95558.000749100014</v>
      </c>
      <c r="V457" s="63">
        <f t="shared" si="194"/>
        <v>7144.4766491</v>
      </c>
      <c r="W457" s="63">
        <f t="shared" si="194"/>
        <v>12907.380350899999</v>
      </c>
      <c r="X457" s="63">
        <f t="shared" si="194"/>
        <v>0</v>
      </c>
      <c r="Y457" s="63">
        <f t="shared" si="194"/>
        <v>0</v>
      </c>
      <c r="Z457" s="63">
        <f t="shared" si="194"/>
        <v>0</v>
      </c>
      <c r="AA457" s="63">
        <f t="shared" si="194"/>
        <v>0</v>
      </c>
      <c r="AB457" s="63">
        <f t="shared" si="194"/>
        <v>0</v>
      </c>
      <c r="AC457" s="63">
        <f t="shared" si="194"/>
        <v>0</v>
      </c>
      <c r="AD457" s="63">
        <f t="shared" si="194"/>
        <v>0</v>
      </c>
      <c r="AE457" s="63">
        <f t="shared" si="194"/>
        <v>0</v>
      </c>
      <c r="AF457" s="63">
        <f t="shared" si="195"/>
        <v>168503</v>
      </c>
      <c r="AG457" s="58" t="str">
        <f t="shared" si="196"/>
        <v>ok</v>
      </c>
    </row>
    <row r="458" spans="1:33">
      <c r="A458" s="60">
        <v>585</v>
      </c>
      <c r="B458" s="60" t="s">
        <v>996</v>
      </c>
      <c r="C458" s="44" t="s">
        <v>58</v>
      </c>
      <c r="D458" s="44" t="s">
        <v>953</v>
      </c>
      <c r="F458" s="79">
        <v>0</v>
      </c>
      <c r="H458" s="63">
        <f t="shared" si="193"/>
        <v>0</v>
      </c>
      <c r="I458" s="63">
        <f t="shared" si="193"/>
        <v>0</v>
      </c>
      <c r="J458" s="63">
        <f t="shared" si="193"/>
        <v>0</v>
      </c>
      <c r="K458" s="63">
        <f t="shared" si="193"/>
        <v>0</v>
      </c>
      <c r="L458" s="63">
        <f t="shared" si="193"/>
        <v>0</v>
      </c>
      <c r="M458" s="63">
        <f t="shared" si="193"/>
        <v>0</v>
      </c>
      <c r="N458" s="63">
        <f t="shared" si="193"/>
        <v>0</v>
      </c>
      <c r="O458" s="63">
        <f t="shared" si="193"/>
        <v>0</v>
      </c>
      <c r="P458" s="63">
        <f t="shared" si="193"/>
        <v>0</v>
      </c>
      <c r="Q458" s="63">
        <f t="shared" si="193"/>
        <v>0</v>
      </c>
      <c r="R458" s="63">
        <f t="shared" si="194"/>
        <v>0</v>
      </c>
      <c r="S458" s="63">
        <f t="shared" si="194"/>
        <v>0</v>
      </c>
      <c r="T458" s="63">
        <f t="shared" si="194"/>
        <v>0</v>
      </c>
      <c r="U458" s="63">
        <f t="shared" si="194"/>
        <v>0</v>
      </c>
      <c r="V458" s="63">
        <f t="shared" si="194"/>
        <v>0</v>
      </c>
      <c r="W458" s="63">
        <f t="shared" si="194"/>
        <v>0</v>
      </c>
      <c r="X458" s="63">
        <f t="shared" si="194"/>
        <v>0</v>
      </c>
      <c r="Y458" s="63">
        <f t="shared" si="194"/>
        <v>0</v>
      </c>
      <c r="Z458" s="63">
        <f t="shared" si="194"/>
        <v>0</v>
      </c>
      <c r="AA458" s="63">
        <f t="shared" si="194"/>
        <v>0</v>
      </c>
      <c r="AB458" s="63">
        <f t="shared" si="194"/>
        <v>0</v>
      </c>
      <c r="AC458" s="63">
        <f t="shared" si="194"/>
        <v>0</v>
      </c>
      <c r="AD458" s="63">
        <f t="shared" si="194"/>
        <v>0</v>
      </c>
      <c r="AE458" s="63">
        <f t="shared" si="194"/>
        <v>0</v>
      </c>
      <c r="AF458" s="63">
        <f t="shared" si="195"/>
        <v>0</v>
      </c>
      <c r="AG458" s="58" t="str">
        <f t="shared" si="196"/>
        <v>ok</v>
      </c>
    </row>
    <row r="459" spans="1:33">
      <c r="A459" s="60">
        <v>586</v>
      </c>
      <c r="B459" s="60" t="s">
        <v>998</v>
      </c>
      <c r="C459" s="44" t="s">
        <v>59</v>
      </c>
      <c r="D459" s="44" t="s">
        <v>950</v>
      </c>
      <c r="F459" s="79">
        <v>3736471</v>
      </c>
      <c r="H459" s="63">
        <f t="shared" si="193"/>
        <v>0</v>
      </c>
      <c r="I459" s="63">
        <f t="shared" si="193"/>
        <v>0</v>
      </c>
      <c r="J459" s="63">
        <f t="shared" si="193"/>
        <v>0</v>
      </c>
      <c r="K459" s="63">
        <f t="shared" si="193"/>
        <v>0</v>
      </c>
      <c r="L459" s="63">
        <f t="shared" si="193"/>
        <v>0</v>
      </c>
      <c r="M459" s="63">
        <f t="shared" si="193"/>
        <v>0</v>
      </c>
      <c r="N459" s="63">
        <f t="shared" si="193"/>
        <v>0</v>
      </c>
      <c r="O459" s="63">
        <f t="shared" si="193"/>
        <v>0</v>
      </c>
      <c r="P459" s="63">
        <f t="shared" si="193"/>
        <v>0</v>
      </c>
      <c r="Q459" s="63">
        <f t="shared" si="193"/>
        <v>0</v>
      </c>
      <c r="R459" s="63">
        <f t="shared" si="194"/>
        <v>0</v>
      </c>
      <c r="S459" s="63">
        <f t="shared" si="194"/>
        <v>0</v>
      </c>
      <c r="T459" s="63">
        <f t="shared" si="194"/>
        <v>0</v>
      </c>
      <c r="U459" s="63">
        <f t="shared" si="194"/>
        <v>0</v>
      </c>
      <c r="V459" s="63">
        <f t="shared" si="194"/>
        <v>0</v>
      </c>
      <c r="W459" s="63">
        <f t="shared" si="194"/>
        <v>0</v>
      </c>
      <c r="X459" s="63">
        <f t="shared" si="194"/>
        <v>0</v>
      </c>
      <c r="Y459" s="63">
        <f t="shared" si="194"/>
        <v>0</v>
      </c>
      <c r="Z459" s="63">
        <f t="shared" si="194"/>
        <v>0</v>
      </c>
      <c r="AA459" s="63">
        <f t="shared" si="194"/>
        <v>3736471</v>
      </c>
      <c r="AB459" s="63">
        <f t="shared" si="194"/>
        <v>0</v>
      </c>
      <c r="AC459" s="63">
        <f t="shared" si="194"/>
        <v>0</v>
      </c>
      <c r="AD459" s="63">
        <f t="shared" si="194"/>
        <v>0</v>
      </c>
      <c r="AE459" s="63">
        <f t="shared" si="194"/>
        <v>0</v>
      </c>
      <c r="AF459" s="63">
        <f t="shared" si="195"/>
        <v>3736471</v>
      </c>
      <c r="AG459" s="58" t="str">
        <f t="shared" si="196"/>
        <v>ok</v>
      </c>
    </row>
    <row r="460" spans="1:33">
      <c r="A460" s="60">
        <v>586</v>
      </c>
      <c r="B460" s="60" t="s">
        <v>27</v>
      </c>
      <c r="C460" s="44" t="s">
        <v>60</v>
      </c>
      <c r="D460" s="44" t="s">
        <v>42</v>
      </c>
      <c r="F460" s="79"/>
      <c r="H460" s="63">
        <f t="shared" si="193"/>
        <v>0</v>
      </c>
      <c r="I460" s="63">
        <f t="shared" si="193"/>
        <v>0</v>
      </c>
      <c r="J460" s="63">
        <f t="shared" si="193"/>
        <v>0</v>
      </c>
      <c r="K460" s="63">
        <f t="shared" si="193"/>
        <v>0</v>
      </c>
      <c r="L460" s="63">
        <f t="shared" si="193"/>
        <v>0</v>
      </c>
      <c r="M460" s="63">
        <f t="shared" si="193"/>
        <v>0</v>
      </c>
      <c r="N460" s="63">
        <f t="shared" si="193"/>
        <v>0</v>
      </c>
      <c r="O460" s="63">
        <f t="shared" si="193"/>
        <v>0</v>
      </c>
      <c r="P460" s="63">
        <f t="shared" si="193"/>
        <v>0</v>
      </c>
      <c r="Q460" s="63">
        <f t="shared" si="193"/>
        <v>0</v>
      </c>
      <c r="R460" s="63">
        <f t="shared" si="194"/>
        <v>0</v>
      </c>
      <c r="S460" s="63">
        <f t="shared" si="194"/>
        <v>0</v>
      </c>
      <c r="T460" s="63">
        <f t="shared" si="194"/>
        <v>0</v>
      </c>
      <c r="U460" s="63">
        <f t="shared" si="194"/>
        <v>0</v>
      </c>
      <c r="V460" s="63">
        <f t="shared" si="194"/>
        <v>0</v>
      </c>
      <c r="W460" s="63">
        <f t="shared" si="194"/>
        <v>0</v>
      </c>
      <c r="X460" s="63">
        <f t="shared" si="194"/>
        <v>0</v>
      </c>
      <c r="Y460" s="63">
        <f t="shared" si="194"/>
        <v>0</v>
      </c>
      <c r="Z460" s="63">
        <f t="shared" si="194"/>
        <v>0</v>
      </c>
      <c r="AA460" s="63">
        <f t="shared" si="194"/>
        <v>0</v>
      </c>
      <c r="AB460" s="63">
        <f t="shared" si="194"/>
        <v>0</v>
      </c>
      <c r="AC460" s="63">
        <f t="shared" si="194"/>
        <v>0</v>
      </c>
      <c r="AD460" s="63">
        <f t="shared" si="194"/>
        <v>0</v>
      </c>
      <c r="AE460" s="63">
        <f t="shared" si="194"/>
        <v>0</v>
      </c>
      <c r="AF460" s="63">
        <f t="shared" si="195"/>
        <v>0</v>
      </c>
      <c r="AG460" s="58" t="str">
        <f t="shared" si="196"/>
        <v>ok</v>
      </c>
    </row>
    <row r="461" spans="1:33">
      <c r="A461" s="60">
        <v>587</v>
      </c>
      <c r="B461" s="60" t="s">
        <v>1000</v>
      </c>
      <c r="C461" s="44" t="s">
        <v>61</v>
      </c>
      <c r="D461" s="44" t="s">
        <v>952</v>
      </c>
      <c r="F461" s="79">
        <v>0</v>
      </c>
      <c r="H461" s="63">
        <f t="shared" si="193"/>
        <v>0</v>
      </c>
      <c r="I461" s="63">
        <f t="shared" si="193"/>
        <v>0</v>
      </c>
      <c r="J461" s="63">
        <f t="shared" si="193"/>
        <v>0</v>
      </c>
      <c r="K461" s="63">
        <f t="shared" si="193"/>
        <v>0</v>
      </c>
      <c r="L461" s="63">
        <f t="shared" si="193"/>
        <v>0</v>
      </c>
      <c r="M461" s="63">
        <f t="shared" si="193"/>
        <v>0</v>
      </c>
      <c r="N461" s="63">
        <f t="shared" si="193"/>
        <v>0</v>
      </c>
      <c r="O461" s="63">
        <f t="shared" si="193"/>
        <v>0</v>
      </c>
      <c r="P461" s="63">
        <f t="shared" si="193"/>
        <v>0</v>
      </c>
      <c r="Q461" s="63">
        <f t="shared" si="193"/>
        <v>0</v>
      </c>
      <c r="R461" s="63">
        <f t="shared" si="194"/>
        <v>0</v>
      </c>
      <c r="S461" s="63">
        <f t="shared" si="194"/>
        <v>0</v>
      </c>
      <c r="T461" s="63">
        <f t="shared" si="194"/>
        <v>0</v>
      </c>
      <c r="U461" s="63">
        <f t="shared" si="194"/>
        <v>0</v>
      </c>
      <c r="V461" s="63">
        <f t="shared" si="194"/>
        <v>0</v>
      </c>
      <c r="W461" s="63">
        <f t="shared" si="194"/>
        <v>0</v>
      </c>
      <c r="X461" s="63">
        <f t="shared" si="194"/>
        <v>0</v>
      </c>
      <c r="Y461" s="63">
        <f t="shared" si="194"/>
        <v>0</v>
      </c>
      <c r="Z461" s="63">
        <f t="shared" si="194"/>
        <v>0</v>
      </c>
      <c r="AA461" s="63">
        <f t="shared" si="194"/>
        <v>0</v>
      </c>
      <c r="AB461" s="63">
        <f t="shared" si="194"/>
        <v>0</v>
      </c>
      <c r="AC461" s="63">
        <f t="shared" si="194"/>
        <v>0</v>
      </c>
      <c r="AD461" s="63">
        <f t="shared" si="194"/>
        <v>0</v>
      </c>
      <c r="AE461" s="63">
        <f t="shared" si="194"/>
        <v>0</v>
      </c>
      <c r="AF461" s="63">
        <f t="shared" si="195"/>
        <v>0</v>
      </c>
      <c r="AG461" s="58" t="str">
        <f t="shared" si="196"/>
        <v>ok</v>
      </c>
    </row>
    <row r="462" spans="1:33">
      <c r="A462" s="60">
        <v>588</v>
      </c>
      <c r="B462" s="60" t="s">
        <v>1002</v>
      </c>
      <c r="C462" s="44" t="s">
        <v>62</v>
      </c>
      <c r="D462" s="44" t="s">
        <v>935</v>
      </c>
      <c r="F462" s="79">
        <v>1539532</v>
      </c>
      <c r="H462" s="63">
        <f t="shared" si="193"/>
        <v>0</v>
      </c>
      <c r="I462" s="63">
        <f t="shared" si="193"/>
        <v>0</v>
      </c>
      <c r="J462" s="63">
        <f t="shared" si="193"/>
        <v>0</v>
      </c>
      <c r="K462" s="63">
        <f t="shared" si="193"/>
        <v>0</v>
      </c>
      <c r="L462" s="63">
        <f t="shared" si="193"/>
        <v>0</v>
      </c>
      <c r="M462" s="63">
        <f t="shared" si="193"/>
        <v>0</v>
      </c>
      <c r="N462" s="63">
        <f t="shared" si="193"/>
        <v>0</v>
      </c>
      <c r="O462" s="63">
        <f t="shared" si="193"/>
        <v>0</v>
      </c>
      <c r="P462" s="63">
        <f t="shared" si="193"/>
        <v>0</v>
      </c>
      <c r="Q462" s="63">
        <f t="shared" si="193"/>
        <v>0</v>
      </c>
      <c r="R462" s="63">
        <f t="shared" si="194"/>
        <v>172492.78691702455</v>
      </c>
      <c r="S462" s="63">
        <f t="shared" si="194"/>
        <v>0</v>
      </c>
      <c r="T462" s="63">
        <f t="shared" si="194"/>
        <v>294980.40824644017</v>
      </c>
      <c r="U462" s="63">
        <f t="shared" si="194"/>
        <v>469423.46418365283</v>
      </c>
      <c r="V462" s="63">
        <f t="shared" si="194"/>
        <v>81091.222767896557</v>
      </c>
      <c r="W462" s="63">
        <f t="shared" si="194"/>
        <v>123230.76853561448</v>
      </c>
      <c r="X462" s="63">
        <f t="shared" si="194"/>
        <v>112092.53557322365</v>
      </c>
      <c r="Y462" s="63">
        <f t="shared" si="194"/>
        <v>78392.17862883849</v>
      </c>
      <c r="Z462" s="63">
        <f t="shared" si="194"/>
        <v>38931.021656189172</v>
      </c>
      <c r="AA462" s="63">
        <f t="shared" si="194"/>
        <v>45158.897702567461</v>
      </c>
      <c r="AB462" s="63">
        <f t="shared" si="194"/>
        <v>123738.71578855267</v>
      </c>
      <c r="AC462" s="63">
        <f t="shared" si="194"/>
        <v>0</v>
      </c>
      <c r="AD462" s="63">
        <f t="shared" si="194"/>
        <v>0</v>
      </c>
      <c r="AE462" s="63">
        <f t="shared" si="194"/>
        <v>0</v>
      </c>
      <c r="AF462" s="63">
        <f t="shared" si="195"/>
        <v>1539532.0000000002</v>
      </c>
      <c r="AG462" s="58" t="str">
        <f t="shared" si="196"/>
        <v>ok</v>
      </c>
    </row>
    <row r="463" spans="1:33">
      <c r="A463" s="60">
        <v>589</v>
      </c>
      <c r="B463" s="60" t="s">
        <v>1004</v>
      </c>
      <c r="C463" s="44" t="s">
        <v>63</v>
      </c>
      <c r="D463" s="44" t="s">
        <v>935</v>
      </c>
      <c r="F463" s="79">
        <v>0</v>
      </c>
      <c r="H463" s="63">
        <f t="shared" si="193"/>
        <v>0</v>
      </c>
      <c r="I463" s="63">
        <f t="shared" si="193"/>
        <v>0</v>
      </c>
      <c r="J463" s="63">
        <f t="shared" si="193"/>
        <v>0</v>
      </c>
      <c r="K463" s="63">
        <f t="shared" si="193"/>
        <v>0</v>
      </c>
      <c r="L463" s="63">
        <f t="shared" si="193"/>
        <v>0</v>
      </c>
      <c r="M463" s="63">
        <f t="shared" si="193"/>
        <v>0</v>
      </c>
      <c r="N463" s="63">
        <f t="shared" si="193"/>
        <v>0</v>
      </c>
      <c r="O463" s="63">
        <f t="shared" si="193"/>
        <v>0</v>
      </c>
      <c r="P463" s="63">
        <f t="shared" si="193"/>
        <v>0</v>
      </c>
      <c r="Q463" s="63">
        <f t="shared" si="193"/>
        <v>0</v>
      </c>
      <c r="R463" s="63">
        <f t="shared" si="194"/>
        <v>0</v>
      </c>
      <c r="S463" s="63">
        <f t="shared" si="194"/>
        <v>0</v>
      </c>
      <c r="T463" s="63">
        <f t="shared" si="194"/>
        <v>0</v>
      </c>
      <c r="U463" s="63">
        <f t="shared" si="194"/>
        <v>0</v>
      </c>
      <c r="V463" s="63">
        <f t="shared" si="194"/>
        <v>0</v>
      </c>
      <c r="W463" s="63">
        <f t="shared" si="194"/>
        <v>0</v>
      </c>
      <c r="X463" s="63">
        <f t="shared" si="194"/>
        <v>0</v>
      </c>
      <c r="Y463" s="63">
        <f t="shared" si="194"/>
        <v>0</v>
      </c>
      <c r="Z463" s="63">
        <f t="shared" si="194"/>
        <v>0</v>
      </c>
      <c r="AA463" s="63">
        <f t="shared" si="194"/>
        <v>0</v>
      </c>
      <c r="AB463" s="63">
        <f t="shared" si="194"/>
        <v>0</v>
      </c>
      <c r="AC463" s="63">
        <f t="shared" si="194"/>
        <v>0</v>
      </c>
      <c r="AD463" s="63">
        <f t="shared" si="194"/>
        <v>0</v>
      </c>
      <c r="AE463" s="63">
        <f t="shared" si="194"/>
        <v>0</v>
      </c>
      <c r="AF463" s="63">
        <f t="shared" si="195"/>
        <v>0</v>
      </c>
      <c r="AG463" s="58" t="str">
        <f t="shared" si="196"/>
        <v>ok</v>
      </c>
    </row>
    <row r="464" spans="1:33">
      <c r="A464" s="60"/>
      <c r="B464" s="60"/>
      <c r="F464" s="79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G464" s="58"/>
    </row>
    <row r="465" spans="1:33">
      <c r="A465" s="60" t="s">
        <v>107</v>
      </c>
      <c r="B465" s="60"/>
      <c r="C465" s="44" t="s">
        <v>64</v>
      </c>
      <c r="F465" s="76">
        <f>SUM(F453:F464)</f>
        <v>9509829</v>
      </c>
      <c r="G465" s="62">
        <f t="shared" ref="G465:M465" si="197">SUM(G453:G464)</f>
        <v>0</v>
      </c>
      <c r="H465" s="62">
        <f t="shared" si="197"/>
        <v>0</v>
      </c>
      <c r="I465" s="62">
        <f t="shared" si="197"/>
        <v>0</v>
      </c>
      <c r="J465" s="62">
        <f t="shared" si="197"/>
        <v>0</v>
      </c>
      <c r="K465" s="62">
        <f t="shared" si="197"/>
        <v>0</v>
      </c>
      <c r="L465" s="62">
        <f t="shared" si="197"/>
        <v>0</v>
      </c>
      <c r="M465" s="62">
        <f t="shared" si="197"/>
        <v>0</v>
      </c>
      <c r="N465" s="62">
        <f>SUM(N453:N464)</f>
        <v>0</v>
      </c>
      <c r="O465" s="62">
        <f>SUM(O453:O464)</f>
        <v>0</v>
      </c>
      <c r="P465" s="62">
        <f>SUM(P453:P464)</f>
        <v>0</v>
      </c>
      <c r="Q465" s="62">
        <f t="shared" ref="Q465:AB465" si="198">SUM(Q453:Q464)</f>
        <v>0</v>
      </c>
      <c r="R465" s="62">
        <f t="shared" si="198"/>
        <v>1764504.0735617669</v>
      </c>
      <c r="S465" s="62">
        <f t="shared" si="198"/>
        <v>0</v>
      </c>
      <c r="T465" s="62">
        <f t="shared" si="198"/>
        <v>958611.68092633085</v>
      </c>
      <c r="U465" s="62">
        <f t="shared" si="198"/>
        <v>1457085.6651547619</v>
      </c>
      <c r="V465" s="62">
        <f t="shared" si="198"/>
        <v>307973.489344406</v>
      </c>
      <c r="W465" s="62">
        <f t="shared" si="198"/>
        <v>455692.63049039192</v>
      </c>
      <c r="X465" s="62">
        <f t="shared" si="198"/>
        <v>123781.59395909117</v>
      </c>
      <c r="Y465" s="62">
        <f t="shared" si="198"/>
        <v>86566.949128068241</v>
      </c>
      <c r="Z465" s="62">
        <f t="shared" si="198"/>
        <v>42990.765535061459</v>
      </c>
      <c r="AA465" s="62">
        <f t="shared" si="198"/>
        <v>4175979.9089850918</v>
      </c>
      <c r="AB465" s="62">
        <f t="shared" si="198"/>
        <v>136642.24291502949</v>
      </c>
      <c r="AC465" s="62">
        <f>SUM(AC453:AC464)</f>
        <v>0</v>
      </c>
      <c r="AD465" s="62">
        <f>SUM(AD453:AD464)</f>
        <v>0</v>
      </c>
      <c r="AE465" s="62">
        <f>SUM(AE453:AE464)</f>
        <v>0</v>
      </c>
      <c r="AF465" s="63">
        <f>SUM(H465:AE465)</f>
        <v>9509828.9999999981</v>
      </c>
      <c r="AG465" s="58" t="str">
        <f>IF(ABS(AF465-F465)&lt;1,"ok","err")</f>
        <v>ok</v>
      </c>
    </row>
    <row r="466" spans="1:33">
      <c r="A466" s="60"/>
      <c r="B466" s="60"/>
      <c r="F466" s="76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3"/>
      <c r="AG466" s="58"/>
    </row>
    <row r="467" spans="1:33">
      <c r="A467" s="60"/>
      <c r="B467" s="60"/>
      <c r="F467" s="76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3"/>
      <c r="AG467" s="58"/>
    </row>
    <row r="468" spans="1:33">
      <c r="A468" s="60"/>
      <c r="B468" s="60"/>
      <c r="F468" s="76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3"/>
      <c r="AG468" s="58"/>
    </row>
    <row r="469" spans="1:33">
      <c r="A469" s="60"/>
      <c r="B469" s="60"/>
      <c r="F469" s="76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3"/>
      <c r="AG469" s="58"/>
    </row>
    <row r="470" spans="1:33" ht="15">
      <c r="A470" s="65"/>
      <c r="B470" s="60"/>
      <c r="F470" s="79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G470" s="58"/>
    </row>
    <row r="471" spans="1:33" ht="15">
      <c r="A471" s="59" t="s">
        <v>45</v>
      </c>
      <c r="B471" s="60"/>
      <c r="F471" s="79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G471" s="58"/>
    </row>
    <row r="472" spans="1:33">
      <c r="A472" s="60"/>
      <c r="B472" s="60"/>
      <c r="F472" s="79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G472" s="58"/>
    </row>
    <row r="473" spans="1:33" ht="15">
      <c r="A473" s="65" t="s">
        <v>108</v>
      </c>
      <c r="B473" s="60"/>
      <c r="F473" s="79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G473" s="58"/>
    </row>
    <row r="474" spans="1:33">
      <c r="A474" s="60">
        <v>590</v>
      </c>
      <c r="B474" s="60" t="s">
        <v>1009</v>
      </c>
      <c r="C474" s="44" t="s">
        <v>65</v>
      </c>
      <c r="D474" s="44" t="s">
        <v>661</v>
      </c>
      <c r="F474" s="76">
        <v>0</v>
      </c>
      <c r="H474" s="63">
        <f t="shared" ref="H474:Q482" si="199">IF(VLOOKUP($D474,$C$6:$AE$653,H$2,)=0,0,((VLOOKUP($D474,$C$6:$AE$653,H$2,)/VLOOKUP($D474,$C$6:$AE$653,4,))*$F474))</f>
        <v>0</v>
      </c>
      <c r="I474" s="63">
        <f t="shared" si="199"/>
        <v>0</v>
      </c>
      <c r="J474" s="63">
        <f t="shared" si="199"/>
        <v>0</v>
      </c>
      <c r="K474" s="63">
        <f t="shared" si="199"/>
        <v>0</v>
      </c>
      <c r="L474" s="63">
        <f t="shared" si="199"/>
        <v>0</v>
      </c>
      <c r="M474" s="63">
        <f t="shared" si="199"/>
        <v>0</v>
      </c>
      <c r="N474" s="63">
        <f t="shared" si="199"/>
        <v>0</v>
      </c>
      <c r="O474" s="63">
        <f t="shared" si="199"/>
        <v>0</v>
      </c>
      <c r="P474" s="63">
        <f t="shared" si="199"/>
        <v>0</v>
      </c>
      <c r="Q474" s="63">
        <f t="shared" si="199"/>
        <v>0</v>
      </c>
      <c r="R474" s="63">
        <f t="shared" ref="R474:AE482" si="200">IF(VLOOKUP($D474,$C$6:$AE$653,R$2,)=0,0,((VLOOKUP($D474,$C$6:$AE$653,R$2,)/VLOOKUP($D474,$C$6:$AE$653,4,))*$F474))</f>
        <v>0</v>
      </c>
      <c r="S474" s="63">
        <f t="shared" si="200"/>
        <v>0</v>
      </c>
      <c r="T474" s="63">
        <f t="shared" si="200"/>
        <v>0</v>
      </c>
      <c r="U474" s="63">
        <f t="shared" si="200"/>
        <v>0</v>
      </c>
      <c r="V474" s="63">
        <f t="shared" si="200"/>
        <v>0</v>
      </c>
      <c r="W474" s="63">
        <f t="shared" si="200"/>
        <v>0</v>
      </c>
      <c r="X474" s="63">
        <f t="shared" si="200"/>
        <v>0</v>
      </c>
      <c r="Y474" s="63">
        <f t="shared" si="200"/>
        <v>0</v>
      </c>
      <c r="Z474" s="63">
        <f t="shared" si="200"/>
        <v>0</v>
      </c>
      <c r="AA474" s="63">
        <f t="shared" si="200"/>
        <v>0</v>
      </c>
      <c r="AB474" s="63">
        <f t="shared" si="200"/>
        <v>0</v>
      </c>
      <c r="AC474" s="63">
        <f t="shared" si="200"/>
        <v>0</v>
      </c>
      <c r="AD474" s="63">
        <f t="shared" si="200"/>
        <v>0</v>
      </c>
      <c r="AE474" s="63">
        <f t="shared" si="200"/>
        <v>0</v>
      </c>
      <c r="AF474" s="63">
        <f t="shared" ref="AF474:AF482" si="201">SUM(H474:AE474)</f>
        <v>0</v>
      </c>
      <c r="AG474" s="58" t="str">
        <f t="shared" ref="AG474:AG482" si="202">IF(ABS(AF474-F474)&lt;1,"ok","err")</f>
        <v>ok</v>
      </c>
    </row>
    <row r="475" spans="1:33">
      <c r="A475" s="60">
        <v>591</v>
      </c>
      <c r="B475" s="60" t="s">
        <v>223</v>
      </c>
      <c r="C475" s="44" t="s">
        <v>614</v>
      </c>
      <c r="D475" s="44" t="s">
        <v>939</v>
      </c>
      <c r="F475" s="79">
        <v>0</v>
      </c>
      <c r="H475" s="63">
        <f t="shared" si="199"/>
        <v>0</v>
      </c>
      <c r="I475" s="63">
        <f t="shared" si="199"/>
        <v>0</v>
      </c>
      <c r="J475" s="63">
        <f t="shared" si="199"/>
        <v>0</v>
      </c>
      <c r="K475" s="63">
        <f t="shared" si="199"/>
        <v>0</v>
      </c>
      <c r="L475" s="63">
        <f t="shared" si="199"/>
        <v>0</v>
      </c>
      <c r="M475" s="63">
        <f t="shared" si="199"/>
        <v>0</v>
      </c>
      <c r="N475" s="63">
        <f t="shared" si="199"/>
        <v>0</v>
      </c>
      <c r="O475" s="63">
        <f t="shared" si="199"/>
        <v>0</v>
      </c>
      <c r="P475" s="63">
        <f t="shared" si="199"/>
        <v>0</v>
      </c>
      <c r="Q475" s="63">
        <f t="shared" si="199"/>
        <v>0</v>
      </c>
      <c r="R475" s="63">
        <f t="shared" si="200"/>
        <v>0</v>
      </c>
      <c r="S475" s="63">
        <f t="shared" si="200"/>
        <v>0</v>
      </c>
      <c r="T475" s="63">
        <f t="shared" si="200"/>
        <v>0</v>
      </c>
      <c r="U475" s="63">
        <f t="shared" si="200"/>
        <v>0</v>
      </c>
      <c r="V475" s="63">
        <f t="shared" si="200"/>
        <v>0</v>
      </c>
      <c r="W475" s="63">
        <f t="shared" si="200"/>
        <v>0</v>
      </c>
      <c r="X475" s="63">
        <f t="shared" si="200"/>
        <v>0</v>
      </c>
      <c r="Y475" s="63">
        <f t="shared" si="200"/>
        <v>0</v>
      </c>
      <c r="Z475" s="63">
        <f t="shared" si="200"/>
        <v>0</v>
      </c>
      <c r="AA475" s="63">
        <f t="shared" si="200"/>
        <v>0</v>
      </c>
      <c r="AB475" s="63">
        <f t="shared" si="200"/>
        <v>0</v>
      </c>
      <c r="AC475" s="63">
        <f t="shared" si="200"/>
        <v>0</v>
      </c>
      <c r="AD475" s="63">
        <f t="shared" si="200"/>
        <v>0</v>
      </c>
      <c r="AE475" s="63">
        <f t="shared" si="200"/>
        <v>0</v>
      </c>
      <c r="AF475" s="63">
        <f>SUM(H475:AE475)</f>
        <v>0</v>
      </c>
      <c r="AG475" s="58" t="str">
        <f t="shared" si="202"/>
        <v>ok</v>
      </c>
    </row>
    <row r="476" spans="1:33">
      <c r="A476" s="60">
        <v>592</v>
      </c>
      <c r="B476" s="60" t="s">
        <v>1011</v>
      </c>
      <c r="C476" s="44" t="s">
        <v>66</v>
      </c>
      <c r="D476" s="44" t="s">
        <v>939</v>
      </c>
      <c r="F476" s="79">
        <v>199000</v>
      </c>
      <c r="H476" s="63">
        <f t="shared" si="199"/>
        <v>0</v>
      </c>
      <c r="I476" s="63">
        <f t="shared" si="199"/>
        <v>0</v>
      </c>
      <c r="J476" s="63">
        <f t="shared" si="199"/>
        <v>0</v>
      </c>
      <c r="K476" s="63">
        <f t="shared" si="199"/>
        <v>0</v>
      </c>
      <c r="L476" s="63">
        <f t="shared" si="199"/>
        <v>0</v>
      </c>
      <c r="M476" s="63">
        <f t="shared" si="199"/>
        <v>0</v>
      </c>
      <c r="N476" s="63">
        <f t="shared" si="199"/>
        <v>0</v>
      </c>
      <c r="O476" s="63">
        <f t="shared" si="199"/>
        <v>0</v>
      </c>
      <c r="P476" s="63">
        <f t="shared" si="199"/>
        <v>0</v>
      </c>
      <c r="Q476" s="63">
        <f t="shared" si="199"/>
        <v>0</v>
      </c>
      <c r="R476" s="63">
        <f t="shared" si="200"/>
        <v>199000</v>
      </c>
      <c r="S476" s="63">
        <f t="shared" si="200"/>
        <v>0</v>
      </c>
      <c r="T476" s="63">
        <f t="shared" si="200"/>
        <v>0</v>
      </c>
      <c r="U476" s="63">
        <f t="shared" si="200"/>
        <v>0</v>
      </c>
      <c r="V476" s="63">
        <f t="shared" si="200"/>
        <v>0</v>
      </c>
      <c r="W476" s="63">
        <f t="shared" si="200"/>
        <v>0</v>
      </c>
      <c r="X476" s="63">
        <f t="shared" si="200"/>
        <v>0</v>
      </c>
      <c r="Y476" s="63">
        <f t="shared" si="200"/>
        <v>0</v>
      </c>
      <c r="Z476" s="63">
        <f t="shared" si="200"/>
        <v>0</v>
      </c>
      <c r="AA476" s="63">
        <f t="shared" si="200"/>
        <v>0</v>
      </c>
      <c r="AB476" s="63">
        <f t="shared" si="200"/>
        <v>0</v>
      </c>
      <c r="AC476" s="63">
        <f t="shared" si="200"/>
        <v>0</v>
      </c>
      <c r="AD476" s="63">
        <f t="shared" si="200"/>
        <v>0</v>
      </c>
      <c r="AE476" s="63">
        <f t="shared" si="200"/>
        <v>0</v>
      </c>
      <c r="AF476" s="63">
        <f t="shared" si="201"/>
        <v>199000</v>
      </c>
      <c r="AG476" s="58" t="str">
        <f t="shared" si="202"/>
        <v>ok</v>
      </c>
    </row>
    <row r="477" spans="1:33">
      <c r="A477" s="60">
        <v>593</v>
      </c>
      <c r="B477" s="60" t="s">
        <v>1013</v>
      </c>
      <c r="C477" s="44" t="s">
        <v>67</v>
      </c>
      <c r="D477" s="44" t="s">
        <v>942</v>
      </c>
      <c r="F477" s="79">
        <v>2584023</v>
      </c>
      <c r="H477" s="63">
        <f t="shared" si="199"/>
        <v>0</v>
      </c>
      <c r="I477" s="63">
        <f t="shared" si="199"/>
        <v>0</v>
      </c>
      <c r="J477" s="63">
        <f t="shared" si="199"/>
        <v>0</v>
      </c>
      <c r="K477" s="63">
        <f t="shared" si="199"/>
        <v>0</v>
      </c>
      <c r="L477" s="63">
        <f t="shared" si="199"/>
        <v>0</v>
      </c>
      <c r="M477" s="63">
        <f t="shared" si="199"/>
        <v>0</v>
      </c>
      <c r="N477" s="63">
        <f t="shared" si="199"/>
        <v>0</v>
      </c>
      <c r="O477" s="63">
        <f t="shared" si="199"/>
        <v>0</v>
      </c>
      <c r="P477" s="63">
        <f t="shared" si="199"/>
        <v>0</v>
      </c>
      <c r="Q477" s="63">
        <f t="shared" si="199"/>
        <v>0</v>
      </c>
      <c r="R477" s="63">
        <f t="shared" si="200"/>
        <v>0</v>
      </c>
      <c r="S477" s="63">
        <f t="shared" si="200"/>
        <v>0</v>
      </c>
      <c r="T477" s="63">
        <f t="shared" si="200"/>
        <v>771712.21561434004</v>
      </c>
      <c r="U477" s="63">
        <f t="shared" si="200"/>
        <v>1119275.8157856599</v>
      </c>
      <c r="V477" s="63">
        <f t="shared" si="200"/>
        <v>282827.57068566</v>
      </c>
      <c r="W477" s="63">
        <f t="shared" si="200"/>
        <v>410207.39791434002</v>
      </c>
      <c r="X477" s="63">
        <f t="shared" si="200"/>
        <v>0</v>
      </c>
      <c r="Y477" s="63">
        <f t="shared" si="200"/>
        <v>0</v>
      </c>
      <c r="Z477" s="63">
        <f t="shared" si="200"/>
        <v>0</v>
      </c>
      <c r="AA477" s="63">
        <f t="shared" si="200"/>
        <v>0</v>
      </c>
      <c r="AB477" s="63">
        <f t="shared" si="200"/>
        <v>0</v>
      </c>
      <c r="AC477" s="63">
        <f t="shared" si="200"/>
        <v>0</v>
      </c>
      <c r="AD477" s="63">
        <f t="shared" si="200"/>
        <v>0</v>
      </c>
      <c r="AE477" s="63">
        <f t="shared" si="200"/>
        <v>0</v>
      </c>
      <c r="AF477" s="63">
        <f t="shared" si="201"/>
        <v>2584023</v>
      </c>
      <c r="AG477" s="58" t="str">
        <f t="shared" si="202"/>
        <v>ok</v>
      </c>
    </row>
    <row r="478" spans="1:33">
      <c r="A478" s="60">
        <v>594</v>
      </c>
      <c r="B478" s="60" t="s">
        <v>1015</v>
      </c>
      <c r="C478" s="44" t="s">
        <v>68</v>
      </c>
      <c r="D478" s="44" t="s">
        <v>945</v>
      </c>
      <c r="F478" s="79">
        <v>403600</v>
      </c>
      <c r="H478" s="63">
        <f t="shared" si="199"/>
        <v>0</v>
      </c>
      <c r="I478" s="63">
        <f t="shared" si="199"/>
        <v>0</v>
      </c>
      <c r="J478" s="63">
        <f t="shared" si="199"/>
        <v>0</v>
      </c>
      <c r="K478" s="63">
        <f t="shared" si="199"/>
        <v>0</v>
      </c>
      <c r="L478" s="63">
        <f t="shared" si="199"/>
        <v>0</v>
      </c>
      <c r="M478" s="63">
        <f t="shared" si="199"/>
        <v>0</v>
      </c>
      <c r="N478" s="63">
        <f t="shared" si="199"/>
        <v>0</v>
      </c>
      <c r="O478" s="63">
        <f t="shared" si="199"/>
        <v>0</v>
      </c>
      <c r="P478" s="63">
        <f t="shared" si="199"/>
        <v>0</v>
      </c>
      <c r="Q478" s="63">
        <f t="shared" si="199"/>
        <v>0</v>
      </c>
      <c r="R478" s="63">
        <f t="shared" si="200"/>
        <v>0</v>
      </c>
      <c r="S478" s="63">
        <f t="shared" si="200"/>
        <v>0</v>
      </c>
      <c r="T478" s="63">
        <f t="shared" si="200"/>
        <v>126690.16108000001</v>
      </c>
      <c r="U478" s="63">
        <f t="shared" si="200"/>
        <v>228881.43892000004</v>
      </c>
      <c r="V478" s="63">
        <f t="shared" si="200"/>
        <v>17112.518919999999</v>
      </c>
      <c r="W478" s="63">
        <f t="shared" si="200"/>
        <v>30915.881079999999</v>
      </c>
      <c r="X478" s="63">
        <f t="shared" si="200"/>
        <v>0</v>
      </c>
      <c r="Y478" s="63">
        <f t="shared" si="200"/>
        <v>0</v>
      </c>
      <c r="Z478" s="63">
        <f t="shared" si="200"/>
        <v>0</v>
      </c>
      <c r="AA478" s="63">
        <f t="shared" si="200"/>
        <v>0</v>
      </c>
      <c r="AB478" s="63">
        <f t="shared" si="200"/>
        <v>0</v>
      </c>
      <c r="AC478" s="63">
        <f t="shared" si="200"/>
        <v>0</v>
      </c>
      <c r="AD478" s="63">
        <f t="shared" si="200"/>
        <v>0</v>
      </c>
      <c r="AE478" s="63">
        <f t="shared" si="200"/>
        <v>0</v>
      </c>
      <c r="AF478" s="63">
        <f t="shared" si="201"/>
        <v>403600.00000000006</v>
      </c>
      <c r="AG478" s="58" t="str">
        <f t="shared" si="202"/>
        <v>ok</v>
      </c>
    </row>
    <row r="479" spans="1:33">
      <c r="A479" s="60">
        <v>595</v>
      </c>
      <c r="B479" s="60" t="s">
        <v>1017</v>
      </c>
      <c r="C479" s="44" t="s">
        <v>69</v>
      </c>
      <c r="D479" s="44" t="s">
        <v>946</v>
      </c>
      <c r="F479" s="79">
        <v>77717</v>
      </c>
      <c r="H479" s="63">
        <f t="shared" si="199"/>
        <v>0</v>
      </c>
      <c r="I479" s="63">
        <f t="shared" si="199"/>
        <v>0</v>
      </c>
      <c r="J479" s="63">
        <f t="shared" si="199"/>
        <v>0</v>
      </c>
      <c r="K479" s="63">
        <f t="shared" si="199"/>
        <v>0</v>
      </c>
      <c r="L479" s="63">
        <f t="shared" si="199"/>
        <v>0</v>
      </c>
      <c r="M479" s="63">
        <f t="shared" si="199"/>
        <v>0</v>
      </c>
      <c r="N479" s="63">
        <f t="shared" si="199"/>
        <v>0</v>
      </c>
      <c r="O479" s="63">
        <f t="shared" si="199"/>
        <v>0</v>
      </c>
      <c r="P479" s="63">
        <f t="shared" si="199"/>
        <v>0</v>
      </c>
      <c r="Q479" s="63">
        <f t="shared" si="199"/>
        <v>0</v>
      </c>
      <c r="R479" s="63">
        <f t="shared" si="200"/>
        <v>0</v>
      </c>
      <c r="S479" s="63">
        <f t="shared" si="200"/>
        <v>0</v>
      </c>
      <c r="T479" s="63">
        <f t="shared" si="200"/>
        <v>0</v>
      </c>
      <c r="U479" s="63">
        <f t="shared" si="200"/>
        <v>0</v>
      </c>
      <c r="V479" s="63">
        <f t="shared" si="200"/>
        <v>0</v>
      </c>
      <c r="W479" s="63">
        <f t="shared" si="200"/>
        <v>0</v>
      </c>
      <c r="X479" s="63">
        <f t="shared" si="200"/>
        <v>45733.305287180439</v>
      </c>
      <c r="Y479" s="63">
        <f t="shared" si="200"/>
        <v>31983.694712819564</v>
      </c>
      <c r="Z479" s="63">
        <f t="shared" si="200"/>
        <v>0</v>
      </c>
      <c r="AA479" s="63">
        <f t="shared" si="200"/>
        <v>0</v>
      </c>
      <c r="AB479" s="63">
        <f t="shared" si="200"/>
        <v>0</v>
      </c>
      <c r="AC479" s="63">
        <f t="shared" si="200"/>
        <v>0</v>
      </c>
      <c r="AD479" s="63">
        <f t="shared" si="200"/>
        <v>0</v>
      </c>
      <c r="AE479" s="63">
        <f t="shared" si="200"/>
        <v>0</v>
      </c>
      <c r="AF479" s="63">
        <f t="shared" si="201"/>
        <v>77717</v>
      </c>
      <c r="AG479" s="58" t="str">
        <f t="shared" si="202"/>
        <v>ok</v>
      </c>
    </row>
    <row r="480" spans="1:33">
      <c r="A480" s="60">
        <v>596</v>
      </c>
      <c r="B480" s="60" t="s">
        <v>1152</v>
      </c>
      <c r="C480" s="44" t="s">
        <v>70</v>
      </c>
      <c r="D480" s="44" t="s">
        <v>953</v>
      </c>
      <c r="F480" s="79">
        <v>6800</v>
      </c>
      <c r="H480" s="63">
        <f t="shared" si="199"/>
        <v>0</v>
      </c>
      <c r="I480" s="63">
        <f t="shared" si="199"/>
        <v>0</v>
      </c>
      <c r="J480" s="63">
        <f t="shared" si="199"/>
        <v>0</v>
      </c>
      <c r="K480" s="63">
        <f t="shared" si="199"/>
        <v>0</v>
      </c>
      <c r="L480" s="63">
        <f t="shared" si="199"/>
        <v>0</v>
      </c>
      <c r="M480" s="63">
        <f t="shared" si="199"/>
        <v>0</v>
      </c>
      <c r="N480" s="63">
        <f t="shared" si="199"/>
        <v>0</v>
      </c>
      <c r="O480" s="63">
        <f t="shared" si="199"/>
        <v>0</v>
      </c>
      <c r="P480" s="63">
        <f t="shared" si="199"/>
        <v>0</v>
      </c>
      <c r="Q480" s="63">
        <f t="shared" si="199"/>
        <v>0</v>
      </c>
      <c r="R480" s="63">
        <f t="shared" si="200"/>
        <v>0</v>
      </c>
      <c r="S480" s="63">
        <f t="shared" si="200"/>
        <v>0</v>
      </c>
      <c r="T480" s="63">
        <f t="shared" si="200"/>
        <v>0</v>
      </c>
      <c r="U480" s="63">
        <f t="shared" si="200"/>
        <v>0</v>
      </c>
      <c r="V480" s="63">
        <f t="shared" si="200"/>
        <v>0</v>
      </c>
      <c r="W480" s="63">
        <f t="shared" si="200"/>
        <v>0</v>
      </c>
      <c r="X480" s="63">
        <f t="shared" si="200"/>
        <v>0</v>
      </c>
      <c r="Y480" s="63">
        <f t="shared" si="200"/>
        <v>0</v>
      </c>
      <c r="Z480" s="63">
        <f t="shared" si="200"/>
        <v>0</v>
      </c>
      <c r="AA480" s="63">
        <f t="shared" si="200"/>
        <v>0</v>
      </c>
      <c r="AB480" s="63">
        <f t="shared" si="200"/>
        <v>6800</v>
      </c>
      <c r="AC480" s="63">
        <f t="shared" si="200"/>
        <v>0</v>
      </c>
      <c r="AD480" s="63">
        <f t="shared" si="200"/>
        <v>0</v>
      </c>
      <c r="AE480" s="63">
        <f t="shared" si="200"/>
        <v>0</v>
      </c>
      <c r="AF480" s="63">
        <f t="shared" si="201"/>
        <v>6800</v>
      </c>
      <c r="AG480" s="58" t="str">
        <f t="shared" si="202"/>
        <v>ok</v>
      </c>
    </row>
    <row r="481" spans="1:33">
      <c r="A481" s="60">
        <v>597</v>
      </c>
      <c r="B481" s="60" t="s">
        <v>1019</v>
      </c>
      <c r="C481" s="44" t="s">
        <v>71</v>
      </c>
      <c r="D481" s="44" t="s">
        <v>950</v>
      </c>
      <c r="F481" s="79">
        <v>0</v>
      </c>
      <c r="H481" s="63">
        <f t="shared" si="199"/>
        <v>0</v>
      </c>
      <c r="I481" s="63">
        <f t="shared" si="199"/>
        <v>0</v>
      </c>
      <c r="J481" s="63">
        <f t="shared" si="199"/>
        <v>0</v>
      </c>
      <c r="K481" s="63">
        <f t="shared" si="199"/>
        <v>0</v>
      </c>
      <c r="L481" s="63">
        <f t="shared" si="199"/>
        <v>0</v>
      </c>
      <c r="M481" s="63">
        <f t="shared" si="199"/>
        <v>0</v>
      </c>
      <c r="N481" s="63">
        <f t="shared" si="199"/>
        <v>0</v>
      </c>
      <c r="O481" s="63">
        <f t="shared" si="199"/>
        <v>0</v>
      </c>
      <c r="P481" s="63">
        <f t="shared" si="199"/>
        <v>0</v>
      </c>
      <c r="Q481" s="63">
        <f t="shared" si="199"/>
        <v>0</v>
      </c>
      <c r="R481" s="63">
        <f t="shared" si="200"/>
        <v>0</v>
      </c>
      <c r="S481" s="63">
        <f t="shared" si="200"/>
        <v>0</v>
      </c>
      <c r="T481" s="63">
        <f t="shared" si="200"/>
        <v>0</v>
      </c>
      <c r="U481" s="63">
        <f t="shared" si="200"/>
        <v>0</v>
      </c>
      <c r="V481" s="63">
        <f t="shared" si="200"/>
        <v>0</v>
      </c>
      <c r="W481" s="63">
        <f t="shared" si="200"/>
        <v>0</v>
      </c>
      <c r="X481" s="63">
        <f t="shared" si="200"/>
        <v>0</v>
      </c>
      <c r="Y481" s="63">
        <f t="shared" si="200"/>
        <v>0</v>
      </c>
      <c r="Z481" s="63">
        <f t="shared" si="200"/>
        <v>0</v>
      </c>
      <c r="AA481" s="63">
        <f t="shared" si="200"/>
        <v>0</v>
      </c>
      <c r="AB481" s="63">
        <f t="shared" si="200"/>
        <v>0</v>
      </c>
      <c r="AC481" s="63">
        <f t="shared" si="200"/>
        <v>0</v>
      </c>
      <c r="AD481" s="63">
        <f t="shared" si="200"/>
        <v>0</v>
      </c>
      <c r="AE481" s="63">
        <f t="shared" si="200"/>
        <v>0</v>
      </c>
      <c r="AF481" s="63">
        <f t="shared" si="201"/>
        <v>0</v>
      </c>
      <c r="AG481" s="58" t="str">
        <f t="shared" si="202"/>
        <v>ok</v>
      </c>
    </row>
    <row r="482" spans="1:33">
      <c r="A482" s="60">
        <v>598</v>
      </c>
      <c r="B482" s="60" t="s">
        <v>1156</v>
      </c>
      <c r="C482" s="44" t="s">
        <v>72</v>
      </c>
      <c r="D482" s="44" t="s">
        <v>935</v>
      </c>
      <c r="F482" s="79">
        <v>0</v>
      </c>
      <c r="H482" s="63">
        <f t="shared" si="199"/>
        <v>0</v>
      </c>
      <c r="I482" s="63">
        <f t="shared" si="199"/>
        <v>0</v>
      </c>
      <c r="J482" s="63">
        <f t="shared" si="199"/>
        <v>0</v>
      </c>
      <c r="K482" s="63">
        <f t="shared" si="199"/>
        <v>0</v>
      </c>
      <c r="L482" s="63">
        <f t="shared" si="199"/>
        <v>0</v>
      </c>
      <c r="M482" s="63">
        <f t="shared" si="199"/>
        <v>0</v>
      </c>
      <c r="N482" s="63">
        <f t="shared" si="199"/>
        <v>0</v>
      </c>
      <c r="O482" s="63">
        <f t="shared" si="199"/>
        <v>0</v>
      </c>
      <c r="P482" s="63">
        <f t="shared" si="199"/>
        <v>0</v>
      </c>
      <c r="Q482" s="63">
        <f t="shared" si="199"/>
        <v>0</v>
      </c>
      <c r="R482" s="63">
        <f t="shared" si="200"/>
        <v>0</v>
      </c>
      <c r="S482" s="63">
        <f t="shared" si="200"/>
        <v>0</v>
      </c>
      <c r="T482" s="63">
        <f t="shared" si="200"/>
        <v>0</v>
      </c>
      <c r="U482" s="63">
        <f t="shared" si="200"/>
        <v>0</v>
      </c>
      <c r="V482" s="63">
        <f t="shared" si="200"/>
        <v>0</v>
      </c>
      <c r="W482" s="63">
        <f t="shared" si="200"/>
        <v>0</v>
      </c>
      <c r="X482" s="63">
        <f t="shared" si="200"/>
        <v>0</v>
      </c>
      <c r="Y482" s="63">
        <f t="shared" si="200"/>
        <v>0</v>
      </c>
      <c r="Z482" s="63">
        <f t="shared" si="200"/>
        <v>0</v>
      </c>
      <c r="AA482" s="63">
        <f t="shared" si="200"/>
        <v>0</v>
      </c>
      <c r="AB482" s="63">
        <f t="shared" si="200"/>
        <v>0</v>
      </c>
      <c r="AC482" s="63">
        <f t="shared" si="200"/>
        <v>0</v>
      </c>
      <c r="AD482" s="63">
        <f t="shared" si="200"/>
        <v>0</v>
      </c>
      <c r="AE482" s="63">
        <f t="shared" si="200"/>
        <v>0</v>
      </c>
      <c r="AF482" s="63">
        <f t="shared" si="201"/>
        <v>0</v>
      </c>
      <c r="AG482" s="58" t="str">
        <f t="shared" si="202"/>
        <v>ok</v>
      </c>
    </row>
    <row r="483" spans="1:33">
      <c r="A483" s="60"/>
      <c r="B483" s="60"/>
      <c r="F483" s="79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58"/>
    </row>
    <row r="484" spans="1:33">
      <c r="A484" s="60" t="s">
        <v>109</v>
      </c>
      <c r="B484" s="60"/>
      <c r="C484" s="44" t="s">
        <v>73</v>
      </c>
      <c r="F484" s="76">
        <f t="shared" ref="F484:M484" si="203">SUM(F474:F483)</f>
        <v>3271140</v>
      </c>
      <c r="G484" s="62">
        <f t="shared" si="203"/>
        <v>0</v>
      </c>
      <c r="H484" s="62">
        <f t="shared" si="203"/>
        <v>0</v>
      </c>
      <c r="I484" s="62">
        <f t="shared" si="203"/>
        <v>0</v>
      </c>
      <c r="J484" s="62">
        <f t="shared" si="203"/>
        <v>0</v>
      </c>
      <c r="K484" s="62">
        <f t="shared" si="203"/>
        <v>0</v>
      </c>
      <c r="L484" s="62">
        <f t="shared" si="203"/>
        <v>0</v>
      </c>
      <c r="M484" s="62">
        <f t="shared" si="203"/>
        <v>0</v>
      </c>
      <c r="N484" s="62">
        <f>SUM(N474:N483)</f>
        <v>0</v>
      </c>
      <c r="O484" s="62">
        <f>SUM(O474:O483)</f>
        <v>0</v>
      </c>
      <c r="P484" s="62">
        <f>SUM(P474:P483)</f>
        <v>0</v>
      </c>
      <c r="Q484" s="62">
        <f t="shared" ref="Q484:AB484" si="204">SUM(Q474:Q483)</f>
        <v>0</v>
      </c>
      <c r="R484" s="62">
        <f t="shared" si="204"/>
        <v>199000</v>
      </c>
      <c r="S484" s="62">
        <f t="shared" si="204"/>
        <v>0</v>
      </c>
      <c r="T484" s="62">
        <f t="shared" si="204"/>
        <v>898402.37669434003</v>
      </c>
      <c r="U484" s="62">
        <f t="shared" si="204"/>
        <v>1348157.25470566</v>
      </c>
      <c r="V484" s="62">
        <f t="shared" si="204"/>
        <v>299940.08960566</v>
      </c>
      <c r="W484" s="62">
        <f t="shared" si="204"/>
        <v>441123.27899434004</v>
      </c>
      <c r="X484" s="62">
        <f t="shared" si="204"/>
        <v>45733.305287180439</v>
      </c>
      <c r="Y484" s="62">
        <f t="shared" si="204"/>
        <v>31983.694712819564</v>
      </c>
      <c r="Z484" s="62">
        <f t="shared" si="204"/>
        <v>0</v>
      </c>
      <c r="AA484" s="62">
        <f t="shared" si="204"/>
        <v>0</v>
      </c>
      <c r="AB484" s="62">
        <f t="shared" si="204"/>
        <v>6800</v>
      </c>
      <c r="AC484" s="62">
        <f>SUM(AC474:AC483)</f>
        <v>0</v>
      </c>
      <c r="AD484" s="62">
        <f>SUM(AD474:AD483)</f>
        <v>0</v>
      </c>
      <c r="AE484" s="62">
        <f>SUM(AE474:AE483)</f>
        <v>0</v>
      </c>
      <c r="AF484" s="63">
        <f>SUM(H484:AE484)</f>
        <v>3271140.0000000005</v>
      </c>
      <c r="AG484" s="58" t="str">
        <f>IF(ABS(AF484-F484)&lt;1,"ok","err")</f>
        <v>ok</v>
      </c>
    </row>
    <row r="485" spans="1:33">
      <c r="A485" s="60"/>
      <c r="B485" s="60"/>
      <c r="F485" s="79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G485" s="58"/>
    </row>
    <row r="486" spans="1:33">
      <c r="A486" s="60" t="s">
        <v>110</v>
      </c>
      <c r="B486" s="60"/>
      <c r="D486" s="44" t="s">
        <v>935</v>
      </c>
      <c r="F486" s="76">
        <f>F484+F465</f>
        <v>12780969</v>
      </c>
      <c r="G486" s="63">
        <f>G465+G484</f>
        <v>0</v>
      </c>
      <c r="H486" s="63">
        <f t="shared" ref="H486:M486" si="205">H484+H465</f>
        <v>0</v>
      </c>
      <c r="I486" s="63">
        <f t="shared" si="205"/>
        <v>0</v>
      </c>
      <c r="J486" s="63">
        <f t="shared" si="205"/>
        <v>0</v>
      </c>
      <c r="K486" s="63">
        <f t="shared" si="205"/>
        <v>0</v>
      </c>
      <c r="L486" s="63">
        <f t="shared" si="205"/>
        <v>0</v>
      </c>
      <c r="M486" s="63">
        <f t="shared" si="205"/>
        <v>0</v>
      </c>
      <c r="N486" s="63">
        <f>N484+N465</f>
        <v>0</v>
      </c>
      <c r="O486" s="63">
        <f>O484+O465</f>
        <v>0</v>
      </c>
      <c r="P486" s="63">
        <f>P484+P465</f>
        <v>0</v>
      </c>
      <c r="Q486" s="63">
        <f t="shared" ref="Q486:AB486" si="206">Q484+Q465</f>
        <v>0</v>
      </c>
      <c r="R486" s="63">
        <f t="shared" si="206"/>
        <v>1963504.0735617669</v>
      </c>
      <c r="S486" s="63">
        <f t="shared" si="206"/>
        <v>0</v>
      </c>
      <c r="T486" s="63">
        <f t="shared" si="206"/>
        <v>1857014.0576206709</v>
      </c>
      <c r="U486" s="63">
        <f t="shared" si="206"/>
        <v>2805242.9198604217</v>
      </c>
      <c r="V486" s="63">
        <f t="shared" si="206"/>
        <v>607913.578950066</v>
      </c>
      <c r="W486" s="63">
        <f t="shared" si="206"/>
        <v>896815.90948473196</v>
      </c>
      <c r="X486" s="63">
        <f t="shared" si="206"/>
        <v>169514.89924627161</v>
      </c>
      <c r="Y486" s="63">
        <f t="shared" si="206"/>
        <v>118550.6438408878</v>
      </c>
      <c r="Z486" s="63">
        <f t="shared" si="206"/>
        <v>42990.765535061459</v>
      </c>
      <c r="AA486" s="63">
        <f t="shared" si="206"/>
        <v>4175979.9089850918</v>
      </c>
      <c r="AB486" s="63">
        <f t="shared" si="206"/>
        <v>143442.24291502949</v>
      </c>
      <c r="AC486" s="63">
        <f>AC484+AC465</f>
        <v>0</v>
      </c>
      <c r="AD486" s="63">
        <f>AD484+AD465</f>
        <v>0</v>
      </c>
      <c r="AE486" s="63">
        <f>AE484+AE465</f>
        <v>0</v>
      </c>
      <c r="AF486" s="63">
        <f>SUM(H486:AE486)</f>
        <v>12780969</v>
      </c>
      <c r="AG486" s="58" t="str">
        <f>IF(ABS(AF486-F486)&lt;1,"ok","err")</f>
        <v>ok</v>
      </c>
    </row>
    <row r="487" spans="1:33">
      <c r="A487" s="60"/>
      <c r="B487" s="60"/>
      <c r="F487" s="79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G487" s="58"/>
    </row>
    <row r="488" spans="1:33">
      <c r="A488" s="60" t="s">
        <v>111</v>
      </c>
      <c r="B488" s="60"/>
      <c r="F488" s="76">
        <f t="shared" ref="F488:M488" si="207">F486+F450</f>
        <v>15916386</v>
      </c>
      <c r="G488" s="63">
        <f t="shared" si="207"/>
        <v>0</v>
      </c>
      <c r="H488" s="63">
        <f t="shared" si="207"/>
        <v>0</v>
      </c>
      <c r="I488" s="63">
        <f t="shared" si="207"/>
        <v>0</v>
      </c>
      <c r="J488" s="63">
        <f t="shared" si="207"/>
        <v>0</v>
      </c>
      <c r="K488" s="63">
        <f t="shared" si="207"/>
        <v>0</v>
      </c>
      <c r="L488" s="63">
        <f t="shared" si="207"/>
        <v>0</v>
      </c>
      <c r="M488" s="63">
        <f t="shared" si="207"/>
        <v>0</v>
      </c>
      <c r="N488" s="63">
        <f>N486+N450</f>
        <v>3135417</v>
      </c>
      <c r="O488" s="63">
        <f>O486+O450</f>
        <v>0</v>
      </c>
      <c r="P488" s="63">
        <f>P486+P450</f>
        <v>0</v>
      </c>
      <c r="Q488" s="63">
        <f t="shared" ref="Q488:AB488" si="208">Q486+Q450</f>
        <v>0</v>
      </c>
      <c r="R488" s="63">
        <f t="shared" si="208"/>
        <v>1963504.0735617669</v>
      </c>
      <c r="S488" s="63">
        <f t="shared" si="208"/>
        <v>0</v>
      </c>
      <c r="T488" s="63">
        <f t="shared" si="208"/>
        <v>1857014.0576206709</v>
      </c>
      <c r="U488" s="63">
        <f t="shared" si="208"/>
        <v>2805242.9198604217</v>
      </c>
      <c r="V488" s="63">
        <f t="shared" si="208"/>
        <v>607913.578950066</v>
      </c>
      <c r="W488" s="63">
        <f t="shared" si="208"/>
        <v>896815.90948473196</v>
      </c>
      <c r="X488" s="63">
        <f t="shared" si="208"/>
        <v>169514.89924627161</v>
      </c>
      <c r="Y488" s="63">
        <f t="shared" si="208"/>
        <v>118550.6438408878</v>
      </c>
      <c r="Z488" s="63">
        <f t="shared" si="208"/>
        <v>42990.765535061459</v>
      </c>
      <c r="AA488" s="63">
        <f t="shared" si="208"/>
        <v>4175979.9089850918</v>
      </c>
      <c r="AB488" s="63">
        <f t="shared" si="208"/>
        <v>143442.24291502949</v>
      </c>
      <c r="AC488" s="63">
        <f>AC486+AC450</f>
        <v>0</v>
      </c>
      <c r="AD488" s="63">
        <f>AD486+AD450</f>
        <v>0</v>
      </c>
      <c r="AE488" s="63">
        <f>AE486+AE450</f>
        <v>0</v>
      </c>
      <c r="AF488" s="63">
        <f>SUM(H488:AE488)</f>
        <v>15916386</v>
      </c>
      <c r="AG488" s="58" t="str">
        <f>IF(ABS(AF488-F488)&lt;1,"ok","err")</f>
        <v>ok</v>
      </c>
    </row>
    <row r="489" spans="1:33">
      <c r="A489" s="60"/>
      <c r="B489" s="60"/>
      <c r="F489" s="79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G489" s="58"/>
    </row>
    <row r="490" spans="1:33">
      <c r="A490" s="60" t="s">
        <v>340</v>
      </c>
      <c r="B490" s="60"/>
      <c r="C490" s="44" t="s">
        <v>74</v>
      </c>
      <c r="F490" s="76">
        <f>F488+F427+F434</f>
        <v>46834191</v>
      </c>
      <c r="G490" s="62">
        <f>G488+G434</f>
        <v>0</v>
      </c>
      <c r="H490" s="62">
        <f>H488+H427+H434</f>
        <v>6084771.3260635436</v>
      </c>
      <c r="I490" s="62">
        <f t="shared" ref="I490:AE490" si="209">I488+I427+I434</f>
        <v>6374183.0955313304</v>
      </c>
      <c r="J490" s="62">
        <f t="shared" si="209"/>
        <v>5239557.0106498227</v>
      </c>
      <c r="K490" s="62">
        <f t="shared" si="209"/>
        <v>13219293.567755304</v>
      </c>
      <c r="L490" s="62">
        <f t="shared" si="209"/>
        <v>0</v>
      </c>
      <c r="M490" s="62">
        <f t="shared" si="209"/>
        <v>0</v>
      </c>
      <c r="N490" s="62">
        <f t="shared" si="209"/>
        <v>3135417</v>
      </c>
      <c r="O490" s="62">
        <f t="shared" si="209"/>
        <v>0</v>
      </c>
      <c r="P490" s="62">
        <f t="shared" si="209"/>
        <v>0</v>
      </c>
      <c r="Q490" s="62">
        <f t="shared" si="209"/>
        <v>0</v>
      </c>
      <c r="R490" s="62">
        <f t="shared" si="209"/>
        <v>1963504.0735617669</v>
      </c>
      <c r="S490" s="62">
        <f t="shared" si="209"/>
        <v>0</v>
      </c>
      <c r="T490" s="62">
        <f t="shared" si="209"/>
        <v>1857014.0576206709</v>
      </c>
      <c r="U490" s="62">
        <f t="shared" si="209"/>
        <v>2805242.9198604217</v>
      </c>
      <c r="V490" s="62">
        <f t="shared" si="209"/>
        <v>607913.578950066</v>
      </c>
      <c r="W490" s="62">
        <f t="shared" si="209"/>
        <v>896815.90948473196</v>
      </c>
      <c r="X490" s="62">
        <f t="shared" si="209"/>
        <v>169514.89924627161</v>
      </c>
      <c r="Y490" s="62">
        <f t="shared" si="209"/>
        <v>118550.6438408878</v>
      </c>
      <c r="Z490" s="62">
        <f t="shared" si="209"/>
        <v>42990.765535061459</v>
      </c>
      <c r="AA490" s="62">
        <f t="shared" si="209"/>
        <v>4175979.9089850918</v>
      </c>
      <c r="AB490" s="62">
        <f t="shared" si="209"/>
        <v>143442.24291502949</v>
      </c>
      <c r="AC490" s="62">
        <f t="shared" si="209"/>
        <v>0</v>
      </c>
      <c r="AD490" s="62">
        <f t="shared" si="209"/>
        <v>0</v>
      </c>
      <c r="AE490" s="62">
        <f t="shared" si="209"/>
        <v>0</v>
      </c>
      <c r="AF490" s="63">
        <f>SUM(H490:AE490)</f>
        <v>46834190.999999993</v>
      </c>
      <c r="AG490" s="58" t="str">
        <f>IF(ABS(AF490-F490)&lt;1,"ok","err")</f>
        <v>ok</v>
      </c>
    </row>
    <row r="491" spans="1:33" ht="15">
      <c r="A491" s="65"/>
      <c r="B491" s="60"/>
      <c r="F491" s="79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G491" s="58"/>
    </row>
    <row r="492" spans="1:33" ht="15">
      <c r="A492" s="65" t="s">
        <v>1025</v>
      </c>
      <c r="B492" s="60"/>
      <c r="F492" s="79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G492" s="58"/>
    </row>
    <row r="493" spans="1:33">
      <c r="A493" s="60">
        <v>901</v>
      </c>
      <c r="B493" s="60" t="s">
        <v>1026</v>
      </c>
      <c r="C493" s="44" t="s">
        <v>75</v>
      </c>
      <c r="D493" s="44" t="s">
        <v>662</v>
      </c>
      <c r="F493" s="76">
        <v>869231.40000000014</v>
      </c>
      <c r="H493" s="63">
        <f t="shared" ref="H493:Q497" si="210">IF(VLOOKUP($D493,$C$6:$AE$653,H$2,)=0,0,((VLOOKUP($D493,$C$6:$AE$653,H$2,)/VLOOKUP($D493,$C$6:$AE$653,4,))*$F493))</f>
        <v>0</v>
      </c>
      <c r="I493" s="63">
        <f t="shared" si="210"/>
        <v>0</v>
      </c>
      <c r="J493" s="63">
        <f t="shared" si="210"/>
        <v>0</v>
      </c>
      <c r="K493" s="63">
        <f t="shared" si="210"/>
        <v>0</v>
      </c>
      <c r="L493" s="63">
        <f t="shared" si="210"/>
        <v>0</v>
      </c>
      <c r="M493" s="63">
        <f t="shared" si="210"/>
        <v>0</v>
      </c>
      <c r="N493" s="63">
        <f t="shared" si="210"/>
        <v>0</v>
      </c>
      <c r="O493" s="63">
        <f t="shared" si="210"/>
        <v>0</v>
      </c>
      <c r="P493" s="63">
        <f t="shared" si="210"/>
        <v>0</v>
      </c>
      <c r="Q493" s="63">
        <f t="shared" si="210"/>
        <v>0</v>
      </c>
      <c r="R493" s="63">
        <f t="shared" ref="R493:AE497" si="211">IF(VLOOKUP($D493,$C$6:$AE$653,R$2,)=0,0,((VLOOKUP($D493,$C$6:$AE$653,R$2,)/VLOOKUP($D493,$C$6:$AE$653,4,))*$F493))</f>
        <v>0</v>
      </c>
      <c r="S493" s="63">
        <f t="shared" si="211"/>
        <v>0</v>
      </c>
      <c r="T493" s="63">
        <f t="shared" si="211"/>
        <v>0</v>
      </c>
      <c r="U493" s="63">
        <f t="shared" si="211"/>
        <v>0</v>
      </c>
      <c r="V493" s="63">
        <f t="shared" si="211"/>
        <v>0</v>
      </c>
      <c r="W493" s="63">
        <f t="shared" si="211"/>
        <v>0</v>
      </c>
      <c r="X493" s="63">
        <f t="shared" si="211"/>
        <v>0</v>
      </c>
      <c r="Y493" s="63">
        <f t="shared" si="211"/>
        <v>0</v>
      </c>
      <c r="Z493" s="63">
        <f t="shared" si="211"/>
        <v>0</v>
      </c>
      <c r="AA493" s="63">
        <f t="shared" si="211"/>
        <v>0</v>
      </c>
      <c r="AB493" s="63">
        <f t="shared" si="211"/>
        <v>0</v>
      </c>
      <c r="AC493" s="63">
        <f t="shared" si="211"/>
        <v>869231.40000000014</v>
      </c>
      <c r="AD493" s="63">
        <f t="shared" si="211"/>
        <v>0</v>
      </c>
      <c r="AE493" s="63">
        <f t="shared" si="211"/>
        <v>0</v>
      </c>
      <c r="AF493" s="63">
        <f>SUM(H493:AE493)</f>
        <v>869231.40000000014</v>
      </c>
      <c r="AG493" s="58" t="str">
        <f>IF(ABS(AF493-F493)&lt;1,"ok","err")</f>
        <v>ok</v>
      </c>
    </row>
    <row r="494" spans="1:33">
      <c r="A494" s="60">
        <v>902</v>
      </c>
      <c r="B494" s="60" t="s">
        <v>1029</v>
      </c>
      <c r="C494" s="44" t="s">
        <v>76</v>
      </c>
      <c r="D494" s="44" t="s">
        <v>662</v>
      </c>
      <c r="F494" s="79">
        <v>340095.28</v>
      </c>
      <c r="H494" s="63">
        <f t="shared" si="210"/>
        <v>0</v>
      </c>
      <c r="I494" s="63">
        <f t="shared" si="210"/>
        <v>0</v>
      </c>
      <c r="J494" s="63">
        <f t="shared" si="210"/>
        <v>0</v>
      </c>
      <c r="K494" s="63">
        <f t="shared" si="210"/>
        <v>0</v>
      </c>
      <c r="L494" s="63">
        <f t="shared" si="210"/>
        <v>0</v>
      </c>
      <c r="M494" s="63">
        <f t="shared" si="210"/>
        <v>0</v>
      </c>
      <c r="N494" s="63">
        <f t="shared" si="210"/>
        <v>0</v>
      </c>
      <c r="O494" s="63">
        <f t="shared" si="210"/>
        <v>0</v>
      </c>
      <c r="P494" s="63">
        <f t="shared" si="210"/>
        <v>0</v>
      </c>
      <c r="Q494" s="63">
        <f t="shared" si="210"/>
        <v>0</v>
      </c>
      <c r="R494" s="63">
        <f t="shared" si="211"/>
        <v>0</v>
      </c>
      <c r="S494" s="63">
        <f t="shared" si="211"/>
        <v>0</v>
      </c>
      <c r="T494" s="63">
        <f t="shared" si="211"/>
        <v>0</v>
      </c>
      <c r="U494" s="63">
        <f t="shared" si="211"/>
        <v>0</v>
      </c>
      <c r="V494" s="63">
        <f t="shared" si="211"/>
        <v>0</v>
      </c>
      <c r="W494" s="63">
        <f t="shared" si="211"/>
        <v>0</v>
      </c>
      <c r="X494" s="63">
        <f t="shared" si="211"/>
        <v>0</v>
      </c>
      <c r="Y494" s="63">
        <f t="shared" si="211"/>
        <v>0</v>
      </c>
      <c r="Z494" s="63">
        <f t="shared" si="211"/>
        <v>0</v>
      </c>
      <c r="AA494" s="63">
        <f t="shared" si="211"/>
        <v>0</v>
      </c>
      <c r="AB494" s="63">
        <f t="shared" si="211"/>
        <v>0</v>
      </c>
      <c r="AC494" s="63">
        <f t="shared" si="211"/>
        <v>340095.28</v>
      </c>
      <c r="AD494" s="63">
        <f t="shared" si="211"/>
        <v>0</v>
      </c>
      <c r="AE494" s="63">
        <f t="shared" si="211"/>
        <v>0</v>
      </c>
      <c r="AF494" s="63">
        <f>SUM(H494:AE494)</f>
        <v>340095.28</v>
      </c>
      <c r="AG494" s="58" t="str">
        <f>IF(ABS(AF494-F494)&lt;1,"ok","err")</f>
        <v>ok</v>
      </c>
    </row>
    <row r="495" spans="1:33">
      <c r="A495" s="60">
        <v>903</v>
      </c>
      <c r="B495" s="60" t="s">
        <v>29</v>
      </c>
      <c r="C495" s="44" t="s">
        <v>77</v>
      </c>
      <c r="D495" s="44" t="s">
        <v>662</v>
      </c>
      <c r="F495" s="79">
        <v>3084679.3600000008</v>
      </c>
      <c r="H495" s="63">
        <f t="shared" si="210"/>
        <v>0</v>
      </c>
      <c r="I495" s="63">
        <f t="shared" si="210"/>
        <v>0</v>
      </c>
      <c r="J495" s="63">
        <f t="shared" si="210"/>
        <v>0</v>
      </c>
      <c r="K495" s="63">
        <f t="shared" si="210"/>
        <v>0</v>
      </c>
      <c r="L495" s="63">
        <f t="shared" si="210"/>
        <v>0</v>
      </c>
      <c r="M495" s="63">
        <f t="shared" si="210"/>
        <v>0</v>
      </c>
      <c r="N495" s="63">
        <f t="shared" si="210"/>
        <v>0</v>
      </c>
      <c r="O495" s="63">
        <f t="shared" si="210"/>
        <v>0</v>
      </c>
      <c r="P495" s="63">
        <f t="shared" si="210"/>
        <v>0</v>
      </c>
      <c r="Q495" s="63">
        <f t="shared" si="210"/>
        <v>0</v>
      </c>
      <c r="R495" s="63">
        <f t="shared" si="211"/>
        <v>0</v>
      </c>
      <c r="S495" s="63">
        <f t="shared" si="211"/>
        <v>0</v>
      </c>
      <c r="T495" s="63">
        <f t="shared" si="211"/>
        <v>0</v>
      </c>
      <c r="U495" s="63">
        <f t="shared" si="211"/>
        <v>0</v>
      </c>
      <c r="V495" s="63">
        <f t="shared" si="211"/>
        <v>0</v>
      </c>
      <c r="W495" s="63">
        <f t="shared" si="211"/>
        <v>0</v>
      </c>
      <c r="X495" s="63">
        <f t="shared" si="211"/>
        <v>0</v>
      </c>
      <c r="Y495" s="63">
        <f t="shared" si="211"/>
        <v>0</v>
      </c>
      <c r="Z495" s="63">
        <f t="shared" si="211"/>
        <v>0</v>
      </c>
      <c r="AA495" s="63">
        <f t="shared" si="211"/>
        <v>0</v>
      </c>
      <c r="AB495" s="63">
        <f t="shared" si="211"/>
        <v>0</v>
      </c>
      <c r="AC495" s="63">
        <f t="shared" si="211"/>
        <v>3084679.3600000008</v>
      </c>
      <c r="AD495" s="63">
        <f t="shared" si="211"/>
        <v>0</v>
      </c>
      <c r="AE495" s="63">
        <f t="shared" si="211"/>
        <v>0</v>
      </c>
      <c r="AF495" s="63">
        <f>SUM(H495:AE495)</f>
        <v>3084679.3600000008</v>
      </c>
      <c r="AG495" s="58" t="str">
        <f>IF(ABS(AF495-F495)&lt;1,"ok","err")</f>
        <v>ok</v>
      </c>
    </row>
    <row r="496" spans="1:33">
      <c r="A496" s="60">
        <v>904</v>
      </c>
      <c r="B496" s="60" t="s">
        <v>1032</v>
      </c>
      <c r="C496" s="44" t="s">
        <v>78</v>
      </c>
      <c r="D496" s="44" t="s">
        <v>662</v>
      </c>
      <c r="F496" s="79">
        <v>0</v>
      </c>
      <c r="H496" s="63">
        <f t="shared" si="210"/>
        <v>0</v>
      </c>
      <c r="I496" s="63">
        <f t="shared" si="210"/>
        <v>0</v>
      </c>
      <c r="J496" s="63">
        <f t="shared" si="210"/>
        <v>0</v>
      </c>
      <c r="K496" s="63">
        <f t="shared" si="210"/>
        <v>0</v>
      </c>
      <c r="L496" s="63">
        <f t="shared" si="210"/>
        <v>0</v>
      </c>
      <c r="M496" s="63">
        <f t="shared" si="210"/>
        <v>0</v>
      </c>
      <c r="N496" s="63">
        <f t="shared" si="210"/>
        <v>0</v>
      </c>
      <c r="O496" s="63">
        <f t="shared" si="210"/>
        <v>0</v>
      </c>
      <c r="P496" s="63">
        <f t="shared" si="210"/>
        <v>0</v>
      </c>
      <c r="Q496" s="63">
        <f t="shared" si="210"/>
        <v>0</v>
      </c>
      <c r="R496" s="63">
        <f t="shared" si="211"/>
        <v>0</v>
      </c>
      <c r="S496" s="63">
        <f t="shared" si="211"/>
        <v>0</v>
      </c>
      <c r="T496" s="63">
        <f t="shared" si="211"/>
        <v>0</v>
      </c>
      <c r="U496" s="63">
        <f t="shared" si="211"/>
        <v>0</v>
      </c>
      <c r="V496" s="63">
        <f t="shared" si="211"/>
        <v>0</v>
      </c>
      <c r="W496" s="63">
        <f t="shared" si="211"/>
        <v>0</v>
      </c>
      <c r="X496" s="63">
        <f t="shared" si="211"/>
        <v>0</v>
      </c>
      <c r="Y496" s="63">
        <f t="shared" si="211"/>
        <v>0</v>
      </c>
      <c r="Z496" s="63">
        <f t="shared" si="211"/>
        <v>0</v>
      </c>
      <c r="AA496" s="63">
        <f t="shared" si="211"/>
        <v>0</v>
      </c>
      <c r="AB496" s="63">
        <f t="shared" si="211"/>
        <v>0</v>
      </c>
      <c r="AC496" s="63">
        <f t="shared" si="211"/>
        <v>0</v>
      </c>
      <c r="AD496" s="63">
        <f t="shared" si="211"/>
        <v>0</v>
      </c>
      <c r="AE496" s="63">
        <f t="shared" si="211"/>
        <v>0</v>
      </c>
      <c r="AF496" s="63">
        <f>SUM(H496:AE496)</f>
        <v>0</v>
      </c>
      <c r="AG496" s="58" t="str">
        <f>IF(ABS(AF496-F496)&lt;1,"ok","err")</f>
        <v>ok</v>
      </c>
    </row>
    <row r="497" spans="1:33">
      <c r="A497" s="60">
        <v>905</v>
      </c>
      <c r="B497" s="60" t="s">
        <v>30</v>
      </c>
      <c r="C497" s="44" t="s">
        <v>77</v>
      </c>
      <c r="D497" s="44" t="s">
        <v>662</v>
      </c>
      <c r="F497" s="79">
        <v>0</v>
      </c>
      <c r="H497" s="63">
        <f t="shared" si="210"/>
        <v>0</v>
      </c>
      <c r="I497" s="63">
        <f t="shared" si="210"/>
        <v>0</v>
      </c>
      <c r="J497" s="63">
        <f t="shared" si="210"/>
        <v>0</v>
      </c>
      <c r="K497" s="63">
        <f t="shared" si="210"/>
        <v>0</v>
      </c>
      <c r="L497" s="63">
        <f t="shared" si="210"/>
        <v>0</v>
      </c>
      <c r="M497" s="63">
        <f t="shared" si="210"/>
        <v>0</v>
      </c>
      <c r="N497" s="63">
        <f t="shared" si="210"/>
        <v>0</v>
      </c>
      <c r="O497" s="63">
        <f t="shared" si="210"/>
        <v>0</v>
      </c>
      <c r="P497" s="63">
        <f t="shared" si="210"/>
        <v>0</v>
      </c>
      <c r="Q497" s="63">
        <f t="shared" si="210"/>
        <v>0</v>
      </c>
      <c r="R497" s="63">
        <f t="shared" si="211"/>
        <v>0</v>
      </c>
      <c r="S497" s="63">
        <f t="shared" si="211"/>
        <v>0</v>
      </c>
      <c r="T497" s="63">
        <f t="shared" si="211"/>
        <v>0</v>
      </c>
      <c r="U497" s="63">
        <f t="shared" si="211"/>
        <v>0</v>
      </c>
      <c r="V497" s="63">
        <f t="shared" si="211"/>
        <v>0</v>
      </c>
      <c r="W497" s="63">
        <f t="shared" si="211"/>
        <v>0</v>
      </c>
      <c r="X497" s="63">
        <f t="shared" si="211"/>
        <v>0</v>
      </c>
      <c r="Y497" s="63">
        <f t="shared" si="211"/>
        <v>0</v>
      </c>
      <c r="Z497" s="63">
        <f t="shared" si="211"/>
        <v>0</v>
      </c>
      <c r="AA497" s="63">
        <f t="shared" si="211"/>
        <v>0</v>
      </c>
      <c r="AB497" s="63">
        <f t="shared" si="211"/>
        <v>0</v>
      </c>
      <c r="AC497" s="63">
        <f t="shared" si="211"/>
        <v>0</v>
      </c>
      <c r="AD497" s="63">
        <f t="shared" si="211"/>
        <v>0</v>
      </c>
      <c r="AE497" s="63">
        <f t="shared" si="211"/>
        <v>0</v>
      </c>
      <c r="AF497" s="63">
        <f>SUM(H497:AE497)</f>
        <v>0</v>
      </c>
      <c r="AG497" s="58" t="str">
        <f>IF(ABS(AF497-F497)&lt;1,"ok","err")</f>
        <v>ok</v>
      </c>
    </row>
    <row r="498" spans="1:33" ht="15">
      <c r="A498" s="65"/>
      <c r="B498" s="60"/>
      <c r="F498" s="79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58"/>
    </row>
    <row r="499" spans="1:33">
      <c r="A499" s="60" t="s">
        <v>112</v>
      </c>
      <c r="B499" s="60"/>
      <c r="C499" s="44" t="s">
        <v>79</v>
      </c>
      <c r="F499" s="76">
        <f>SUM(F493:F498)</f>
        <v>4294006.040000001</v>
      </c>
      <c r="G499" s="62">
        <f>SUM(G493:G498)</f>
        <v>0</v>
      </c>
      <c r="H499" s="62">
        <f t="shared" ref="H499:M499" si="212">SUM(H493:H498)</f>
        <v>0</v>
      </c>
      <c r="I499" s="62">
        <f t="shared" si="212"/>
        <v>0</v>
      </c>
      <c r="J499" s="62">
        <f t="shared" si="212"/>
        <v>0</v>
      </c>
      <c r="K499" s="62">
        <f t="shared" si="212"/>
        <v>0</v>
      </c>
      <c r="L499" s="62">
        <f t="shared" si="212"/>
        <v>0</v>
      </c>
      <c r="M499" s="62">
        <f t="shared" si="212"/>
        <v>0</v>
      </c>
      <c r="N499" s="62">
        <f>SUM(N493:N498)</f>
        <v>0</v>
      </c>
      <c r="O499" s="62">
        <f>SUM(O493:O498)</f>
        <v>0</v>
      </c>
      <c r="P499" s="62">
        <f>SUM(P493:P498)</f>
        <v>0</v>
      </c>
      <c r="Q499" s="62">
        <f t="shared" ref="Q499:AB499" si="213">SUM(Q493:Q498)</f>
        <v>0</v>
      </c>
      <c r="R499" s="62">
        <f t="shared" si="213"/>
        <v>0</v>
      </c>
      <c r="S499" s="62">
        <f t="shared" si="213"/>
        <v>0</v>
      </c>
      <c r="T499" s="62">
        <f t="shared" si="213"/>
        <v>0</v>
      </c>
      <c r="U499" s="62">
        <f t="shared" si="213"/>
        <v>0</v>
      </c>
      <c r="V499" s="62">
        <f t="shared" si="213"/>
        <v>0</v>
      </c>
      <c r="W499" s="62">
        <f t="shared" si="213"/>
        <v>0</v>
      </c>
      <c r="X499" s="62">
        <f t="shared" si="213"/>
        <v>0</v>
      </c>
      <c r="Y499" s="62">
        <f t="shared" si="213"/>
        <v>0</v>
      </c>
      <c r="Z499" s="62">
        <f t="shared" si="213"/>
        <v>0</v>
      </c>
      <c r="AA499" s="62">
        <f t="shared" si="213"/>
        <v>0</v>
      </c>
      <c r="AB499" s="62">
        <f t="shared" si="213"/>
        <v>0</v>
      </c>
      <c r="AC499" s="62">
        <f>SUM(AC493:AC498)</f>
        <v>4294006.040000001</v>
      </c>
      <c r="AD499" s="62">
        <f>SUM(AD493:AD498)</f>
        <v>0</v>
      </c>
      <c r="AE499" s="62">
        <f>SUM(AE493:AE498)</f>
        <v>0</v>
      </c>
      <c r="AF499" s="63">
        <f>SUM(H499:AE499)</f>
        <v>4294006.040000001</v>
      </c>
      <c r="AG499" s="58" t="str">
        <f>IF(ABS(AF499-F499)&lt;1,"ok","err")</f>
        <v>ok</v>
      </c>
    </row>
    <row r="500" spans="1:33">
      <c r="A500" s="60"/>
      <c r="B500" s="60"/>
      <c r="F500" s="79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G500" s="58"/>
    </row>
    <row r="501" spans="1:33" ht="15">
      <c r="A501" s="65" t="s">
        <v>1036</v>
      </c>
      <c r="B501" s="60"/>
      <c r="F501" s="79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G501" s="58"/>
    </row>
    <row r="502" spans="1:33">
      <c r="A502" s="60">
        <v>907</v>
      </c>
      <c r="B502" s="60" t="s">
        <v>1157</v>
      </c>
      <c r="C502" s="44" t="s">
        <v>80</v>
      </c>
      <c r="D502" s="44" t="s">
        <v>663</v>
      </c>
      <c r="F502" s="76">
        <v>262520.7</v>
      </c>
      <c r="H502" s="63">
        <f t="shared" ref="H502:Q512" si="214">IF(VLOOKUP($D502,$C$6:$AE$653,H$2,)=0,0,((VLOOKUP($D502,$C$6:$AE$653,H$2,)/VLOOKUP($D502,$C$6:$AE$653,4,))*$F502))</f>
        <v>0</v>
      </c>
      <c r="I502" s="63">
        <f t="shared" si="214"/>
        <v>0</v>
      </c>
      <c r="J502" s="63">
        <f t="shared" si="214"/>
        <v>0</v>
      </c>
      <c r="K502" s="63">
        <f t="shared" si="214"/>
        <v>0</v>
      </c>
      <c r="L502" s="63">
        <f t="shared" si="214"/>
        <v>0</v>
      </c>
      <c r="M502" s="63">
        <f t="shared" si="214"/>
        <v>0</v>
      </c>
      <c r="N502" s="63">
        <f t="shared" si="214"/>
        <v>0</v>
      </c>
      <c r="O502" s="63">
        <f t="shared" si="214"/>
        <v>0</v>
      </c>
      <c r="P502" s="63">
        <f t="shared" si="214"/>
        <v>0</v>
      </c>
      <c r="Q502" s="63">
        <f t="shared" si="214"/>
        <v>0</v>
      </c>
      <c r="R502" s="63">
        <f t="shared" ref="R502:AE512" si="215">IF(VLOOKUP($D502,$C$6:$AE$653,R$2,)=0,0,((VLOOKUP($D502,$C$6:$AE$653,R$2,)/VLOOKUP($D502,$C$6:$AE$653,4,))*$F502))</f>
        <v>0</v>
      </c>
      <c r="S502" s="63">
        <f t="shared" si="215"/>
        <v>0</v>
      </c>
      <c r="T502" s="63">
        <f t="shared" si="215"/>
        <v>0</v>
      </c>
      <c r="U502" s="63">
        <f t="shared" si="215"/>
        <v>0</v>
      </c>
      <c r="V502" s="63">
        <f t="shared" si="215"/>
        <v>0</v>
      </c>
      <c r="W502" s="63">
        <f t="shared" si="215"/>
        <v>0</v>
      </c>
      <c r="X502" s="63">
        <f t="shared" si="215"/>
        <v>0</v>
      </c>
      <c r="Y502" s="63">
        <f t="shared" si="215"/>
        <v>0</v>
      </c>
      <c r="Z502" s="63">
        <f t="shared" si="215"/>
        <v>0</v>
      </c>
      <c r="AA502" s="63">
        <f t="shared" si="215"/>
        <v>0</v>
      </c>
      <c r="AB502" s="63">
        <f t="shared" si="215"/>
        <v>0</v>
      </c>
      <c r="AC502" s="63">
        <f t="shared" si="215"/>
        <v>0</v>
      </c>
      <c r="AD502" s="63">
        <f t="shared" si="215"/>
        <v>262520.7</v>
      </c>
      <c r="AE502" s="63">
        <f t="shared" si="215"/>
        <v>0</v>
      </c>
      <c r="AF502" s="63">
        <f t="shared" ref="AF502:AF512" si="216">SUM(H502:AE502)</f>
        <v>262520.7</v>
      </c>
      <c r="AG502" s="58" t="str">
        <f t="shared" ref="AG502:AG512" si="217">IF(ABS(AF502-F502)&lt;1,"ok","err")</f>
        <v>ok</v>
      </c>
    </row>
    <row r="503" spans="1:33">
      <c r="A503" s="60">
        <v>908</v>
      </c>
      <c r="B503" s="60" t="s">
        <v>1039</v>
      </c>
      <c r="C503" s="44" t="s">
        <v>81</v>
      </c>
      <c r="D503" s="44" t="s">
        <v>663</v>
      </c>
      <c r="F503" s="79">
        <v>916351.68</v>
      </c>
      <c r="H503" s="63">
        <f t="shared" si="214"/>
        <v>0</v>
      </c>
      <c r="I503" s="63">
        <f t="shared" si="214"/>
        <v>0</v>
      </c>
      <c r="J503" s="63">
        <f t="shared" si="214"/>
        <v>0</v>
      </c>
      <c r="K503" s="63">
        <f t="shared" si="214"/>
        <v>0</v>
      </c>
      <c r="L503" s="63">
        <f t="shared" si="214"/>
        <v>0</v>
      </c>
      <c r="M503" s="63">
        <f t="shared" si="214"/>
        <v>0</v>
      </c>
      <c r="N503" s="63">
        <f t="shared" si="214"/>
        <v>0</v>
      </c>
      <c r="O503" s="63">
        <f t="shared" si="214"/>
        <v>0</v>
      </c>
      <c r="P503" s="63">
        <f t="shared" si="214"/>
        <v>0</v>
      </c>
      <c r="Q503" s="63">
        <f t="shared" si="214"/>
        <v>0</v>
      </c>
      <c r="R503" s="63">
        <f t="shared" si="215"/>
        <v>0</v>
      </c>
      <c r="S503" s="63">
        <f t="shared" si="215"/>
        <v>0</v>
      </c>
      <c r="T503" s="63">
        <f t="shared" si="215"/>
        <v>0</v>
      </c>
      <c r="U503" s="63">
        <f t="shared" si="215"/>
        <v>0</v>
      </c>
      <c r="V503" s="63">
        <f t="shared" si="215"/>
        <v>0</v>
      </c>
      <c r="W503" s="63">
        <f t="shared" si="215"/>
        <v>0</v>
      </c>
      <c r="X503" s="63">
        <f t="shared" si="215"/>
        <v>0</v>
      </c>
      <c r="Y503" s="63">
        <f t="shared" si="215"/>
        <v>0</v>
      </c>
      <c r="Z503" s="63">
        <f t="shared" si="215"/>
        <v>0</v>
      </c>
      <c r="AA503" s="63">
        <f t="shared" si="215"/>
        <v>0</v>
      </c>
      <c r="AB503" s="63">
        <f t="shared" si="215"/>
        <v>0</v>
      </c>
      <c r="AC503" s="63">
        <f t="shared" si="215"/>
        <v>0</v>
      </c>
      <c r="AD503" s="63">
        <f t="shared" si="215"/>
        <v>916351.68</v>
      </c>
      <c r="AE503" s="63">
        <f t="shared" si="215"/>
        <v>0</v>
      </c>
      <c r="AF503" s="63">
        <f t="shared" si="216"/>
        <v>916351.68</v>
      </c>
      <c r="AG503" s="58" t="str">
        <f t="shared" si="217"/>
        <v>ok</v>
      </c>
    </row>
    <row r="504" spans="1:33">
      <c r="A504" s="60">
        <v>908</v>
      </c>
      <c r="B504" s="60" t="s">
        <v>31</v>
      </c>
      <c r="C504" s="44" t="s">
        <v>82</v>
      </c>
      <c r="D504" s="44" t="s">
        <v>663</v>
      </c>
      <c r="F504" s="79"/>
      <c r="H504" s="63">
        <f t="shared" si="214"/>
        <v>0</v>
      </c>
      <c r="I504" s="63">
        <f t="shared" si="214"/>
        <v>0</v>
      </c>
      <c r="J504" s="63">
        <f t="shared" si="214"/>
        <v>0</v>
      </c>
      <c r="K504" s="63">
        <f t="shared" si="214"/>
        <v>0</v>
      </c>
      <c r="L504" s="63">
        <f t="shared" si="214"/>
        <v>0</v>
      </c>
      <c r="M504" s="63">
        <f t="shared" si="214"/>
        <v>0</v>
      </c>
      <c r="N504" s="63">
        <f t="shared" si="214"/>
        <v>0</v>
      </c>
      <c r="O504" s="63">
        <f t="shared" si="214"/>
        <v>0</v>
      </c>
      <c r="P504" s="63">
        <f t="shared" si="214"/>
        <v>0</v>
      </c>
      <c r="Q504" s="63">
        <f t="shared" si="214"/>
        <v>0</v>
      </c>
      <c r="R504" s="63">
        <f t="shared" si="215"/>
        <v>0</v>
      </c>
      <c r="S504" s="63">
        <f t="shared" si="215"/>
        <v>0</v>
      </c>
      <c r="T504" s="63">
        <f t="shared" si="215"/>
        <v>0</v>
      </c>
      <c r="U504" s="63">
        <f t="shared" si="215"/>
        <v>0</v>
      </c>
      <c r="V504" s="63">
        <f t="shared" si="215"/>
        <v>0</v>
      </c>
      <c r="W504" s="63">
        <f t="shared" si="215"/>
        <v>0</v>
      </c>
      <c r="X504" s="63">
        <f t="shared" si="215"/>
        <v>0</v>
      </c>
      <c r="Y504" s="63">
        <f t="shared" si="215"/>
        <v>0</v>
      </c>
      <c r="Z504" s="63">
        <f t="shared" si="215"/>
        <v>0</v>
      </c>
      <c r="AA504" s="63">
        <f t="shared" si="215"/>
        <v>0</v>
      </c>
      <c r="AB504" s="63">
        <f t="shared" si="215"/>
        <v>0</v>
      </c>
      <c r="AC504" s="63">
        <f t="shared" si="215"/>
        <v>0</v>
      </c>
      <c r="AD504" s="63">
        <f t="shared" si="215"/>
        <v>0</v>
      </c>
      <c r="AE504" s="63">
        <f t="shared" si="215"/>
        <v>0</v>
      </c>
      <c r="AF504" s="63">
        <f t="shared" si="216"/>
        <v>0</v>
      </c>
      <c r="AG504" s="58" t="str">
        <f t="shared" si="217"/>
        <v>ok</v>
      </c>
    </row>
    <row r="505" spans="1:33">
      <c r="A505" s="60">
        <v>909</v>
      </c>
      <c r="B505" s="60" t="s">
        <v>1041</v>
      </c>
      <c r="C505" s="44" t="s">
        <v>83</v>
      </c>
      <c r="D505" s="44" t="s">
        <v>663</v>
      </c>
      <c r="F505" s="79"/>
      <c r="H505" s="63">
        <f t="shared" si="214"/>
        <v>0</v>
      </c>
      <c r="I505" s="63">
        <f t="shared" si="214"/>
        <v>0</v>
      </c>
      <c r="J505" s="63">
        <f t="shared" si="214"/>
        <v>0</v>
      </c>
      <c r="K505" s="63">
        <f t="shared" si="214"/>
        <v>0</v>
      </c>
      <c r="L505" s="63">
        <f t="shared" si="214"/>
        <v>0</v>
      </c>
      <c r="M505" s="63">
        <f t="shared" si="214"/>
        <v>0</v>
      </c>
      <c r="N505" s="63">
        <f t="shared" si="214"/>
        <v>0</v>
      </c>
      <c r="O505" s="63">
        <f t="shared" si="214"/>
        <v>0</v>
      </c>
      <c r="P505" s="63">
        <f t="shared" si="214"/>
        <v>0</v>
      </c>
      <c r="Q505" s="63">
        <f t="shared" si="214"/>
        <v>0</v>
      </c>
      <c r="R505" s="63">
        <f t="shared" si="215"/>
        <v>0</v>
      </c>
      <c r="S505" s="63">
        <f t="shared" si="215"/>
        <v>0</v>
      </c>
      <c r="T505" s="63">
        <f t="shared" si="215"/>
        <v>0</v>
      </c>
      <c r="U505" s="63">
        <f t="shared" si="215"/>
        <v>0</v>
      </c>
      <c r="V505" s="63">
        <f t="shared" si="215"/>
        <v>0</v>
      </c>
      <c r="W505" s="63">
        <f t="shared" si="215"/>
        <v>0</v>
      </c>
      <c r="X505" s="63">
        <f t="shared" si="215"/>
        <v>0</v>
      </c>
      <c r="Y505" s="63">
        <f t="shared" si="215"/>
        <v>0</v>
      </c>
      <c r="Z505" s="63">
        <f t="shared" si="215"/>
        <v>0</v>
      </c>
      <c r="AA505" s="63">
        <f t="shared" si="215"/>
        <v>0</v>
      </c>
      <c r="AB505" s="63">
        <f t="shared" si="215"/>
        <v>0</v>
      </c>
      <c r="AC505" s="63">
        <f t="shared" si="215"/>
        <v>0</v>
      </c>
      <c r="AD505" s="63">
        <f t="shared" si="215"/>
        <v>0</v>
      </c>
      <c r="AE505" s="63">
        <f t="shared" si="215"/>
        <v>0</v>
      </c>
      <c r="AF505" s="63">
        <f t="shared" si="216"/>
        <v>0</v>
      </c>
      <c r="AG505" s="58" t="str">
        <f t="shared" si="217"/>
        <v>ok</v>
      </c>
    </row>
    <row r="506" spans="1:33">
      <c r="A506" s="60">
        <v>909</v>
      </c>
      <c r="B506" s="60" t="s">
        <v>33</v>
      </c>
      <c r="C506" s="44" t="s">
        <v>84</v>
      </c>
      <c r="D506" s="44" t="s">
        <v>663</v>
      </c>
      <c r="F506" s="79"/>
      <c r="H506" s="63">
        <f t="shared" si="214"/>
        <v>0</v>
      </c>
      <c r="I506" s="63">
        <f t="shared" si="214"/>
        <v>0</v>
      </c>
      <c r="J506" s="63">
        <f t="shared" si="214"/>
        <v>0</v>
      </c>
      <c r="K506" s="63">
        <f t="shared" si="214"/>
        <v>0</v>
      </c>
      <c r="L506" s="63">
        <f t="shared" si="214"/>
        <v>0</v>
      </c>
      <c r="M506" s="63">
        <f t="shared" si="214"/>
        <v>0</v>
      </c>
      <c r="N506" s="63">
        <f t="shared" si="214"/>
        <v>0</v>
      </c>
      <c r="O506" s="63">
        <f t="shared" si="214"/>
        <v>0</v>
      </c>
      <c r="P506" s="63">
        <f t="shared" si="214"/>
        <v>0</v>
      </c>
      <c r="Q506" s="63">
        <f t="shared" si="214"/>
        <v>0</v>
      </c>
      <c r="R506" s="63">
        <f t="shared" si="215"/>
        <v>0</v>
      </c>
      <c r="S506" s="63">
        <f t="shared" si="215"/>
        <v>0</v>
      </c>
      <c r="T506" s="63">
        <f t="shared" si="215"/>
        <v>0</v>
      </c>
      <c r="U506" s="63">
        <f t="shared" si="215"/>
        <v>0</v>
      </c>
      <c r="V506" s="63">
        <f t="shared" si="215"/>
        <v>0</v>
      </c>
      <c r="W506" s="63">
        <f t="shared" si="215"/>
        <v>0</v>
      </c>
      <c r="X506" s="63">
        <f t="shared" si="215"/>
        <v>0</v>
      </c>
      <c r="Y506" s="63">
        <f t="shared" si="215"/>
        <v>0</v>
      </c>
      <c r="Z506" s="63">
        <f t="shared" si="215"/>
        <v>0</v>
      </c>
      <c r="AA506" s="63">
        <f t="shared" si="215"/>
        <v>0</v>
      </c>
      <c r="AB506" s="63">
        <f t="shared" si="215"/>
        <v>0</v>
      </c>
      <c r="AC506" s="63">
        <f t="shared" si="215"/>
        <v>0</v>
      </c>
      <c r="AD506" s="63">
        <f t="shared" si="215"/>
        <v>0</v>
      </c>
      <c r="AE506" s="63">
        <f t="shared" si="215"/>
        <v>0</v>
      </c>
      <c r="AF506" s="63">
        <f t="shared" si="216"/>
        <v>0</v>
      </c>
      <c r="AG506" s="58" t="str">
        <f t="shared" si="217"/>
        <v>ok</v>
      </c>
    </row>
    <row r="507" spans="1:33">
      <c r="A507" s="60">
        <v>910</v>
      </c>
      <c r="B507" s="60" t="s">
        <v>1043</v>
      </c>
      <c r="C507" s="44" t="s">
        <v>85</v>
      </c>
      <c r="D507" s="44" t="s">
        <v>663</v>
      </c>
      <c r="F507" s="79"/>
      <c r="H507" s="63">
        <f t="shared" si="214"/>
        <v>0</v>
      </c>
      <c r="I507" s="63">
        <f t="shared" si="214"/>
        <v>0</v>
      </c>
      <c r="J507" s="63">
        <f t="shared" si="214"/>
        <v>0</v>
      </c>
      <c r="K507" s="63">
        <f t="shared" si="214"/>
        <v>0</v>
      </c>
      <c r="L507" s="63">
        <f t="shared" si="214"/>
        <v>0</v>
      </c>
      <c r="M507" s="63">
        <f t="shared" si="214"/>
        <v>0</v>
      </c>
      <c r="N507" s="63">
        <f t="shared" si="214"/>
        <v>0</v>
      </c>
      <c r="O507" s="63">
        <f t="shared" si="214"/>
        <v>0</v>
      </c>
      <c r="P507" s="63">
        <f t="shared" si="214"/>
        <v>0</v>
      </c>
      <c r="Q507" s="63">
        <f t="shared" si="214"/>
        <v>0</v>
      </c>
      <c r="R507" s="63">
        <f t="shared" si="215"/>
        <v>0</v>
      </c>
      <c r="S507" s="63">
        <f t="shared" si="215"/>
        <v>0</v>
      </c>
      <c r="T507" s="63">
        <f t="shared" si="215"/>
        <v>0</v>
      </c>
      <c r="U507" s="63">
        <f t="shared" si="215"/>
        <v>0</v>
      </c>
      <c r="V507" s="63">
        <f t="shared" si="215"/>
        <v>0</v>
      </c>
      <c r="W507" s="63">
        <f t="shared" si="215"/>
        <v>0</v>
      </c>
      <c r="X507" s="63">
        <f t="shared" si="215"/>
        <v>0</v>
      </c>
      <c r="Y507" s="63">
        <f t="shared" si="215"/>
        <v>0</v>
      </c>
      <c r="Z507" s="63">
        <f t="shared" si="215"/>
        <v>0</v>
      </c>
      <c r="AA507" s="63">
        <f t="shared" si="215"/>
        <v>0</v>
      </c>
      <c r="AB507" s="63">
        <f t="shared" si="215"/>
        <v>0</v>
      </c>
      <c r="AC507" s="63">
        <f t="shared" si="215"/>
        <v>0</v>
      </c>
      <c r="AD507" s="63">
        <f t="shared" si="215"/>
        <v>0</v>
      </c>
      <c r="AE507" s="63">
        <f t="shared" si="215"/>
        <v>0</v>
      </c>
      <c r="AF507" s="63">
        <f t="shared" si="216"/>
        <v>0</v>
      </c>
      <c r="AG507" s="58" t="str">
        <f t="shared" si="217"/>
        <v>ok</v>
      </c>
    </row>
    <row r="508" spans="1:33">
      <c r="A508" s="60">
        <v>911</v>
      </c>
      <c r="B508" s="60" t="s">
        <v>149</v>
      </c>
      <c r="C508" s="44" t="s">
        <v>172</v>
      </c>
      <c r="D508" s="44" t="s">
        <v>663</v>
      </c>
      <c r="F508" s="79"/>
      <c r="H508" s="63">
        <f t="shared" si="214"/>
        <v>0</v>
      </c>
      <c r="I508" s="63">
        <f t="shared" si="214"/>
        <v>0</v>
      </c>
      <c r="J508" s="63">
        <f t="shared" si="214"/>
        <v>0</v>
      </c>
      <c r="K508" s="63">
        <f t="shared" si="214"/>
        <v>0</v>
      </c>
      <c r="L508" s="63">
        <f t="shared" si="214"/>
        <v>0</v>
      </c>
      <c r="M508" s="63">
        <f t="shared" si="214"/>
        <v>0</v>
      </c>
      <c r="N508" s="63">
        <f t="shared" si="214"/>
        <v>0</v>
      </c>
      <c r="O508" s="63">
        <f t="shared" si="214"/>
        <v>0</v>
      </c>
      <c r="P508" s="63">
        <f t="shared" si="214"/>
        <v>0</v>
      </c>
      <c r="Q508" s="63">
        <f t="shared" si="214"/>
        <v>0</v>
      </c>
      <c r="R508" s="63">
        <f t="shared" si="215"/>
        <v>0</v>
      </c>
      <c r="S508" s="63">
        <f t="shared" si="215"/>
        <v>0</v>
      </c>
      <c r="T508" s="63">
        <f t="shared" si="215"/>
        <v>0</v>
      </c>
      <c r="U508" s="63">
        <f t="shared" si="215"/>
        <v>0</v>
      </c>
      <c r="V508" s="63">
        <f t="shared" si="215"/>
        <v>0</v>
      </c>
      <c r="W508" s="63">
        <f t="shared" si="215"/>
        <v>0</v>
      </c>
      <c r="X508" s="63">
        <f t="shared" si="215"/>
        <v>0</v>
      </c>
      <c r="Y508" s="63">
        <f t="shared" si="215"/>
        <v>0</v>
      </c>
      <c r="Z508" s="63">
        <f t="shared" si="215"/>
        <v>0</v>
      </c>
      <c r="AA508" s="63">
        <f t="shared" si="215"/>
        <v>0</v>
      </c>
      <c r="AB508" s="63">
        <f t="shared" si="215"/>
        <v>0</v>
      </c>
      <c r="AC508" s="63">
        <f t="shared" si="215"/>
        <v>0</v>
      </c>
      <c r="AD508" s="63">
        <f t="shared" si="215"/>
        <v>0</v>
      </c>
      <c r="AE508" s="63">
        <f t="shared" si="215"/>
        <v>0</v>
      </c>
      <c r="AF508" s="63">
        <f t="shared" si="216"/>
        <v>0</v>
      </c>
      <c r="AG508" s="58" t="str">
        <f t="shared" si="217"/>
        <v>ok</v>
      </c>
    </row>
    <row r="509" spans="1:33">
      <c r="A509" s="60">
        <v>912</v>
      </c>
      <c r="B509" s="60" t="s">
        <v>149</v>
      </c>
      <c r="C509" s="44" t="s">
        <v>152</v>
      </c>
      <c r="D509" s="44" t="s">
        <v>663</v>
      </c>
      <c r="F509" s="79"/>
      <c r="H509" s="63">
        <f t="shared" si="214"/>
        <v>0</v>
      </c>
      <c r="I509" s="63">
        <f t="shared" si="214"/>
        <v>0</v>
      </c>
      <c r="J509" s="63">
        <f t="shared" si="214"/>
        <v>0</v>
      </c>
      <c r="K509" s="63">
        <f t="shared" si="214"/>
        <v>0</v>
      </c>
      <c r="L509" s="63">
        <f t="shared" si="214"/>
        <v>0</v>
      </c>
      <c r="M509" s="63">
        <f t="shared" si="214"/>
        <v>0</v>
      </c>
      <c r="N509" s="63">
        <f t="shared" si="214"/>
        <v>0</v>
      </c>
      <c r="O509" s="63">
        <f t="shared" si="214"/>
        <v>0</v>
      </c>
      <c r="P509" s="63">
        <f t="shared" si="214"/>
        <v>0</v>
      </c>
      <c r="Q509" s="63">
        <f t="shared" si="214"/>
        <v>0</v>
      </c>
      <c r="R509" s="63">
        <f t="shared" si="215"/>
        <v>0</v>
      </c>
      <c r="S509" s="63">
        <f t="shared" si="215"/>
        <v>0</v>
      </c>
      <c r="T509" s="63">
        <f t="shared" si="215"/>
        <v>0</v>
      </c>
      <c r="U509" s="63">
        <f t="shared" si="215"/>
        <v>0</v>
      </c>
      <c r="V509" s="63">
        <f t="shared" si="215"/>
        <v>0</v>
      </c>
      <c r="W509" s="63">
        <f t="shared" si="215"/>
        <v>0</v>
      </c>
      <c r="X509" s="63">
        <f t="shared" si="215"/>
        <v>0</v>
      </c>
      <c r="Y509" s="63">
        <f t="shared" si="215"/>
        <v>0</v>
      </c>
      <c r="Z509" s="63">
        <f t="shared" si="215"/>
        <v>0</v>
      </c>
      <c r="AA509" s="63">
        <f t="shared" si="215"/>
        <v>0</v>
      </c>
      <c r="AB509" s="63">
        <f t="shared" si="215"/>
        <v>0</v>
      </c>
      <c r="AC509" s="63">
        <f t="shared" si="215"/>
        <v>0</v>
      </c>
      <c r="AD509" s="63">
        <f t="shared" si="215"/>
        <v>0</v>
      </c>
      <c r="AE509" s="63">
        <f t="shared" si="215"/>
        <v>0</v>
      </c>
      <c r="AF509" s="63">
        <f t="shared" si="216"/>
        <v>0</v>
      </c>
      <c r="AG509" s="58" t="str">
        <f t="shared" si="217"/>
        <v>ok</v>
      </c>
    </row>
    <row r="510" spans="1:33">
      <c r="A510" s="60">
        <v>913</v>
      </c>
      <c r="B510" s="60" t="s">
        <v>138</v>
      </c>
      <c r="C510" s="44" t="s">
        <v>153</v>
      </c>
      <c r="D510" s="44" t="s">
        <v>663</v>
      </c>
      <c r="F510" s="79"/>
      <c r="H510" s="63">
        <f t="shared" si="214"/>
        <v>0</v>
      </c>
      <c r="I510" s="63">
        <f t="shared" si="214"/>
        <v>0</v>
      </c>
      <c r="J510" s="63">
        <f t="shared" si="214"/>
        <v>0</v>
      </c>
      <c r="K510" s="63">
        <f t="shared" si="214"/>
        <v>0</v>
      </c>
      <c r="L510" s="63">
        <f t="shared" si="214"/>
        <v>0</v>
      </c>
      <c r="M510" s="63">
        <f t="shared" si="214"/>
        <v>0</v>
      </c>
      <c r="N510" s="63">
        <f t="shared" si="214"/>
        <v>0</v>
      </c>
      <c r="O510" s="63">
        <f t="shared" si="214"/>
        <v>0</v>
      </c>
      <c r="P510" s="63">
        <f t="shared" si="214"/>
        <v>0</v>
      </c>
      <c r="Q510" s="63">
        <f t="shared" si="214"/>
        <v>0</v>
      </c>
      <c r="R510" s="63">
        <f t="shared" si="215"/>
        <v>0</v>
      </c>
      <c r="S510" s="63">
        <f t="shared" si="215"/>
        <v>0</v>
      </c>
      <c r="T510" s="63">
        <f t="shared" si="215"/>
        <v>0</v>
      </c>
      <c r="U510" s="63">
        <f t="shared" si="215"/>
        <v>0</v>
      </c>
      <c r="V510" s="63">
        <f t="shared" si="215"/>
        <v>0</v>
      </c>
      <c r="W510" s="63">
        <f t="shared" si="215"/>
        <v>0</v>
      </c>
      <c r="X510" s="63">
        <f t="shared" si="215"/>
        <v>0</v>
      </c>
      <c r="Y510" s="63">
        <f t="shared" si="215"/>
        <v>0</v>
      </c>
      <c r="Z510" s="63">
        <f t="shared" si="215"/>
        <v>0</v>
      </c>
      <c r="AA510" s="63">
        <f t="shared" si="215"/>
        <v>0</v>
      </c>
      <c r="AB510" s="63">
        <f t="shared" si="215"/>
        <v>0</v>
      </c>
      <c r="AC510" s="63">
        <f t="shared" si="215"/>
        <v>0</v>
      </c>
      <c r="AD510" s="63">
        <f t="shared" si="215"/>
        <v>0</v>
      </c>
      <c r="AE510" s="63">
        <f t="shared" si="215"/>
        <v>0</v>
      </c>
      <c r="AF510" s="63">
        <f t="shared" si="216"/>
        <v>0</v>
      </c>
      <c r="AG510" s="58" t="str">
        <f t="shared" si="217"/>
        <v>ok</v>
      </c>
    </row>
    <row r="511" spans="1:33">
      <c r="A511" s="60">
        <v>915</v>
      </c>
      <c r="B511" s="60" t="s">
        <v>160</v>
      </c>
      <c r="C511" s="44" t="s">
        <v>164</v>
      </c>
      <c r="D511" s="44" t="s">
        <v>663</v>
      </c>
      <c r="F511" s="79"/>
      <c r="H511" s="63">
        <f t="shared" si="214"/>
        <v>0</v>
      </c>
      <c r="I511" s="63">
        <f t="shared" si="214"/>
        <v>0</v>
      </c>
      <c r="J511" s="63">
        <f t="shared" si="214"/>
        <v>0</v>
      </c>
      <c r="K511" s="63">
        <f t="shared" si="214"/>
        <v>0</v>
      </c>
      <c r="L511" s="63">
        <f t="shared" si="214"/>
        <v>0</v>
      </c>
      <c r="M511" s="63">
        <f t="shared" si="214"/>
        <v>0</v>
      </c>
      <c r="N511" s="63">
        <f t="shared" si="214"/>
        <v>0</v>
      </c>
      <c r="O511" s="63">
        <f t="shared" si="214"/>
        <v>0</v>
      </c>
      <c r="P511" s="63">
        <f t="shared" si="214"/>
        <v>0</v>
      </c>
      <c r="Q511" s="63">
        <f t="shared" si="214"/>
        <v>0</v>
      </c>
      <c r="R511" s="63">
        <f t="shared" si="215"/>
        <v>0</v>
      </c>
      <c r="S511" s="63">
        <f t="shared" si="215"/>
        <v>0</v>
      </c>
      <c r="T511" s="63">
        <f t="shared" si="215"/>
        <v>0</v>
      </c>
      <c r="U511" s="63">
        <f t="shared" si="215"/>
        <v>0</v>
      </c>
      <c r="V511" s="63">
        <f t="shared" si="215"/>
        <v>0</v>
      </c>
      <c r="W511" s="63">
        <f t="shared" si="215"/>
        <v>0</v>
      </c>
      <c r="X511" s="63">
        <f t="shared" si="215"/>
        <v>0</v>
      </c>
      <c r="Y511" s="63">
        <f t="shared" si="215"/>
        <v>0</v>
      </c>
      <c r="Z511" s="63">
        <f t="shared" si="215"/>
        <v>0</v>
      </c>
      <c r="AA511" s="63">
        <f t="shared" si="215"/>
        <v>0</v>
      </c>
      <c r="AB511" s="63">
        <f t="shared" si="215"/>
        <v>0</v>
      </c>
      <c r="AC511" s="63">
        <f t="shared" si="215"/>
        <v>0</v>
      </c>
      <c r="AD511" s="63">
        <f t="shared" si="215"/>
        <v>0</v>
      </c>
      <c r="AE511" s="63">
        <f t="shared" si="215"/>
        <v>0</v>
      </c>
      <c r="AF511" s="63">
        <f t="shared" si="216"/>
        <v>0</v>
      </c>
      <c r="AG511" s="58" t="str">
        <f t="shared" si="217"/>
        <v>ok</v>
      </c>
    </row>
    <row r="512" spans="1:33">
      <c r="A512" s="60">
        <v>916</v>
      </c>
      <c r="B512" s="60" t="s">
        <v>161</v>
      </c>
      <c r="C512" s="44" t="s">
        <v>165</v>
      </c>
      <c r="D512" s="44" t="s">
        <v>663</v>
      </c>
      <c r="F512" s="79"/>
      <c r="H512" s="63">
        <f t="shared" si="214"/>
        <v>0</v>
      </c>
      <c r="I512" s="63">
        <f t="shared" si="214"/>
        <v>0</v>
      </c>
      <c r="J512" s="63">
        <f t="shared" si="214"/>
        <v>0</v>
      </c>
      <c r="K512" s="63">
        <f t="shared" si="214"/>
        <v>0</v>
      </c>
      <c r="L512" s="63">
        <f t="shared" si="214"/>
        <v>0</v>
      </c>
      <c r="M512" s="63">
        <f t="shared" si="214"/>
        <v>0</v>
      </c>
      <c r="N512" s="63">
        <f t="shared" si="214"/>
        <v>0</v>
      </c>
      <c r="O512" s="63">
        <f t="shared" si="214"/>
        <v>0</v>
      </c>
      <c r="P512" s="63">
        <f t="shared" si="214"/>
        <v>0</v>
      </c>
      <c r="Q512" s="63">
        <f t="shared" si="214"/>
        <v>0</v>
      </c>
      <c r="R512" s="63">
        <f t="shared" si="215"/>
        <v>0</v>
      </c>
      <c r="S512" s="63">
        <f t="shared" si="215"/>
        <v>0</v>
      </c>
      <c r="T512" s="63">
        <f t="shared" si="215"/>
        <v>0</v>
      </c>
      <c r="U512" s="63">
        <f t="shared" si="215"/>
        <v>0</v>
      </c>
      <c r="V512" s="63">
        <f t="shared" si="215"/>
        <v>0</v>
      </c>
      <c r="W512" s="63">
        <f t="shared" si="215"/>
        <v>0</v>
      </c>
      <c r="X512" s="63">
        <f t="shared" si="215"/>
        <v>0</v>
      </c>
      <c r="Y512" s="63">
        <f t="shared" si="215"/>
        <v>0</v>
      </c>
      <c r="Z512" s="63">
        <f t="shared" si="215"/>
        <v>0</v>
      </c>
      <c r="AA512" s="63">
        <f t="shared" si="215"/>
        <v>0</v>
      </c>
      <c r="AB512" s="63">
        <f t="shared" si="215"/>
        <v>0</v>
      </c>
      <c r="AC512" s="63">
        <f t="shared" si="215"/>
        <v>0</v>
      </c>
      <c r="AD512" s="63">
        <f t="shared" si="215"/>
        <v>0</v>
      </c>
      <c r="AE512" s="63">
        <f t="shared" si="215"/>
        <v>0</v>
      </c>
      <c r="AF512" s="63">
        <f t="shared" si="216"/>
        <v>0</v>
      </c>
      <c r="AG512" s="58" t="str">
        <f t="shared" si="217"/>
        <v>ok</v>
      </c>
    </row>
    <row r="513" spans="1:33">
      <c r="A513" s="60"/>
      <c r="B513" s="60"/>
      <c r="F513" s="79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58"/>
    </row>
    <row r="514" spans="1:33">
      <c r="A514" s="60" t="s">
        <v>113</v>
      </c>
      <c r="B514" s="60"/>
      <c r="C514" s="44" t="s">
        <v>86</v>
      </c>
      <c r="F514" s="76">
        <f>SUM(F502:F513)</f>
        <v>1178872.3800000001</v>
      </c>
      <c r="G514" s="62">
        <f>SUM(G502:G513)</f>
        <v>0</v>
      </c>
      <c r="H514" s="62">
        <f t="shared" ref="H514:M514" si="218">SUM(H502:H513)</f>
        <v>0</v>
      </c>
      <c r="I514" s="62">
        <f t="shared" si="218"/>
        <v>0</v>
      </c>
      <c r="J514" s="62">
        <f t="shared" si="218"/>
        <v>0</v>
      </c>
      <c r="K514" s="62">
        <f t="shared" si="218"/>
        <v>0</v>
      </c>
      <c r="L514" s="62">
        <f t="shared" si="218"/>
        <v>0</v>
      </c>
      <c r="M514" s="62">
        <f t="shared" si="218"/>
        <v>0</v>
      </c>
      <c r="N514" s="62">
        <f>SUM(N502:N513)</f>
        <v>0</v>
      </c>
      <c r="O514" s="62">
        <f>SUM(O502:O513)</f>
        <v>0</v>
      </c>
      <c r="P514" s="62">
        <f>SUM(P502:P513)</f>
        <v>0</v>
      </c>
      <c r="Q514" s="62">
        <f t="shared" ref="Q514:AB514" si="219">SUM(Q502:Q513)</f>
        <v>0</v>
      </c>
      <c r="R514" s="62">
        <f t="shared" si="219"/>
        <v>0</v>
      </c>
      <c r="S514" s="62">
        <f t="shared" si="219"/>
        <v>0</v>
      </c>
      <c r="T514" s="62">
        <f t="shared" si="219"/>
        <v>0</v>
      </c>
      <c r="U514" s="62">
        <f t="shared" si="219"/>
        <v>0</v>
      </c>
      <c r="V514" s="62">
        <f t="shared" si="219"/>
        <v>0</v>
      </c>
      <c r="W514" s="62">
        <f t="shared" si="219"/>
        <v>0</v>
      </c>
      <c r="X514" s="62">
        <f t="shared" si="219"/>
        <v>0</v>
      </c>
      <c r="Y514" s="62">
        <f t="shared" si="219"/>
        <v>0</v>
      </c>
      <c r="Z514" s="62">
        <f t="shared" si="219"/>
        <v>0</v>
      </c>
      <c r="AA514" s="62">
        <f t="shared" si="219"/>
        <v>0</v>
      </c>
      <c r="AB514" s="62">
        <f t="shared" si="219"/>
        <v>0</v>
      </c>
      <c r="AC514" s="62">
        <f>SUM(AC502:AC513)</f>
        <v>0</v>
      </c>
      <c r="AD514" s="62">
        <f>SUM(AD502:AD513)</f>
        <v>1178872.3800000001</v>
      </c>
      <c r="AE514" s="62">
        <f>SUM(AE502:AE513)</f>
        <v>0</v>
      </c>
      <c r="AF514" s="63">
        <f>SUM(H514:AE514)</f>
        <v>1178872.3800000001</v>
      </c>
      <c r="AG514" s="58" t="str">
        <f>IF(ABS(AF514-F514)&lt;1,"ok","err")</f>
        <v>ok</v>
      </c>
    </row>
    <row r="515" spans="1:33">
      <c r="A515" s="60"/>
      <c r="B515" s="60"/>
      <c r="F515" s="79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G515" s="58"/>
    </row>
    <row r="516" spans="1:33">
      <c r="A516" s="60" t="s">
        <v>846</v>
      </c>
      <c r="B516" s="60"/>
      <c r="C516" s="44" t="s">
        <v>664</v>
      </c>
      <c r="F516" s="76">
        <f>F490+F499+F514</f>
        <v>52307069.420000002</v>
      </c>
      <c r="G516" s="63"/>
      <c r="H516" s="63">
        <f t="shared" ref="H516:AE516" si="220">H490+H499+H514</f>
        <v>6084771.3260635436</v>
      </c>
      <c r="I516" s="63">
        <f t="shared" si="220"/>
        <v>6374183.0955313304</v>
      </c>
      <c r="J516" s="63">
        <f t="shared" si="220"/>
        <v>5239557.0106498227</v>
      </c>
      <c r="K516" s="63">
        <f t="shared" si="220"/>
        <v>13219293.567755304</v>
      </c>
      <c r="L516" s="63">
        <f t="shared" si="220"/>
        <v>0</v>
      </c>
      <c r="M516" s="63">
        <f t="shared" si="220"/>
        <v>0</v>
      </c>
      <c r="N516" s="63">
        <f t="shared" si="220"/>
        <v>3135417</v>
      </c>
      <c r="O516" s="63">
        <f t="shared" si="220"/>
        <v>0</v>
      </c>
      <c r="P516" s="63">
        <f t="shared" si="220"/>
        <v>0</v>
      </c>
      <c r="Q516" s="63">
        <f t="shared" si="220"/>
        <v>0</v>
      </c>
      <c r="R516" s="63">
        <f t="shared" si="220"/>
        <v>1963504.0735617669</v>
      </c>
      <c r="S516" s="63">
        <f t="shared" si="220"/>
        <v>0</v>
      </c>
      <c r="T516" s="63">
        <f t="shared" si="220"/>
        <v>1857014.0576206709</v>
      </c>
      <c r="U516" s="63">
        <f t="shared" si="220"/>
        <v>2805242.9198604217</v>
      </c>
      <c r="V516" s="63">
        <f t="shared" si="220"/>
        <v>607913.578950066</v>
      </c>
      <c r="W516" s="63">
        <f t="shared" si="220"/>
        <v>896815.90948473196</v>
      </c>
      <c r="X516" s="63">
        <f t="shared" si="220"/>
        <v>169514.89924627161</v>
      </c>
      <c r="Y516" s="63">
        <f t="shared" si="220"/>
        <v>118550.6438408878</v>
      </c>
      <c r="Z516" s="63">
        <f t="shared" si="220"/>
        <v>42990.765535061459</v>
      </c>
      <c r="AA516" s="63">
        <f t="shared" si="220"/>
        <v>4175979.9089850918</v>
      </c>
      <c r="AB516" s="63">
        <f t="shared" si="220"/>
        <v>143442.24291502949</v>
      </c>
      <c r="AC516" s="63">
        <f t="shared" si="220"/>
        <v>4294006.040000001</v>
      </c>
      <c r="AD516" s="63">
        <f t="shared" si="220"/>
        <v>1178872.3800000001</v>
      </c>
      <c r="AE516" s="63">
        <f t="shared" si="220"/>
        <v>0</v>
      </c>
      <c r="AF516" s="63">
        <f>SUM(H516:AE516)</f>
        <v>52307069.419999994</v>
      </c>
      <c r="AG516" s="58" t="str">
        <f>IF(ABS(AF516-F516)&lt;1,"ok","err")</f>
        <v>ok</v>
      </c>
    </row>
    <row r="517" spans="1:33">
      <c r="A517" s="60"/>
      <c r="B517" s="60"/>
      <c r="F517" s="79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G517" s="58"/>
    </row>
    <row r="518" spans="1:33">
      <c r="A518" s="60"/>
      <c r="B518" s="60"/>
      <c r="F518" s="79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G518" s="58"/>
    </row>
    <row r="519" spans="1:33">
      <c r="A519" s="60"/>
      <c r="B519" s="60"/>
      <c r="F519" s="79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G519" s="58"/>
    </row>
    <row r="520" spans="1:33">
      <c r="A520" s="60"/>
      <c r="B520" s="60"/>
      <c r="F520" s="79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G520" s="58"/>
    </row>
    <row r="521" spans="1:33">
      <c r="A521" s="60"/>
      <c r="B521" s="60"/>
      <c r="F521" s="79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G521" s="58"/>
    </row>
    <row r="522" spans="1:33" ht="15">
      <c r="A522" s="59" t="s">
        <v>45</v>
      </c>
      <c r="B522" s="60"/>
      <c r="F522" s="79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G522" s="58"/>
    </row>
    <row r="523" spans="1:33">
      <c r="A523" s="60"/>
      <c r="B523" s="60"/>
      <c r="F523" s="79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G523" s="58"/>
    </row>
    <row r="524" spans="1:33" ht="15">
      <c r="A524" s="65" t="s">
        <v>1047</v>
      </c>
      <c r="B524" s="60"/>
      <c r="F524" s="79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G524" s="58"/>
    </row>
    <row r="525" spans="1:33">
      <c r="A525" s="60">
        <v>920</v>
      </c>
      <c r="B525" s="60" t="s">
        <v>1048</v>
      </c>
      <c r="C525" s="44" t="s">
        <v>88</v>
      </c>
      <c r="D525" s="44" t="s">
        <v>664</v>
      </c>
      <c r="F525" s="76">
        <v>21224500.219999999</v>
      </c>
      <c r="H525" s="63">
        <f t="shared" ref="H525:Q536" si="221">IF(VLOOKUP($D525,$C$6:$AE$653,H$2,)=0,0,((VLOOKUP($D525,$C$6:$AE$653,H$2,)/VLOOKUP($D525,$C$6:$AE$653,4,))*$F525))</f>
        <v>2469001.4520160696</v>
      </c>
      <c r="I525" s="63">
        <f t="shared" si="221"/>
        <v>2586435.2947614435</v>
      </c>
      <c r="J525" s="63">
        <f t="shared" si="221"/>
        <v>2126041.090780721</v>
      </c>
      <c r="K525" s="63">
        <f t="shared" si="221"/>
        <v>5363957.5366802691</v>
      </c>
      <c r="L525" s="63">
        <f t="shared" si="221"/>
        <v>0</v>
      </c>
      <c r="M525" s="63">
        <f t="shared" si="221"/>
        <v>0</v>
      </c>
      <c r="N525" s="63">
        <f t="shared" si="221"/>
        <v>1272249.803787454</v>
      </c>
      <c r="O525" s="63">
        <f t="shared" si="221"/>
        <v>0</v>
      </c>
      <c r="P525" s="63">
        <f t="shared" si="221"/>
        <v>0</v>
      </c>
      <c r="Q525" s="63">
        <f t="shared" si="221"/>
        <v>0</v>
      </c>
      <c r="R525" s="63">
        <f t="shared" ref="R525:AE536" si="222">IF(VLOOKUP($D525,$C$6:$AE$653,R$2,)=0,0,((VLOOKUP($D525,$C$6:$AE$653,R$2,)/VLOOKUP($D525,$C$6:$AE$653,4,))*$F525))</f>
        <v>796725.81743507308</v>
      </c>
      <c r="S525" s="63">
        <f t="shared" si="222"/>
        <v>0</v>
      </c>
      <c r="T525" s="63">
        <f t="shared" si="222"/>
        <v>753515.64734082972</v>
      </c>
      <c r="U525" s="63">
        <f t="shared" si="222"/>
        <v>1138275.9468257544</v>
      </c>
      <c r="V525" s="63">
        <f t="shared" si="222"/>
        <v>246671.47353572122</v>
      </c>
      <c r="W525" s="63">
        <f t="shared" si="222"/>
        <v>363898.60260227503</v>
      </c>
      <c r="X525" s="63">
        <f t="shared" si="222"/>
        <v>68783.609103707451</v>
      </c>
      <c r="Y525" s="63">
        <f t="shared" si="222"/>
        <v>48103.978949353739</v>
      </c>
      <c r="Z525" s="63">
        <f t="shared" si="222"/>
        <v>17444.248409909873</v>
      </c>
      <c r="AA525" s="63">
        <f t="shared" si="222"/>
        <v>1694476.2434555381</v>
      </c>
      <c r="AB525" s="63">
        <f t="shared" si="222"/>
        <v>58204.176798007597</v>
      </c>
      <c r="AC525" s="63">
        <f t="shared" si="222"/>
        <v>1742367.3922327217</v>
      </c>
      <c r="AD525" s="63">
        <f t="shared" si="222"/>
        <v>478347.90528514993</v>
      </c>
      <c r="AE525" s="63">
        <f t="shared" si="222"/>
        <v>0</v>
      </c>
      <c r="AF525" s="63">
        <f t="shared" ref="AF525:AF536" si="223">SUM(H525:AE525)</f>
        <v>21224500.219999991</v>
      </c>
      <c r="AG525" s="58" t="str">
        <f t="shared" ref="AG525:AG536" si="224">IF(ABS(AF525-F525)&lt;1,"ok","err")</f>
        <v>ok</v>
      </c>
    </row>
    <row r="526" spans="1:33">
      <c r="A526" s="60">
        <v>921</v>
      </c>
      <c r="B526" s="60" t="s">
        <v>1050</v>
      </c>
      <c r="C526" s="60" t="s">
        <v>88</v>
      </c>
      <c r="D526" s="60" t="s">
        <v>664</v>
      </c>
      <c r="F526" s="76"/>
      <c r="H526" s="63">
        <f t="shared" si="221"/>
        <v>0</v>
      </c>
      <c r="I526" s="63">
        <f t="shared" si="221"/>
        <v>0</v>
      </c>
      <c r="J526" s="63">
        <f t="shared" si="221"/>
        <v>0</v>
      </c>
      <c r="K526" s="63">
        <f t="shared" si="221"/>
        <v>0</v>
      </c>
      <c r="L526" s="63">
        <f t="shared" si="221"/>
        <v>0</v>
      </c>
      <c r="M526" s="63">
        <f t="shared" si="221"/>
        <v>0</v>
      </c>
      <c r="N526" s="63">
        <f t="shared" si="221"/>
        <v>0</v>
      </c>
      <c r="O526" s="63">
        <f t="shared" si="221"/>
        <v>0</v>
      </c>
      <c r="P526" s="63">
        <f t="shared" si="221"/>
        <v>0</v>
      </c>
      <c r="Q526" s="63">
        <f t="shared" si="221"/>
        <v>0</v>
      </c>
      <c r="R526" s="63">
        <f t="shared" si="222"/>
        <v>0</v>
      </c>
      <c r="S526" s="63">
        <f t="shared" si="222"/>
        <v>0</v>
      </c>
      <c r="T526" s="63">
        <f t="shared" si="222"/>
        <v>0</v>
      </c>
      <c r="U526" s="63">
        <f t="shared" si="222"/>
        <v>0</v>
      </c>
      <c r="V526" s="63">
        <f t="shared" si="222"/>
        <v>0</v>
      </c>
      <c r="W526" s="63">
        <f t="shared" si="222"/>
        <v>0</v>
      </c>
      <c r="X526" s="63">
        <f t="shared" si="222"/>
        <v>0</v>
      </c>
      <c r="Y526" s="63">
        <f t="shared" si="222"/>
        <v>0</v>
      </c>
      <c r="Z526" s="63">
        <f t="shared" si="222"/>
        <v>0</v>
      </c>
      <c r="AA526" s="63">
        <f t="shared" si="222"/>
        <v>0</v>
      </c>
      <c r="AB526" s="63">
        <f t="shared" si="222"/>
        <v>0</v>
      </c>
      <c r="AC526" s="63">
        <f t="shared" si="222"/>
        <v>0</v>
      </c>
      <c r="AD526" s="63">
        <f t="shared" si="222"/>
        <v>0</v>
      </c>
      <c r="AE526" s="63">
        <f t="shared" si="222"/>
        <v>0</v>
      </c>
      <c r="AF526" s="63">
        <f>SUM(H526:AE526)</f>
        <v>0</v>
      </c>
      <c r="AG526" s="58" t="str">
        <f t="shared" si="224"/>
        <v>ok</v>
      </c>
    </row>
    <row r="527" spans="1:33">
      <c r="A527" s="60">
        <v>922</v>
      </c>
      <c r="B527" s="60" t="s">
        <v>615</v>
      </c>
      <c r="C527" s="44" t="s">
        <v>616</v>
      </c>
      <c r="D527" s="44" t="s">
        <v>664</v>
      </c>
      <c r="F527" s="79">
        <v>-2423558.2800000003</v>
      </c>
      <c r="H527" s="63">
        <f t="shared" si="221"/>
        <v>-281927.43529136298</v>
      </c>
      <c r="I527" s="63">
        <f t="shared" si="221"/>
        <v>-295336.83287376544</v>
      </c>
      <c r="J527" s="63">
        <f t="shared" si="221"/>
        <v>-242765.88074034039</v>
      </c>
      <c r="K527" s="63">
        <f t="shared" si="221"/>
        <v>-612493.27743133414</v>
      </c>
      <c r="L527" s="63">
        <f t="shared" si="221"/>
        <v>0</v>
      </c>
      <c r="M527" s="63">
        <f t="shared" si="221"/>
        <v>0</v>
      </c>
      <c r="N527" s="63">
        <f t="shared" si="221"/>
        <v>-145274.16496205534</v>
      </c>
      <c r="O527" s="63">
        <f t="shared" si="221"/>
        <v>0</v>
      </c>
      <c r="P527" s="63">
        <f t="shared" si="221"/>
        <v>0</v>
      </c>
      <c r="Q527" s="63">
        <f t="shared" si="221"/>
        <v>0</v>
      </c>
      <c r="R527" s="63">
        <f t="shared" si="222"/>
        <v>-90975.591025461617</v>
      </c>
      <c r="S527" s="63">
        <f t="shared" si="222"/>
        <v>0</v>
      </c>
      <c r="T527" s="63">
        <f t="shared" si="222"/>
        <v>-86041.558919799543</v>
      </c>
      <c r="U527" s="63">
        <f t="shared" si="222"/>
        <v>-129976.1156804472</v>
      </c>
      <c r="V527" s="63">
        <f t="shared" si="222"/>
        <v>-28166.632237774225</v>
      </c>
      <c r="W527" s="63">
        <f t="shared" si="222"/>
        <v>-41552.42584162829</v>
      </c>
      <c r="X527" s="63">
        <f t="shared" si="222"/>
        <v>-7854.1818956231518</v>
      </c>
      <c r="Y527" s="63">
        <f t="shared" si="222"/>
        <v>-5492.8405981402166</v>
      </c>
      <c r="Z527" s="63">
        <f t="shared" si="222"/>
        <v>-1991.9033303020178</v>
      </c>
      <c r="AA527" s="63">
        <f t="shared" si="222"/>
        <v>-193486.86129345128</v>
      </c>
      <c r="AB527" s="63">
        <f t="shared" si="222"/>
        <v>-6646.1501164805859</v>
      </c>
      <c r="AC527" s="63">
        <f t="shared" si="222"/>
        <v>-198955.39949009084</v>
      </c>
      <c r="AD527" s="63">
        <f t="shared" si="222"/>
        <v>-54621.028271943032</v>
      </c>
      <c r="AE527" s="63">
        <f t="shared" si="222"/>
        <v>0</v>
      </c>
      <c r="AF527" s="63">
        <f t="shared" si="223"/>
        <v>-2423558.2800000007</v>
      </c>
      <c r="AG527" s="58" t="str">
        <f t="shared" si="224"/>
        <v>ok</v>
      </c>
    </row>
    <row r="528" spans="1:33">
      <c r="A528" s="60">
        <v>923</v>
      </c>
      <c r="B528" s="60" t="s">
        <v>1052</v>
      </c>
      <c r="C528" s="44" t="s">
        <v>89</v>
      </c>
      <c r="D528" s="44" t="s">
        <v>664</v>
      </c>
      <c r="F528" s="79"/>
      <c r="H528" s="63">
        <f t="shared" si="221"/>
        <v>0</v>
      </c>
      <c r="I528" s="63">
        <f t="shared" si="221"/>
        <v>0</v>
      </c>
      <c r="J528" s="63">
        <f t="shared" si="221"/>
        <v>0</v>
      </c>
      <c r="K528" s="63">
        <f t="shared" si="221"/>
        <v>0</v>
      </c>
      <c r="L528" s="63">
        <f t="shared" si="221"/>
        <v>0</v>
      </c>
      <c r="M528" s="63">
        <f t="shared" si="221"/>
        <v>0</v>
      </c>
      <c r="N528" s="63">
        <f t="shared" si="221"/>
        <v>0</v>
      </c>
      <c r="O528" s="63">
        <f t="shared" si="221"/>
        <v>0</v>
      </c>
      <c r="P528" s="63">
        <f t="shared" si="221"/>
        <v>0</v>
      </c>
      <c r="Q528" s="63">
        <f t="shared" si="221"/>
        <v>0</v>
      </c>
      <c r="R528" s="63">
        <f t="shared" si="222"/>
        <v>0</v>
      </c>
      <c r="S528" s="63">
        <f t="shared" si="222"/>
        <v>0</v>
      </c>
      <c r="T528" s="63">
        <f t="shared" si="222"/>
        <v>0</v>
      </c>
      <c r="U528" s="63">
        <f t="shared" si="222"/>
        <v>0</v>
      </c>
      <c r="V528" s="63">
        <f t="shared" si="222"/>
        <v>0</v>
      </c>
      <c r="W528" s="63">
        <f t="shared" si="222"/>
        <v>0</v>
      </c>
      <c r="X528" s="63">
        <f t="shared" si="222"/>
        <v>0</v>
      </c>
      <c r="Y528" s="63">
        <f t="shared" si="222"/>
        <v>0</v>
      </c>
      <c r="Z528" s="63">
        <f t="shared" si="222"/>
        <v>0</v>
      </c>
      <c r="AA528" s="63">
        <f t="shared" si="222"/>
        <v>0</v>
      </c>
      <c r="AB528" s="63">
        <f t="shared" si="222"/>
        <v>0</v>
      </c>
      <c r="AC528" s="63">
        <f t="shared" si="222"/>
        <v>0</v>
      </c>
      <c r="AD528" s="63">
        <f t="shared" si="222"/>
        <v>0</v>
      </c>
      <c r="AE528" s="63">
        <f t="shared" si="222"/>
        <v>0</v>
      </c>
      <c r="AF528" s="63">
        <f t="shared" si="223"/>
        <v>0</v>
      </c>
      <c r="AG528" s="58" t="str">
        <f t="shared" si="224"/>
        <v>ok</v>
      </c>
    </row>
    <row r="529" spans="1:33">
      <c r="A529" s="60">
        <v>924</v>
      </c>
      <c r="B529" s="60" t="s">
        <v>1054</v>
      </c>
      <c r="C529" s="44" t="s">
        <v>90</v>
      </c>
      <c r="D529" s="44" t="s">
        <v>968</v>
      </c>
      <c r="F529" s="79"/>
      <c r="H529" s="63">
        <f t="shared" si="221"/>
        <v>0</v>
      </c>
      <c r="I529" s="63">
        <f t="shared" si="221"/>
        <v>0</v>
      </c>
      <c r="J529" s="63">
        <f t="shared" si="221"/>
        <v>0</v>
      </c>
      <c r="K529" s="63">
        <f t="shared" si="221"/>
        <v>0</v>
      </c>
      <c r="L529" s="63">
        <f t="shared" si="221"/>
        <v>0</v>
      </c>
      <c r="M529" s="63">
        <f t="shared" si="221"/>
        <v>0</v>
      </c>
      <c r="N529" s="63">
        <f t="shared" si="221"/>
        <v>0</v>
      </c>
      <c r="O529" s="63">
        <f t="shared" si="221"/>
        <v>0</v>
      </c>
      <c r="P529" s="63">
        <f t="shared" si="221"/>
        <v>0</v>
      </c>
      <c r="Q529" s="63">
        <f t="shared" si="221"/>
        <v>0</v>
      </c>
      <c r="R529" s="63">
        <f t="shared" si="222"/>
        <v>0</v>
      </c>
      <c r="S529" s="63">
        <f t="shared" si="222"/>
        <v>0</v>
      </c>
      <c r="T529" s="63">
        <f t="shared" si="222"/>
        <v>0</v>
      </c>
      <c r="U529" s="63">
        <f t="shared" si="222"/>
        <v>0</v>
      </c>
      <c r="V529" s="63">
        <f t="shared" si="222"/>
        <v>0</v>
      </c>
      <c r="W529" s="63">
        <f t="shared" si="222"/>
        <v>0</v>
      </c>
      <c r="X529" s="63">
        <f t="shared" si="222"/>
        <v>0</v>
      </c>
      <c r="Y529" s="63">
        <f t="shared" si="222"/>
        <v>0</v>
      </c>
      <c r="Z529" s="63">
        <f t="shared" si="222"/>
        <v>0</v>
      </c>
      <c r="AA529" s="63">
        <f t="shared" si="222"/>
        <v>0</v>
      </c>
      <c r="AB529" s="63">
        <f t="shared" si="222"/>
        <v>0</v>
      </c>
      <c r="AC529" s="63">
        <f t="shared" si="222"/>
        <v>0</v>
      </c>
      <c r="AD529" s="63">
        <f t="shared" si="222"/>
        <v>0</v>
      </c>
      <c r="AE529" s="63">
        <f t="shared" si="222"/>
        <v>0</v>
      </c>
      <c r="AF529" s="63">
        <f t="shared" si="223"/>
        <v>0</v>
      </c>
      <c r="AG529" s="58" t="str">
        <f t="shared" si="224"/>
        <v>ok</v>
      </c>
    </row>
    <row r="530" spans="1:33">
      <c r="A530" s="60">
        <v>925</v>
      </c>
      <c r="B530" s="60" t="s">
        <v>1369</v>
      </c>
      <c r="C530" s="44" t="s">
        <v>91</v>
      </c>
      <c r="D530" s="44" t="s">
        <v>664</v>
      </c>
      <c r="F530" s="79"/>
      <c r="H530" s="63">
        <f t="shared" si="221"/>
        <v>0</v>
      </c>
      <c r="I530" s="63">
        <f t="shared" si="221"/>
        <v>0</v>
      </c>
      <c r="J530" s="63">
        <f t="shared" si="221"/>
        <v>0</v>
      </c>
      <c r="K530" s="63">
        <f t="shared" si="221"/>
        <v>0</v>
      </c>
      <c r="L530" s="63">
        <f t="shared" si="221"/>
        <v>0</v>
      </c>
      <c r="M530" s="63">
        <f t="shared" si="221"/>
        <v>0</v>
      </c>
      <c r="N530" s="63">
        <f t="shared" si="221"/>
        <v>0</v>
      </c>
      <c r="O530" s="63">
        <f t="shared" si="221"/>
        <v>0</v>
      </c>
      <c r="P530" s="63">
        <f t="shared" si="221"/>
        <v>0</v>
      </c>
      <c r="Q530" s="63">
        <f t="shared" si="221"/>
        <v>0</v>
      </c>
      <c r="R530" s="63">
        <f t="shared" si="222"/>
        <v>0</v>
      </c>
      <c r="S530" s="63">
        <f t="shared" si="222"/>
        <v>0</v>
      </c>
      <c r="T530" s="63">
        <f t="shared" si="222"/>
        <v>0</v>
      </c>
      <c r="U530" s="63">
        <f t="shared" si="222"/>
        <v>0</v>
      </c>
      <c r="V530" s="63">
        <f t="shared" si="222"/>
        <v>0</v>
      </c>
      <c r="W530" s="63">
        <f t="shared" si="222"/>
        <v>0</v>
      </c>
      <c r="X530" s="63">
        <f t="shared" si="222"/>
        <v>0</v>
      </c>
      <c r="Y530" s="63">
        <f t="shared" si="222"/>
        <v>0</v>
      </c>
      <c r="Z530" s="63">
        <f t="shared" si="222"/>
        <v>0</v>
      </c>
      <c r="AA530" s="63">
        <f t="shared" si="222"/>
        <v>0</v>
      </c>
      <c r="AB530" s="63">
        <f t="shared" si="222"/>
        <v>0</v>
      </c>
      <c r="AC530" s="63">
        <f t="shared" si="222"/>
        <v>0</v>
      </c>
      <c r="AD530" s="63">
        <f t="shared" si="222"/>
        <v>0</v>
      </c>
      <c r="AE530" s="63">
        <f t="shared" si="222"/>
        <v>0</v>
      </c>
      <c r="AF530" s="63">
        <f t="shared" si="223"/>
        <v>0</v>
      </c>
      <c r="AG530" s="58" t="str">
        <f t="shared" si="224"/>
        <v>ok</v>
      </c>
    </row>
    <row r="531" spans="1:33">
      <c r="A531" s="60">
        <v>926</v>
      </c>
      <c r="B531" s="60" t="s">
        <v>1057</v>
      </c>
      <c r="C531" s="44" t="s">
        <v>92</v>
      </c>
      <c r="D531" s="44" t="s">
        <v>664</v>
      </c>
      <c r="F531" s="79"/>
      <c r="H531" s="63">
        <f t="shared" si="221"/>
        <v>0</v>
      </c>
      <c r="I531" s="63">
        <f t="shared" si="221"/>
        <v>0</v>
      </c>
      <c r="J531" s="63">
        <f t="shared" si="221"/>
        <v>0</v>
      </c>
      <c r="K531" s="63">
        <f t="shared" si="221"/>
        <v>0</v>
      </c>
      <c r="L531" s="63">
        <f t="shared" si="221"/>
        <v>0</v>
      </c>
      <c r="M531" s="63">
        <f t="shared" si="221"/>
        <v>0</v>
      </c>
      <c r="N531" s="63">
        <f t="shared" si="221"/>
        <v>0</v>
      </c>
      <c r="O531" s="63">
        <f t="shared" si="221"/>
        <v>0</v>
      </c>
      <c r="P531" s="63">
        <f t="shared" si="221"/>
        <v>0</v>
      </c>
      <c r="Q531" s="63">
        <f t="shared" si="221"/>
        <v>0</v>
      </c>
      <c r="R531" s="63">
        <f t="shared" si="222"/>
        <v>0</v>
      </c>
      <c r="S531" s="63">
        <f t="shared" si="222"/>
        <v>0</v>
      </c>
      <c r="T531" s="63">
        <f t="shared" si="222"/>
        <v>0</v>
      </c>
      <c r="U531" s="63">
        <f t="shared" si="222"/>
        <v>0</v>
      </c>
      <c r="V531" s="63">
        <f t="shared" si="222"/>
        <v>0</v>
      </c>
      <c r="W531" s="63">
        <f t="shared" si="222"/>
        <v>0</v>
      </c>
      <c r="X531" s="63">
        <f t="shared" si="222"/>
        <v>0</v>
      </c>
      <c r="Y531" s="63">
        <f t="shared" si="222"/>
        <v>0</v>
      </c>
      <c r="Z531" s="63">
        <f t="shared" si="222"/>
        <v>0</v>
      </c>
      <c r="AA531" s="63">
        <f t="shared" si="222"/>
        <v>0</v>
      </c>
      <c r="AB531" s="63">
        <f t="shared" si="222"/>
        <v>0</v>
      </c>
      <c r="AC531" s="63">
        <f t="shared" si="222"/>
        <v>0</v>
      </c>
      <c r="AD531" s="63">
        <f t="shared" si="222"/>
        <v>0</v>
      </c>
      <c r="AE531" s="63">
        <f t="shared" si="222"/>
        <v>0</v>
      </c>
      <c r="AF531" s="63">
        <f t="shared" si="223"/>
        <v>0</v>
      </c>
      <c r="AG531" s="58" t="str">
        <f t="shared" si="224"/>
        <v>ok</v>
      </c>
    </row>
    <row r="532" spans="1:33">
      <c r="A532" s="60">
        <v>928</v>
      </c>
      <c r="B532" s="60" t="s">
        <v>887</v>
      </c>
      <c r="C532" s="44" t="s">
        <v>93</v>
      </c>
      <c r="D532" s="44" t="s">
        <v>968</v>
      </c>
      <c r="F532" s="79"/>
      <c r="H532" s="63">
        <f t="shared" si="221"/>
        <v>0</v>
      </c>
      <c r="I532" s="63">
        <f t="shared" si="221"/>
        <v>0</v>
      </c>
      <c r="J532" s="63">
        <f t="shared" si="221"/>
        <v>0</v>
      </c>
      <c r="K532" s="63">
        <f t="shared" si="221"/>
        <v>0</v>
      </c>
      <c r="L532" s="63">
        <f t="shared" si="221"/>
        <v>0</v>
      </c>
      <c r="M532" s="63">
        <f t="shared" si="221"/>
        <v>0</v>
      </c>
      <c r="N532" s="63">
        <f t="shared" si="221"/>
        <v>0</v>
      </c>
      <c r="O532" s="63">
        <f t="shared" si="221"/>
        <v>0</v>
      </c>
      <c r="P532" s="63">
        <f t="shared" si="221"/>
        <v>0</v>
      </c>
      <c r="Q532" s="63">
        <f t="shared" si="221"/>
        <v>0</v>
      </c>
      <c r="R532" s="63">
        <f t="shared" si="222"/>
        <v>0</v>
      </c>
      <c r="S532" s="63">
        <f t="shared" si="222"/>
        <v>0</v>
      </c>
      <c r="T532" s="63">
        <f t="shared" si="222"/>
        <v>0</v>
      </c>
      <c r="U532" s="63">
        <f t="shared" si="222"/>
        <v>0</v>
      </c>
      <c r="V532" s="63">
        <f t="shared" si="222"/>
        <v>0</v>
      </c>
      <c r="W532" s="63">
        <f t="shared" si="222"/>
        <v>0</v>
      </c>
      <c r="X532" s="63">
        <f t="shared" si="222"/>
        <v>0</v>
      </c>
      <c r="Y532" s="63">
        <f t="shared" si="222"/>
        <v>0</v>
      </c>
      <c r="Z532" s="63">
        <f t="shared" si="222"/>
        <v>0</v>
      </c>
      <c r="AA532" s="63">
        <f t="shared" si="222"/>
        <v>0</v>
      </c>
      <c r="AB532" s="63">
        <f t="shared" si="222"/>
        <v>0</v>
      </c>
      <c r="AC532" s="63">
        <f t="shared" si="222"/>
        <v>0</v>
      </c>
      <c r="AD532" s="63">
        <f t="shared" si="222"/>
        <v>0</v>
      </c>
      <c r="AE532" s="63">
        <f t="shared" si="222"/>
        <v>0</v>
      </c>
      <c r="AF532" s="63">
        <f t="shared" si="223"/>
        <v>0</v>
      </c>
      <c r="AG532" s="58" t="str">
        <f t="shared" si="224"/>
        <v>ok</v>
      </c>
    </row>
    <row r="533" spans="1:33">
      <c r="A533" s="60">
        <v>929</v>
      </c>
      <c r="B533" s="60" t="s">
        <v>1158</v>
      </c>
      <c r="C533" s="44" t="s">
        <v>94</v>
      </c>
      <c r="D533" s="44" t="s">
        <v>664</v>
      </c>
      <c r="F533" s="79"/>
      <c r="H533" s="63">
        <f t="shared" si="221"/>
        <v>0</v>
      </c>
      <c r="I533" s="63">
        <f t="shared" si="221"/>
        <v>0</v>
      </c>
      <c r="J533" s="63">
        <f t="shared" si="221"/>
        <v>0</v>
      </c>
      <c r="K533" s="63">
        <f t="shared" si="221"/>
        <v>0</v>
      </c>
      <c r="L533" s="63">
        <f t="shared" si="221"/>
        <v>0</v>
      </c>
      <c r="M533" s="63">
        <f t="shared" si="221"/>
        <v>0</v>
      </c>
      <c r="N533" s="63">
        <f t="shared" si="221"/>
        <v>0</v>
      </c>
      <c r="O533" s="63">
        <f t="shared" si="221"/>
        <v>0</v>
      </c>
      <c r="P533" s="63">
        <f t="shared" si="221"/>
        <v>0</v>
      </c>
      <c r="Q533" s="63">
        <f t="shared" si="221"/>
        <v>0</v>
      </c>
      <c r="R533" s="63">
        <f t="shared" si="222"/>
        <v>0</v>
      </c>
      <c r="S533" s="63">
        <f t="shared" si="222"/>
        <v>0</v>
      </c>
      <c r="T533" s="63">
        <f t="shared" si="222"/>
        <v>0</v>
      </c>
      <c r="U533" s="63">
        <f t="shared" si="222"/>
        <v>0</v>
      </c>
      <c r="V533" s="63">
        <f t="shared" si="222"/>
        <v>0</v>
      </c>
      <c r="W533" s="63">
        <f t="shared" si="222"/>
        <v>0</v>
      </c>
      <c r="X533" s="63">
        <f t="shared" si="222"/>
        <v>0</v>
      </c>
      <c r="Y533" s="63">
        <f t="shared" si="222"/>
        <v>0</v>
      </c>
      <c r="Z533" s="63">
        <f t="shared" si="222"/>
        <v>0</v>
      </c>
      <c r="AA533" s="63">
        <f t="shared" si="222"/>
        <v>0</v>
      </c>
      <c r="AB533" s="63">
        <f t="shared" si="222"/>
        <v>0</v>
      </c>
      <c r="AC533" s="63">
        <f t="shared" si="222"/>
        <v>0</v>
      </c>
      <c r="AD533" s="63">
        <f t="shared" si="222"/>
        <v>0</v>
      </c>
      <c r="AE533" s="63">
        <f t="shared" si="222"/>
        <v>0</v>
      </c>
      <c r="AF533" s="63">
        <f t="shared" si="223"/>
        <v>0</v>
      </c>
      <c r="AG533" s="58" t="str">
        <f t="shared" si="224"/>
        <v>ok</v>
      </c>
    </row>
    <row r="534" spans="1:33">
      <c r="A534" s="60">
        <v>930</v>
      </c>
      <c r="B534" s="60" t="s">
        <v>1060</v>
      </c>
      <c r="C534" s="44" t="s">
        <v>95</v>
      </c>
      <c r="D534" s="44" t="s">
        <v>664</v>
      </c>
      <c r="F534" s="79"/>
      <c r="H534" s="63">
        <f t="shared" si="221"/>
        <v>0</v>
      </c>
      <c r="I534" s="63">
        <f t="shared" si="221"/>
        <v>0</v>
      </c>
      <c r="J534" s="63">
        <f t="shared" si="221"/>
        <v>0</v>
      </c>
      <c r="K534" s="63">
        <f t="shared" si="221"/>
        <v>0</v>
      </c>
      <c r="L534" s="63">
        <f t="shared" si="221"/>
        <v>0</v>
      </c>
      <c r="M534" s="63">
        <f t="shared" si="221"/>
        <v>0</v>
      </c>
      <c r="N534" s="63">
        <f t="shared" si="221"/>
        <v>0</v>
      </c>
      <c r="O534" s="63">
        <f t="shared" si="221"/>
        <v>0</v>
      </c>
      <c r="P534" s="63">
        <f t="shared" si="221"/>
        <v>0</v>
      </c>
      <c r="Q534" s="63">
        <f t="shared" si="221"/>
        <v>0</v>
      </c>
      <c r="R534" s="63">
        <f t="shared" si="222"/>
        <v>0</v>
      </c>
      <c r="S534" s="63">
        <f t="shared" si="222"/>
        <v>0</v>
      </c>
      <c r="T534" s="63">
        <f t="shared" si="222"/>
        <v>0</v>
      </c>
      <c r="U534" s="63">
        <f t="shared" si="222"/>
        <v>0</v>
      </c>
      <c r="V534" s="63">
        <f t="shared" si="222"/>
        <v>0</v>
      </c>
      <c r="W534" s="63">
        <f t="shared" si="222"/>
        <v>0</v>
      </c>
      <c r="X534" s="63">
        <f t="shared" si="222"/>
        <v>0</v>
      </c>
      <c r="Y534" s="63">
        <f t="shared" si="222"/>
        <v>0</v>
      </c>
      <c r="Z534" s="63">
        <f t="shared" si="222"/>
        <v>0</v>
      </c>
      <c r="AA534" s="63">
        <f t="shared" si="222"/>
        <v>0</v>
      </c>
      <c r="AB534" s="63">
        <f t="shared" si="222"/>
        <v>0</v>
      </c>
      <c r="AC534" s="63">
        <f t="shared" si="222"/>
        <v>0</v>
      </c>
      <c r="AD534" s="63">
        <f t="shared" si="222"/>
        <v>0</v>
      </c>
      <c r="AE534" s="63">
        <f t="shared" si="222"/>
        <v>0</v>
      </c>
      <c r="AF534" s="63">
        <f t="shared" si="223"/>
        <v>0</v>
      </c>
      <c r="AG534" s="58" t="str">
        <f t="shared" si="224"/>
        <v>ok</v>
      </c>
    </row>
    <row r="535" spans="1:33">
      <c r="A535" s="60">
        <v>931</v>
      </c>
      <c r="B535" s="60" t="s">
        <v>1062</v>
      </c>
      <c r="C535" s="44" t="s">
        <v>96</v>
      </c>
      <c r="D535" s="44" t="s">
        <v>958</v>
      </c>
      <c r="F535" s="79"/>
      <c r="H535" s="63">
        <f t="shared" si="221"/>
        <v>0</v>
      </c>
      <c r="I535" s="63">
        <f t="shared" si="221"/>
        <v>0</v>
      </c>
      <c r="J535" s="63">
        <f t="shared" si="221"/>
        <v>0</v>
      </c>
      <c r="K535" s="63">
        <f t="shared" si="221"/>
        <v>0</v>
      </c>
      <c r="L535" s="63">
        <f t="shared" si="221"/>
        <v>0</v>
      </c>
      <c r="M535" s="63">
        <f t="shared" si="221"/>
        <v>0</v>
      </c>
      <c r="N535" s="63">
        <f t="shared" si="221"/>
        <v>0</v>
      </c>
      <c r="O535" s="63">
        <f t="shared" si="221"/>
        <v>0</v>
      </c>
      <c r="P535" s="63">
        <f t="shared" si="221"/>
        <v>0</v>
      </c>
      <c r="Q535" s="63">
        <f t="shared" si="221"/>
        <v>0</v>
      </c>
      <c r="R535" s="63">
        <f t="shared" si="222"/>
        <v>0</v>
      </c>
      <c r="S535" s="63">
        <f t="shared" si="222"/>
        <v>0</v>
      </c>
      <c r="T535" s="63">
        <f t="shared" si="222"/>
        <v>0</v>
      </c>
      <c r="U535" s="63">
        <f t="shared" si="222"/>
        <v>0</v>
      </c>
      <c r="V535" s="63">
        <f t="shared" si="222"/>
        <v>0</v>
      </c>
      <c r="W535" s="63">
        <f t="shared" si="222"/>
        <v>0</v>
      </c>
      <c r="X535" s="63">
        <f t="shared" si="222"/>
        <v>0</v>
      </c>
      <c r="Y535" s="63">
        <f t="shared" si="222"/>
        <v>0</v>
      </c>
      <c r="Z535" s="63">
        <f t="shared" si="222"/>
        <v>0</v>
      </c>
      <c r="AA535" s="63">
        <f t="shared" si="222"/>
        <v>0</v>
      </c>
      <c r="AB535" s="63">
        <f t="shared" si="222"/>
        <v>0</v>
      </c>
      <c r="AC535" s="63">
        <f t="shared" si="222"/>
        <v>0</v>
      </c>
      <c r="AD535" s="63">
        <f t="shared" si="222"/>
        <v>0</v>
      </c>
      <c r="AE535" s="63">
        <f t="shared" si="222"/>
        <v>0</v>
      </c>
      <c r="AF535" s="63">
        <f t="shared" si="223"/>
        <v>0</v>
      </c>
      <c r="AG535" s="58" t="str">
        <f t="shared" si="224"/>
        <v>ok</v>
      </c>
    </row>
    <row r="536" spans="1:33">
      <c r="A536" s="60">
        <v>935</v>
      </c>
      <c r="B536" s="60" t="s">
        <v>1064</v>
      </c>
      <c r="C536" s="44" t="s">
        <v>97</v>
      </c>
      <c r="D536" s="44" t="s">
        <v>958</v>
      </c>
      <c r="F536" s="79">
        <v>430712.79999999993</v>
      </c>
      <c r="H536" s="63">
        <f t="shared" si="221"/>
        <v>83058.253487253809</v>
      </c>
      <c r="I536" s="63">
        <f t="shared" si="221"/>
        <v>87008.777643796129</v>
      </c>
      <c r="J536" s="63">
        <f t="shared" si="221"/>
        <v>71520.921827806756</v>
      </c>
      <c r="K536" s="63">
        <f t="shared" si="221"/>
        <v>0</v>
      </c>
      <c r="L536" s="63">
        <f t="shared" si="221"/>
        <v>0</v>
      </c>
      <c r="M536" s="63">
        <f t="shared" si="221"/>
        <v>0</v>
      </c>
      <c r="N536" s="63">
        <f t="shared" si="221"/>
        <v>46338.533719054532</v>
      </c>
      <c r="O536" s="63">
        <f t="shared" si="221"/>
        <v>0</v>
      </c>
      <c r="P536" s="63">
        <f t="shared" si="221"/>
        <v>0</v>
      </c>
      <c r="Q536" s="63">
        <f t="shared" si="221"/>
        <v>0</v>
      </c>
      <c r="R536" s="63">
        <f t="shared" si="222"/>
        <v>15998.114439020788</v>
      </c>
      <c r="S536" s="63">
        <f t="shared" si="222"/>
        <v>0</v>
      </c>
      <c r="T536" s="63">
        <f t="shared" si="222"/>
        <v>27358.421257728867</v>
      </c>
      <c r="U536" s="63">
        <f t="shared" si="222"/>
        <v>43537.416460110828</v>
      </c>
      <c r="V536" s="63">
        <f t="shared" si="222"/>
        <v>7520.9328171211573</v>
      </c>
      <c r="W536" s="63">
        <f t="shared" si="222"/>
        <v>11429.231173530683</v>
      </c>
      <c r="X536" s="63">
        <f t="shared" si="222"/>
        <v>10396.198263774761</v>
      </c>
      <c r="Y536" s="63">
        <f t="shared" si="222"/>
        <v>7270.605729337537</v>
      </c>
      <c r="Z536" s="63">
        <f t="shared" si="222"/>
        <v>3610.7187483921398</v>
      </c>
      <c r="AA536" s="63">
        <f t="shared" si="222"/>
        <v>4188.3328937878196</v>
      </c>
      <c r="AB536" s="63">
        <f t="shared" si="222"/>
        <v>11476.341539284123</v>
      </c>
      <c r="AC536" s="63">
        <f t="shared" si="222"/>
        <v>0</v>
      </c>
      <c r="AD536" s="63">
        <f t="shared" si="222"/>
        <v>0</v>
      </c>
      <c r="AE536" s="63">
        <f t="shared" si="222"/>
        <v>0</v>
      </c>
      <c r="AF536" s="63">
        <f t="shared" si="223"/>
        <v>430712.79999999993</v>
      </c>
      <c r="AG536" s="58" t="str">
        <f t="shared" si="224"/>
        <v>ok</v>
      </c>
    </row>
    <row r="537" spans="1:33">
      <c r="A537" s="60"/>
      <c r="B537" s="60"/>
      <c r="F537" s="79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58"/>
    </row>
    <row r="538" spans="1:33">
      <c r="A538" s="60" t="s">
        <v>1065</v>
      </c>
      <c r="B538" s="60"/>
      <c r="C538" s="44" t="s">
        <v>98</v>
      </c>
      <c r="F538" s="76">
        <f t="shared" ref="F538:M538" si="225">SUM(F525:F537)</f>
        <v>19231654.739999998</v>
      </c>
      <c r="G538" s="62">
        <f t="shared" si="225"/>
        <v>0</v>
      </c>
      <c r="H538" s="62">
        <f t="shared" si="225"/>
        <v>2270132.2702119607</v>
      </c>
      <c r="I538" s="62">
        <f t="shared" si="225"/>
        <v>2378107.2395314742</v>
      </c>
      <c r="J538" s="62">
        <f t="shared" si="225"/>
        <v>1954796.1318681876</v>
      </c>
      <c r="K538" s="62">
        <f t="shared" si="225"/>
        <v>4751464.2592489347</v>
      </c>
      <c r="L538" s="62">
        <f t="shared" si="225"/>
        <v>0</v>
      </c>
      <c r="M538" s="62">
        <f t="shared" si="225"/>
        <v>0</v>
      </c>
      <c r="N538" s="62">
        <f>SUM(N525:N537)</f>
        <v>1173314.1725444531</v>
      </c>
      <c r="O538" s="62">
        <f>SUM(O525:O537)</f>
        <v>0</v>
      </c>
      <c r="P538" s="62">
        <f>SUM(P525:P537)</f>
        <v>0</v>
      </c>
      <c r="Q538" s="62">
        <f t="shared" ref="Q538:AB538" si="226">SUM(Q525:Q537)</f>
        <v>0</v>
      </c>
      <c r="R538" s="62">
        <f t="shared" si="226"/>
        <v>721748.34084863227</v>
      </c>
      <c r="S538" s="62">
        <f t="shared" si="226"/>
        <v>0</v>
      </c>
      <c r="T538" s="62">
        <f t="shared" si="226"/>
        <v>694832.50967875903</v>
      </c>
      <c r="U538" s="62">
        <f t="shared" si="226"/>
        <v>1051837.2476054181</v>
      </c>
      <c r="V538" s="62">
        <f t="shared" si="226"/>
        <v>226025.77411506814</v>
      </c>
      <c r="W538" s="62">
        <f t="shared" si="226"/>
        <v>333775.40793417743</v>
      </c>
      <c r="X538" s="62">
        <f t="shared" si="226"/>
        <v>71325.625471859064</v>
      </c>
      <c r="Y538" s="62">
        <f t="shared" si="226"/>
        <v>49881.744080551056</v>
      </c>
      <c r="Z538" s="62">
        <f t="shared" si="226"/>
        <v>19063.063827999995</v>
      </c>
      <c r="AA538" s="62">
        <f t="shared" si="226"/>
        <v>1505177.7150558745</v>
      </c>
      <c r="AB538" s="62">
        <f t="shared" si="226"/>
        <v>63034.368220811128</v>
      </c>
      <c r="AC538" s="62">
        <f>SUM(AC525:AC537)</f>
        <v>1543411.9927426309</v>
      </c>
      <c r="AD538" s="62">
        <f>SUM(AD525:AD537)</f>
        <v>423726.87701320689</v>
      </c>
      <c r="AE538" s="62">
        <f>SUM(AE525:AE537)</f>
        <v>0</v>
      </c>
      <c r="AF538" s="63">
        <f>SUM(H538:AE538)</f>
        <v>19231654.739999998</v>
      </c>
      <c r="AG538" s="58" t="str">
        <f>IF(ABS(AF538-F538)&lt;1,"ok","err")</f>
        <v>ok</v>
      </c>
    </row>
    <row r="539" spans="1:33">
      <c r="A539" s="60"/>
      <c r="B539" s="60"/>
      <c r="F539" s="79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58"/>
    </row>
    <row r="540" spans="1:33">
      <c r="A540" s="60" t="s">
        <v>1067</v>
      </c>
      <c r="B540" s="60"/>
      <c r="C540" s="44" t="s">
        <v>99</v>
      </c>
      <c r="F540" s="76">
        <f>F490+F499+F514+F538</f>
        <v>71538724.159999996</v>
      </c>
      <c r="G540" s="62"/>
      <c r="H540" s="62">
        <f t="shared" ref="H540:M540" si="227">H490+H499+H514+H538</f>
        <v>8354903.5962755047</v>
      </c>
      <c r="I540" s="62">
        <f t="shared" si="227"/>
        <v>8752290.3350628056</v>
      </c>
      <c r="J540" s="62">
        <f t="shared" si="227"/>
        <v>7194353.14251801</v>
      </c>
      <c r="K540" s="62">
        <f t="shared" si="227"/>
        <v>17970757.827004239</v>
      </c>
      <c r="L540" s="62">
        <f t="shared" si="227"/>
        <v>0</v>
      </c>
      <c r="M540" s="62">
        <f t="shared" si="227"/>
        <v>0</v>
      </c>
      <c r="N540" s="62">
        <f>N490+N499+N514+N538</f>
        <v>4308731.1725444533</v>
      </c>
      <c r="O540" s="62">
        <f>O490+O499+O514+O538</f>
        <v>0</v>
      </c>
      <c r="P540" s="62">
        <f>P490+P499+P514+P538</f>
        <v>0</v>
      </c>
      <c r="Q540" s="62">
        <f t="shared" ref="Q540:AB540" si="228">Q490+Q499+Q514+Q538</f>
        <v>0</v>
      </c>
      <c r="R540" s="62">
        <f t="shared" si="228"/>
        <v>2685252.4144103993</v>
      </c>
      <c r="S540" s="62">
        <f t="shared" si="228"/>
        <v>0</v>
      </c>
      <c r="T540" s="62">
        <f t="shared" si="228"/>
        <v>2551846.5672994298</v>
      </c>
      <c r="U540" s="62">
        <f t="shared" si="228"/>
        <v>3857080.1674658395</v>
      </c>
      <c r="V540" s="62">
        <f t="shared" si="228"/>
        <v>833939.35306513414</v>
      </c>
      <c r="W540" s="62">
        <f t="shared" si="228"/>
        <v>1230591.3174189094</v>
      </c>
      <c r="X540" s="62">
        <f t="shared" si="228"/>
        <v>240840.52471813068</v>
      </c>
      <c r="Y540" s="62">
        <f t="shared" si="228"/>
        <v>168432.38792143884</v>
      </c>
      <c r="Z540" s="62">
        <f t="shared" si="228"/>
        <v>62053.82936306145</v>
      </c>
      <c r="AA540" s="62">
        <f t="shared" si="228"/>
        <v>5681157.6240409669</v>
      </c>
      <c r="AB540" s="62">
        <f t="shared" si="228"/>
        <v>206476.61113584062</v>
      </c>
      <c r="AC540" s="62">
        <f>AC490+AC499+AC514+AC538</f>
        <v>5837418.0327426316</v>
      </c>
      <c r="AD540" s="62">
        <f>AD490+AD499+AD514+AD538</f>
        <v>1602599.2570132071</v>
      </c>
      <c r="AE540" s="62">
        <f>AE490+AE499+AE514+AE538</f>
        <v>0</v>
      </c>
      <c r="AF540" s="63">
        <f>SUM(H540:AE540)</f>
        <v>71538724.159999996</v>
      </c>
      <c r="AG540" s="58" t="str">
        <f>IF(ABS(AF540-F540)&lt;1,"ok","err")</f>
        <v>ok</v>
      </c>
    </row>
    <row r="541" spans="1:33">
      <c r="A541" s="60"/>
      <c r="B541" s="60"/>
      <c r="F541" s="79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58"/>
    </row>
    <row r="542" spans="1:33">
      <c r="A542" s="60" t="s">
        <v>19</v>
      </c>
      <c r="B542" s="60"/>
      <c r="C542" s="44" t="s">
        <v>100</v>
      </c>
      <c r="F542" s="80">
        <f t="shared" ref="F542:M542" si="229">F540-F430</f>
        <v>71538724.159999996</v>
      </c>
      <c r="G542" s="64">
        <f t="shared" si="229"/>
        <v>0</v>
      </c>
      <c r="H542" s="64">
        <f t="shared" si="229"/>
        <v>8354903.5962755047</v>
      </c>
      <c r="I542" s="64">
        <f t="shared" si="229"/>
        <v>8752290.3350628056</v>
      </c>
      <c r="J542" s="64">
        <f t="shared" si="229"/>
        <v>7194353.14251801</v>
      </c>
      <c r="K542" s="64">
        <f t="shared" si="229"/>
        <v>17970757.827004239</v>
      </c>
      <c r="L542" s="64">
        <f t="shared" si="229"/>
        <v>0</v>
      </c>
      <c r="M542" s="64">
        <f t="shared" si="229"/>
        <v>0</v>
      </c>
      <c r="N542" s="64">
        <f>N540-N430</f>
        <v>4308731.1725444533</v>
      </c>
      <c r="O542" s="64">
        <f>O540-O430</f>
        <v>0</v>
      </c>
      <c r="P542" s="64">
        <f>P540-P430</f>
        <v>0</v>
      </c>
      <c r="Q542" s="64">
        <f t="shared" ref="Q542:AB542" si="230">Q540-Q430</f>
        <v>0</v>
      </c>
      <c r="R542" s="64">
        <f t="shared" si="230"/>
        <v>2685252.4144103993</v>
      </c>
      <c r="S542" s="64">
        <f t="shared" si="230"/>
        <v>0</v>
      </c>
      <c r="T542" s="64">
        <f t="shared" si="230"/>
        <v>2551846.5672994298</v>
      </c>
      <c r="U542" s="64">
        <f t="shared" si="230"/>
        <v>3857080.1674658395</v>
      </c>
      <c r="V542" s="64">
        <f t="shared" si="230"/>
        <v>833939.35306513414</v>
      </c>
      <c r="W542" s="64">
        <f t="shared" si="230"/>
        <v>1230591.3174189094</v>
      </c>
      <c r="X542" s="64">
        <f t="shared" si="230"/>
        <v>240840.52471813068</v>
      </c>
      <c r="Y542" s="64">
        <f t="shared" si="230"/>
        <v>168432.38792143884</v>
      </c>
      <c r="Z542" s="64">
        <f t="shared" si="230"/>
        <v>62053.82936306145</v>
      </c>
      <c r="AA542" s="64">
        <f t="shared" si="230"/>
        <v>5681157.6240409669</v>
      </c>
      <c r="AB542" s="64">
        <f t="shared" si="230"/>
        <v>206476.61113584062</v>
      </c>
      <c r="AC542" s="64">
        <f>AC540-AC430</f>
        <v>5837418.0327426316</v>
      </c>
      <c r="AD542" s="64">
        <f>AD540-AD430</f>
        <v>1602599.2570132071</v>
      </c>
      <c r="AE542" s="64">
        <f>AE540-AE430</f>
        <v>0</v>
      </c>
      <c r="AF542" s="63">
        <f>SUM(H542:AE542)</f>
        <v>71538724.159999996</v>
      </c>
      <c r="AG542" s="58" t="str">
        <f>IF(ABS(AF542-F542)&lt;1,"ok","err")</f>
        <v>ok</v>
      </c>
    </row>
    <row r="543" spans="1:33">
      <c r="A543" s="60"/>
      <c r="B543" s="60"/>
      <c r="F543" s="80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3"/>
      <c r="AG543" s="58"/>
    </row>
    <row r="544" spans="1:33">
      <c r="A544" s="60"/>
      <c r="B544" s="60"/>
      <c r="F544" s="80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3"/>
      <c r="AG544" s="58"/>
    </row>
    <row r="545" spans="1:33">
      <c r="A545" s="60"/>
      <c r="B545" s="60"/>
      <c r="F545" s="80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3"/>
      <c r="AG545" s="58"/>
    </row>
    <row r="546" spans="1:33">
      <c r="A546" s="60"/>
      <c r="B546" s="60"/>
      <c r="F546" s="80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3"/>
      <c r="AG546" s="58"/>
    </row>
    <row r="547" spans="1:33">
      <c r="A547" s="60"/>
      <c r="B547" s="60"/>
      <c r="F547" s="80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3"/>
      <c r="AG547" s="58"/>
    </row>
    <row r="548" spans="1:33">
      <c r="A548" s="60"/>
      <c r="B548" s="60"/>
      <c r="F548" s="80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3"/>
      <c r="AG548" s="58"/>
    </row>
    <row r="549" spans="1:33">
      <c r="A549" s="60"/>
      <c r="B549" s="60"/>
      <c r="F549" s="80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3"/>
      <c r="AG549" s="58"/>
    </row>
    <row r="550" spans="1:33">
      <c r="A550" s="60"/>
      <c r="B550" s="60"/>
      <c r="F550" s="80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3"/>
      <c r="AG550" s="58"/>
    </row>
    <row r="551" spans="1:33">
      <c r="A551" s="60"/>
      <c r="B551" s="60"/>
      <c r="F551" s="80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3"/>
      <c r="AG551" s="58"/>
    </row>
    <row r="552" spans="1:33">
      <c r="A552" s="60"/>
      <c r="B552" s="60"/>
      <c r="F552" s="80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3"/>
      <c r="AG552" s="58"/>
    </row>
    <row r="553" spans="1:33">
      <c r="A553" s="60"/>
      <c r="B553" s="60"/>
      <c r="F553" s="80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3"/>
      <c r="AG553" s="58"/>
    </row>
    <row r="554" spans="1:33">
      <c r="A554" s="60"/>
      <c r="B554" s="60"/>
      <c r="F554" s="80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3"/>
      <c r="AG554" s="58"/>
    </row>
    <row r="555" spans="1:33">
      <c r="A555" s="60"/>
      <c r="B555" s="60"/>
      <c r="F555" s="80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3"/>
      <c r="AG555" s="58"/>
    </row>
    <row r="556" spans="1:33">
      <c r="A556" s="60"/>
      <c r="B556" s="60"/>
      <c r="F556" s="80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3"/>
      <c r="AG556" s="58"/>
    </row>
    <row r="557" spans="1:33">
      <c r="A557" s="60"/>
      <c r="B557" s="60"/>
      <c r="F557" s="80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3"/>
      <c r="AG557" s="58"/>
    </row>
    <row r="558" spans="1:33">
      <c r="A558" s="60"/>
      <c r="B558" s="60"/>
      <c r="F558" s="80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3"/>
      <c r="AG558" s="58"/>
    </row>
    <row r="559" spans="1:33">
      <c r="A559" s="60"/>
      <c r="B559" s="60"/>
      <c r="F559" s="80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3"/>
      <c r="AG559" s="58"/>
    </row>
    <row r="560" spans="1:33">
      <c r="A560" s="60"/>
      <c r="B560" s="60"/>
      <c r="F560" s="80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3"/>
      <c r="AG560" s="58"/>
    </row>
    <row r="561" spans="1:33">
      <c r="A561" s="60"/>
      <c r="B561" s="60"/>
      <c r="F561" s="80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3"/>
      <c r="AG561" s="58"/>
    </row>
    <row r="562" spans="1:33">
      <c r="A562" s="60"/>
      <c r="B562" s="60"/>
      <c r="F562" s="80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3"/>
      <c r="AG562" s="58"/>
    </row>
    <row r="563" spans="1:33">
      <c r="A563" s="60"/>
      <c r="B563" s="60"/>
      <c r="F563" s="80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3"/>
      <c r="AG563" s="58"/>
    </row>
    <row r="564" spans="1:33">
      <c r="A564" s="60"/>
      <c r="B564" s="60"/>
      <c r="F564" s="80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3"/>
      <c r="AG564" s="58"/>
    </row>
    <row r="565" spans="1:33">
      <c r="A565" s="60"/>
      <c r="B565" s="60"/>
      <c r="F565" s="80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3"/>
      <c r="AG565" s="58"/>
    </row>
    <row r="566" spans="1:33">
      <c r="A566" s="60"/>
      <c r="B566" s="60"/>
      <c r="F566" s="80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3"/>
      <c r="AG566" s="58"/>
    </row>
    <row r="567" spans="1:33">
      <c r="A567" s="60"/>
      <c r="B567" s="60"/>
      <c r="F567" s="80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3"/>
      <c r="AG567" s="58"/>
    </row>
    <row r="568" spans="1:33" ht="15">
      <c r="A568" s="59" t="s">
        <v>1070</v>
      </c>
      <c r="B568" s="60"/>
      <c r="AG568" s="58"/>
    </row>
    <row r="569" spans="1:33">
      <c r="A569" s="60"/>
      <c r="B569" s="60"/>
      <c r="AG569" s="58"/>
    </row>
    <row r="570" spans="1:33" ht="15">
      <c r="A570" s="65" t="s">
        <v>1071</v>
      </c>
      <c r="B570" s="60"/>
      <c r="AG570" s="58"/>
    </row>
    <row r="571" spans="1:33">
      <c r="A571" s="68" t="s">
        <v>314</v>
      </c>
      <c r="B571" s="60"/>
      <c r="C571" s="44" t="s">
        <v>21</v>
      </c>
      <c r="D571" s="44" t="s">
        <v>201</v>
      </c>
      <c r="F571" s="76">
        <v>51173948.915298611</v>
      </c>
      <c r="H571" s="63">
        <f t="shared" ref="H571:Q578" si="231">IF(VLOOKUP($D571,$C$6:$AE$653,H$2,)=0,0,((VLOOKUP($D571,$C$6:$AE$653,H$2,)/VLOOKUP($D571,$C$6:$AE$653,4,))*$F571))</f>
        <v>17593670.416481867</v>
      </c>
      <c r="I571" s="63">
        <f t="shared" si="231"/>
        <v>18430483.340717282</v>
      </c>
      <c r="J571" s="63">
        <f t="shared" si="231"/>
        <v>15149795.158099467</v>
      </c>
      <c r="K571" s="63">
        <f t="shared" si="231"/>
        <v>0</v>
      </c>
      <c r="L571" s="63">
        <f t="shared" si="231"/>
        <v>0</v>
      </c>
      <c r="M571" s="63">
        <f t="shared" si="231"/>
        <v>0</v>
      </c>
      <c r="N571" s="63">
        <f t="shared" si="231"/>
        <v>0</v>
      </c>
      <c r="O571" s="63">
        <f t="shared" si="231"/>
        <v>0</v>
      </c>
      <c r="P571" s="63">
        <f t="shared" si="231"/>
        <v>0</v>
      </c>
      <c r="Q571" s="63">
        <f t="shared" si="231"/>
        <v>0</v>
      </c>
      <c r="R571" s="63">
        <f t="shared" ref="R571:AE578" si="232">IF(VLOOKUP($D571,$C$6:$AE$653,R$2,)=0,0,((VLOOKUP($D571,$C$6:$AE$653,R$2,)/VLOOKUP($D571,$C$6:$AE$653,4,))*$F571))</f>
        <v>0</v>
      </c>
      <c r="S571" s="63">
        <f t="shared" si="232"/>
        <v>0</v>
      </c>
      <c r="T571" s="63">
        <f t="shared" si="232"/>
        <v>0</v>
      </c>
      <c r="U571" s="63">
        <f t="shared" si="232"/>
        <v>0</v>
      </c>
      <c r="V571" s="63">
        <f t="shared" si="232"/>
        <v>0</v>
      </c>
      <c r="W571" s="63">
        <f t="shared" si="232"/>
        <v>0</v>
      </c>
      <c r="X571" s="63">
        <f t="shared" si="232"/>
        <v>0</v>
      </c>
      <c r="Y571" s="63">
        <f t="shared" si="232"/>
        <v>0</v>
      </c>
      <c r="Z571" s="63">
        <f t="shared" si="232"/>
        <v>0</v>
      </c>
      <c r="AA571" s="63">
        <f t="shared" si="232"/>
        <v>0</v>
      </c>
      <c r="AB571" s="63">
        <f t="shared" si="232"/>
        <v>0</v>
      </c>
      <c r="AC571" s="63">
        <f t="shared" si="232"/>
        <v>0</v>
      </c>
      <c r="AD571" s="63">
        <f t="shared" si="232"/>
        <v>0</v>
      </c>
      <c r="AE571" s="63">
        <f t="shared" si="232"/>
        <v>0</v>
      </c>
      <c r="AF571" s="63">
        <f t="shared" ref="AF571:AF578" si="233">SUM(H571:AE571)</f>
        <v>51173948.915298618</v>
      </c>
      <c r="AG571" s="58" t="str">
        <f t="shared" ref="AG571:AG578" si="234">IF(ABS(AF571-F571)&lt;1,"ok","err")</f>
        <v>ok</v>
      </c>
    </row>
    <row r="572" spans="1:33">
      <c r="A572" s="68" t="s">
        <v>313</v>
      </c>
      <c r="B572" s="60"/>
      <c r="C572" s="44" t="s">
        <v>35</v>
      </c>
      <c r="D572" s="44" t="s">
        <v>201</v>
      </c>
      <c r="F572" s="79">
        <v>4023932.7831582283</v>
      </c>
      <c r="H572" s="63">
        <f t="shared" si="231"/>
        <v>1383433.3418775478</v>
      </c>
      <c r="I572" s="63">
        <f t="shared" si="231"/>
        <v>1449233.989093083</v>
      </c>
      <c r="J572" s="63">
        <f t="shared" si="231"/>
        <v>1191265.452187598</v>
      </c>
      <c r="K572" s="63">
        <f t="shared" si="231"/>
        <v>0</v>
      </c>
      <c r="L572" s="63">
        <f t="shared" si="231"/>
        <v>0</v>
      </c>
      <c r="M572" s="63">
        <f t="shared" si="231"/>
        <v>0</v>
      </c>
      <c r="N572" s="63">
        <f t="shared" si="231"/>
        <v>0</v>
      </c>
      <c r="O572" s="63">
        <f t="shared" si="231"/>
        <v>0</v>
      </c>
      <c r="P572" s="63">
        <f t="shared" si="231"/>
        <v>0</v>
      </c>
      <c r="Q572" s="63">
        <f t="shared" si="231"/>
        <v>0</v>
      </c>
      <c r="R572" s="63">
        <f t="shared" si="232"/>
        <v>0</v>
      </c>
      <c r="S572" s="63">
        <f t="shared" si="232"/>
        <v>0</v>
      </c>
      <c r="T572" s="63">
        <f t="shared" si="232"/>
        <v>0</v>
      </c>
      <c r="U572" s="63">
        <f t="shared" si="232"/>
        <v>0</v>
      </c>
      <c r="V572" s="63">
        <f t="shared" si="232"/>
        <v>0</v>
      </c>
      <c r="W572" s="63">
        <f t="shared" si="232"/>
        <v>0</v>
      </c>
      <c r="X572" s="63">
        <f t="shared" si="232"/>
        <v>0</v>
      </c>
      <c r="Y572" s="63">
        <f t="shared" si="232"/>
        <v>0</v>
      </c>
      <c r="Z572" s="63">
        <f t="shared" si="232"/>
        <v>0</v>
      </c>
      <c r="AA572" s="63">
        <f t="shared" si="232"/>
        <v>0</v>
      </c>
      <c r="AB572" s="63">
        <f t="shared" si="232"/>
        <v>0</v>
      </c>
      <c r="AC572" s="63">
        <f t="shared" si="232"/>
        <v>0</v>
      </c>
      <c r="AD572" s="63">
        <f t="shared" si="232"/>
        <v>0</v>
      </c>
      <c r="AE572" s="63">
        <f t="shared" si="232"/>
        <v>0</v>
      </c>
      <c r="AF572" s="63">
        <f t="shared" si="233"/>
        <v>4023932.7831582287</v>
      </c>
      <c r="AG572" s="58" t="str">
        <f t="shared" si="234"/>
        <v>ok</v>
      </c>
    </row>
    <row r="573" spans="1:33">
      <c r="A573" s="286" t="s">
        <v>312</v>
      </c>
      <c r="B573" s="60"/>
      <c r="C573" s="44" t="s">
        <v>36</v>
      </c>
      <c r="D573" s="44" t="s">
        <v>201</v>
      </c>
      <c r="F573" s="79">
        <v>16258222</v>
      </c>
      <c r="H573" s="63">
        <f t="shared" si="231"/>
        <v>5589597.9397533182</v>
      </c>
      <c r="I573" s="63">
        <f t="shared" si="231"/>
        <v>5855457.6317072697</v>
      </c>
      <c r="J573" s="63">
        <f t="shared" si="231"/>
        <v>4813166.428539414</v>
      </c>
      <c r="K573" s="63">
        <f t="shared" si="231"/>
        <v>0</v>
      </c>
      <c r="L573" s="63">
        <f t="shared" si="231"/>
        <v>0</v>
      </c>
      <c r="M573" s="63">
        <f t="shared" si="231"/>
        <v>0</v>
      </c>
      <c r="N573" s="63">
        <f t="shared" si="231"/>
        <v>0</v>
      </c>
      <c r="O573" s="63">
        <f t="shared" si="231"/>
        <v>0</v>
      </c>
      <c r="P573" s="63">
        <f t="shared" si="231"/>
        <v>0</v>
      </c>
      <c r="Q573" s="63">
        <f t="shared" si="231"/>
        <v>0</v>
      </c>
      <c r="R573" s="63">
        <f t="shared" si="232"/>
        <v>0</v>
      </c>
      <c r="S573" s="63">
        <f t="shared" si="232"/>
        <v>0</v>
      </c>
      <c r="T573" s="63">
        <f t="shared" si="232"/>
        <v>0</v>
      </c>
      <c r="U573" s="63">
        <f t="shared" si="232"/>
        <v>0</v>
      </c>
      <c r="V573" s="63">
        <f t="shared" si="232"/>
        <v>0</v>
      </c>
      <c r="W573" s="63">
        <f t="shared" si="232"/>
        <v>0</v>
      </c>
      <c r="X573" s="63">
        <f t="shared" si="232"/>
        <v>0</v>
      </c>
      <c r="Y573" s="63">
        <f t="shared" si="232"/>
        <v>0</v>
      </c>
      <c r="Z573" s="63">
        <f t="shared" si="232"/>
        <v>0</v>
      </c>
      <c r="AA573" s="63">
        <f t="shared" si="232"/>
        <v>0</v>
      </c>
      <c r="AB573" s="63">
        <f t="shared" si="232"/>
        <v>0</v>
      </c>
      <c r="AC573" s="63">
        <f t="shared" si="232"/>
        <v>0</v>
      </c>
      <c r="AD573" s="63">
        <f t="shared" si="232"/>
        <v>0</v>
      </c>
      <c r="AE573" s="63">
        <f t="shared" si="232"/>
        <v>0</v>
      </c>
      <c r="AF573" s="63">
        <f t="shared" si="233"/>
        <v>16258222.000000002</v>
      </c>
      <c r="AG573" s="58" t="str">
        <f t="shared" si="234"/>
        <v>ok</v>
      </c>
    </row>
    <row r="574" spans="1:33">
      <c r="A574" s="60" t="s">
        <v>315</v>
      </c>
      <c r="B574" s="60"/>
      <c r="C574" s="44" t="s">
        <v>37</v>
      </c>
      <c r="D574" s="44" t="s">
        <v>1161</v>
      </c>
      <c r="F574" s="79">
        <v>9613104.5034347512</v>
      </c>
      <c r="H574" s="63">
        <f t="shared" si="231"/>
        <v>0</v>
      </c>
      <c r="I574" s="63">
        <f t="shared" si="231"/>
        <v>0</v>
      </c>
      <c r="J574" s="63">
        <f t="shared" si="231"/>
        <v>0</v>
      </c>
      <c r="K574" s="63">
        <f t="shared" si="231"/>
        <v>0</v>
      </c>
      <c r="L574" s="63">
        <f t="shared" si="231"/>
        <v>0</v>
      </c>
      <c r="M574" s="63">
        <f t="shared" si="231"/>
        <v>0</v>
      </c>
      <c r="N574" s="63">
        <f t="shared" si="231"/>
        <v>9613104.5034347512</v>
      </c>
      <c r="O574" s="63">
        <f t="shared" si="231"/>
        <v>0</v>
      </c>
      <c r="P574" s="63">
        <f t="shared" si="231"/>
        <v>0</v>
      </c>
      <c r="Q574" s="63">
        <f t="shared" si="231"/>
        <v>0</v>
      </c>
      <c r="R574" s="63">
        <f t="shared" si="232"/>
        <v>0</v>
      </c>
      <c r="S574" s="63">
        <f t="shared" si="232"/>
        <v>0</v>
      </c>
      <c r="T574" s="63">
        <f t="shared" si="232"/>
        <v>0</v>
      </c>
      <c r="U574" s="63">
        <f t="shared" si="232"/>
        <v>0</v>
      </c>
      <c r="V574" s="63">
        <f t="shared" si="232"/>
        <v>0</v>
      </c>
      <c r="W574" s="63">
        <f t="shared" si="232"/>
        <v>0</v>
      </c>
      <c r="X574" s="63">
        <f t="shared" si="232"/>
        <v>0</v>
      </c>
      <c r="Y574" s="63">
        <f t="shared" si="232"/>
        <v>0</v>
      </c>
      <c r="Z574" s="63">
        <f t="shared" si="232"/>
        <v>0</v>
      </c>
      <c r="AA574" s="63">
        <f t="shared" si="232"/>
        <v>0</v>
      </c>
      <c r="AB574" s="63">
        <f t="shared" si="232"/>
        <v>0</v>
      </c>
      <c r="AC574" s="63">
        <f t="shared" si="232"/>
        <v>0</v>
      </c>
      <c r="AD574" s="63">
        <f t="shared" si="232"/>
        <v>0</v>
      </c>
      <c r="AE574" s="63">
        <f t="shared" si="232"/>
        <v>0</v>
      </c>
      <c r="AF574" s="63">
        <f t="shared" si="233"/>
        <v>9613104.5034347512</v>
      </c>
      <c r="AG574" s="58" t="str">
        <f t="shared" si="234"/>
        <v>ok</v>
      </c>
    </row>
    <row r="575" spans="1:33">
      <c r="A575" s="60" t="s">
        <v>316</v>
      </c>
      <c r="B575" s="60"/>
      <c r="C575" s="44" t="s">
        <v>38</v>
      </c>
      <c r="D575" s="44" t="s">
        <v>1161</v>
      </c>
      <c r="F575" s="79"/>
      <c r="H575" s="63">
        <f t="shared" si="231"/>
        <v>0</v>
      </c>
      <c r="I575" s="63">
        <f t="shared" si="231"/>
        <v>0</v>
      </c>
      <c r="J575" s="63">
        <f t="shared" si="231"/>
        <v>0</v>
      </c>
      <c r="K575" s="63">
        <f t="shared" si="231"/>
        <v>0</v>
      </c>
      <c r="L575" s="63">
        <f t="shared" si="231"/>
        <v>0</v>
      </c>
      <c r="M575" s="63">
        <f t="shared" si="231"/>
        <v>0</v>
      </c>
      <c r="N575" s="63">
        <f t="shared" si="231"/>
        <v>0</v>
      </c>
      <c r="O575" s="63">
        <f t="shared" si="231"/>
        <v>0</v>
      </c>
      <c r="P575" s="63">
        <f t="shared" si="231"/>
        <v>0</v>
      </c>
      <c r="Q575" s="63">
        <f t="shared" si="231"/>
        <v>0</v>
      </c>
      <c r="R575" s="63">
        <f t="shared" si="232"/>
        <v>0</v>
      </c>
      <c r="S575" s="63">
        <f t="shared" si="232"/>
        <v>0</v>
      </c>
      <c r="T575" s="63">
        <f t="shared" si="232"/>
        <v>0</v>
      </c>
      <c r="U575" s="63">
        <f t="shared" si="232"/>
        <v>0</v>
      </c>
      <c r="V575" s="63">
        <f t="shared" si="232"/>
        <v>0</v>
      </c>
      <c r="W575" s="63">
        <f t="shared" si="232"/>
        <v>0</v>
      </c>
      <c r="X575" s="63">
        <f t="shared" si="232"/>
        <v>0</v>
      </c>
      <c r="Y575" s="63">
        <f t="shared" si="232"/>
        <v>0</v>
      </c>
      <c r="Z575" s="63">
        <f t="shared" si="232"/>
        <v>0</v>
      </c>
      <c r="AA575" s="63">
        <f t="shared" si="232"/>
        <v>0</v>
      </c>
      <c r="AB575" s="63">
        <f t="shared" si="232"/>
        <v>0</v>
      </c>
      <c r="AC575" s="63">
        <f t="shared" si="232"/>
        <v>0</v>
      </c>
      <c r="AD575" s="63">
        <f t="shared" si="232"/>
        <v>0</v>
      </c>
      <c r="AE575" s="63">
        <f t="shared" si="232"/>
        <v>0</v>
      </c>
      <c r="AF575" s="63">
        <f t="shared" si="233"/>
        <v>0</v>
      </c>
      <c r="AG575" s="58" t="str">
        <f t="shared" si="234"/>
        <v>ok</v>
      </c>
    </row>
    <row r="576" spans="1:33">
      <c r="A576" s="60" t="s">
        <v>318</v>
      </c>
      <c r="B576" s="60"/>
      <c r="C576" s="44" t="s">
        <v>39</v>
      </c>
      <c r="D576" s="44" t="s">
        <v>935</v>
      </c>
      <c r="F576" s="79">
        <v>37717920.303745985</v>
      </c>
      <c r="H576" s="63">
        <f t="shared" si="231"/>
        <v>0</v>
      </c>
      <c r="I576" s="63">
        <f t="shared" si="231"/>
        <v>0</v>
      </c>
      <c r="J576" s="63">
        <f t="shared" si="231"/>
        <v>0</v>
      </c>
      <c r="K576" s="63">
        <f t="shared" si="231"/>
        <v>0</v>
      </c>
      <c r="L576" s="63">
        <f t="shared" si="231"/>
        <v>0</v>
      </c>
      <c r="M576" s="63">
        <f t="shared" si="231"/>
        <v>0</v>
      </c>
      <c r="N576" s="63">
        <f t="shared" si="231"/>
        <v>0</v>
      </c>
      <c r="O576" s="63">
        <f t="shared" si="231"/>
        <v>0</v>
      </c>
      <c r="P576" s="63">
        <f t="shared" si="231"/>
        <v>0</v>
      </c>
      <c r="Q576" s="63">
        <f t="shared" si="231"/>
        <v>0</v>
      </c>
      <c r="R576" s="63">
        <f t="shared" si="232"/>
        <v>4226004.5194951259</v>
      </c>
      <c r="S576" s="63">
        <f t="shared" si="232"/>
        <v>0</v>
      </c>
      <c r="T576" s="63">
        <f t="shared" si="232"/>
        <v>7226902.4154130509</v>
      </c>
      <c r="U576" s="63">
        <f t="shared" si="232"/>
        <v>11500687.748476405</v>
      </c>
      <c r="V576" s="63">
        <f t="shared" si="232"/>
        <v>1986702.6328084341</v>
      </c>
      <c r="W576" s="63">
        <f t="shared" si="232"/>
        <v>3019104.7062325925</v>
      </c>
      <c r="X576" s="63">
        <f t="shared" si="232"/>
        <v>2746222.4386343779</v>
      </c>
      <c r="Y576" s="63">
        <f t="shared" si="232"/>
        <v>1920577.1273085256</v>
      </c>
      <c r="Z576" s="63">
        <f t="shared" si="232"/>
        <v>953794.51169027481</v>
      </c>
      <c r="AA576" s="63">
        <f t="shared" si="232"/>
        <v>1106374.9922381977</v>
      </c>
      <c r="AB576" s="63">
        <f t="shared" si="232"/>
        <v>3031549.2114490019</v>
      </c>
      <c r="AC576" s="63">
        <f t="shared" si="232"/>
        <v>0</v>
      </c>
      <c r="AD576" s="63">
        <f t="shared" si="232"/>
        <v>0</v>
      </c>
      <c r="AE576" s="63">
        <f t="shared" si="232"/>
        <v>0</v>
      </c>
      <c r="AF576" s="63">
        <f t="shared" si="233"/>
        <v>37717920.303745992</v>
      </c>
      <c r="AG576" s="58" t="str">
        <f t="shared" si="234"/>
        <v>ok</v>
      </c>
    </row>
    <row r="577" spans="1:33">
      <c r="A577" s="68" t="s">
        <v>619</v>
      </c>
      <c r="B577" s="60"/>
      <c r="C577" s="44" t="s">
        <v>40</v>
      </c>
      <c r="D577" s="44" t="s">
        <v>958</v>
      </c>
      <c r="F577" s="79">
        <f>339019+19716379</f>
        <v>20055398</v>
      </c>
      <c r="H577" s="63">
        <f t="shared" si="231"/>
        <v>3867464.1916185524</v>
      </c>
      <c r="I577" s="63">
        <f t="shared" si="231"/>
        <v>4051413.5292469454</v>
      </c>
      <c r="J577" s="63">
        <f t="shared" si="231"/>
        <v>3330248.2595909671</v>
      </c>
      <c r="K577" s="63">
        <f t="shared" si="231"/>
        <v>0</v>
      </c>
      <c r="L577" s="63">
        <f t="shared" si="231"/>
        <v>0</v>
      </c>
      <c r="M577" s="63">
        <f t="shared" si="231"/>
        <v>0</v>
      </c>
      <c r="N577" s="63">
        <f t="shared" si="231"/>
        <v>2157673.8292246223</v>
      </c>
      <c r="O577" s="63">
        <f t="shared" si="231"/>
        <v>0</v>
      </c>
      <c r="P577" s="63">
        <f t="shared" si="231"/>
        <v>0</v>
      </c>
      <c r="Q577" s="63">
        <f t="shared" si="231"/>
        <v>0</v>
      </c>
      <c r="R577" s="63">
        <f t="shared" si="232"/>
        <v>744924.58158686874</v>
      </c>
      <c r="S577" s="63">
        <f t="shared" si="232"/>
        <v>0</v>
      </c>
      <c r="T577" s="63">
        <f t="shared" si="232"/>
        <v>1273897.6575003415</v>
      </c>
      <c r="U577" s="63">
        <f t="shared" si="232"/>
        <v>2027244.6395818139</v>
      </c>
      <c r="V577" s="63">
        <f t="shared" si="232"/>
        <v>350199.25337400247</v>
      </c>
      <c r="W577" s="63">
        <f t="shared" si="232"/>
        <v>532182.4195128748</v>
      </c>
      <c r="X577" s="63">
        <f t="shared" si="232"/>
        <v>484081.02537679829</v>
      </c>
      <c r="Y577" s="63">
        <f t="shared" si="232"/>
        <v>338543.20466664701</v>
      </c>
      <c r="Z577" s="63">
        <f t="shared" si="232"/>
        <v>168126.88539803377</v>
      </c>
      <c r="AA577" s="63">
        <f t="shared" si="232"/>
        <v>195022.49095315128</v>
      </c>
      <c r="AB577" s="63">
        <f t="shared" si="232"/>
        <v>534376.03236838046</v>
      </c>
      <c r="AC577" s="63">
        <f t="shared" si="232"/>
        <v>0</v>
      </c>
      <c r="AD577" s="63">
        <f t="shared" si="232"/>
        <v>0</v>
      </c>
      <c r="AE577" s="63">
        <f t="shared" si="232"/>
        <v>0</v>
      </c>
      <c r="AF577" s="63">
        <f t="shared" si="233"/>
        <v>20055398</v>
      </c>
      <c r="AG577" s="58" t="str">
        <f t="shared" si="234"/>
        <v>ok</v>
      </c>
    </row>
    <row r="578" spans="1:33">
      <c r="A578" s="68" t="s">
        <v>317</v>
      </c>
      <c r="B578" s="60"/>
      <c r="C578" s="44" t="s">
        <v>22</v>
      </c>
      <c r="D578" s="44" t="s">
        <v>937</v>
      </c>
      <c r="F578" s="79"/>
      <c r="H578" s="63">
        <f t="shared" si="231"/>
        <v>0</v>
      </c>
      <c r="I578" s="63">
        <f t="shared" si="231"/>
        <v>0</v>
      </c>
      <c r="J578" s="63">
        <f t="shared" si="231"/>
        <v>0</v>
      </c>
      <c r="K578" s="63">
        <f t="shared" si="231"/>
        <v>0</v>
      </c>
      <c r="L578" s="63">
        <f t="shared" si="231"/>
        <v>0</v>
      </c>
      <c r="M578" s="63">
        <f t="shared" si="231"/>
        <v>0</v>
      </c>
      <c r="N578" s="63">
        <f t="shared" si="231"/>
        <v>0</v>
      </c>
      <c r="O578" s="63">
        <f t="shared" si="231"/>
        <v>0</v>
      </c>
      <c r="P578" s="63">
        <f t="shared" si="231"/>
        <v>0</v>
      </c>
      <c r="Q578" s="63">
        <f t="shared" si="231"/>
        <v>0</v>
      </c>
      <c r="R578" s="63">
        <f t="shared" si="232"/>
        <v>0</v>
      </c>
      <c r="S578" s="63">
        <f t="shared" si="232"/>
        <v>0</v>
      </c>
      <c r="T578" s="63">
        <f t="shared" si="232"/>
        <v>0</v>
      </c>
      <c r="U578" s="63">
        <f t="shared" si="232"/>
        <v>0</v>
      </c>
      <c r="V578" s="63">
        <f t="shared" si="232"/>
        <v>0</v>
      </c>
      <c r="W578" s="63">
        <f t="shared" si="232"/>
        <v>0</v>
      </c>
      <c r="X578" s="63">
        <f t="shared" si="232"/>
        <v>0</v>
      </c>
      <c r="Y578" s="63">
        <f t="shared" si="232"/>
        <v>0</v>
      </c>
      <c r="Z578" s="63">
        <f t="shared" si="232"/>
        <v>0</v>
      </c>
      <c r="AA578" s="63">
        <f t="shared" si="232"/>
        <v>0</v>
      </c>
      <c r="AB578" s="63">
        <f t="shared" si="232"/>
        <v>0</v>
      </c>
      <c r="AC578" s="63">
        <f t="shared" si="232"/>
        <v>0</v>
      </c>
      <c r="AD578" s="63">
        <f t="shared" si="232"/>
        <v>0</v>
      </c>
      <c r="AE578" s="63">
        <f t="shared" si="232"/>
        <v>0</v>
      </c>
      <c r="AF578" s="63">
        <f t="shared" si="233"/>
        <v>0</v>
      </c>
      <c r="AG578" s="58" t="str">
        <f t="shared" si="234"/>
        <v>ok</v>
      </c>
    </row>
    <row r="579" spans="1:33">
      <c r="A579" s="60"/>
      <c r="B579" s="60"/>
      <c r="F579" s="79"/>
      <c r="AG579" s="58"/>
    </row>
    <row r="580" spans="1:33">
      <c r="A580" s="60" t="s">
        <v>1072</v>
      </c>
      <c r="B580" s="60"/>
      <c r="C580" s="44" t="s">
        <v>1073</v>
      </c>
      <c r="F580" s="76">
        <f>SUM(F571:F579)</f>
        <v>138842526.50563759</v>
      </c>
      <c r="H580" s="63">
        <f t="shared" ref="H580:M580" si="235">SUM(H571:H579)</f>
        <v>28434165.889731288</v>
      </c>
      <c r="I580" s="63">
        <f t="shared" si="235"/>
        <v>29786588.490764581</v>
      </c>
      <c r="J580" s="63">
        <f t="shared" si="235"/>
        <v>24484475.298417449</v>
      </c>
      <c r="K580" s="63">
        <f t="shared" si="235"/>
        <v>0</v>
      </c>
      <c r="L580" s="63">
        <f t="shared" si="235"/>
        <v>0</v>
      </c>
      <c r="M580" s="63">
        <f t="shared" si="235"/>
        <v>0</v>
      </c>
      <c r="N580" s="63">
        <f>SUM(N571:N579)</f>
        <v>11770778.332659373</v>
      </c>
      <c r="O580" s="63">
        <f>SUM(O571:O579)</f>
        <v>0</v>
      </c>
      <c r="P580" s="63">
        <f>SUM(P571:P579)</f>
        <v>0</v>
      </c>
      <c r="Q580" s="63">
        <f t="shared" ref="Q580:AB580" si="236">SUM(Q571:Q579)</f>
        <v>0</v>
      </c>
      <c r="R580" s="63">
        <f t="shared" si="236"/>
        <v>4970929.1010819944</v>
      </c>
      <c r="S580" s="63">
        <f t="shared" si="236"/>
        <v>0</v>
      </c>
      <c r="T580" s="63">
        <f t="shared" si="236"/>
        <v>8500800.0729133934</v>
      </c>
      <c r="U580" s="63">
        <f t="shared" si="236"/>
        <v>13527932.388058219</v>
      </c>
      <c r="V580" s="63">
        <f t="shared" si="236"/>
        <v>2336901.8861824367</v>
      </c>
      <c r="W580" s="63">
        <f t="shared" si="236"/>
        <v>3551287.1257454674</v>
      </c>
      <c r="X580" s="63">
        <f t="shared" si="236"/>
        <v>3230303.464011176</v>
      </c>
      <c r="Y580" s="63">
        <f t="shared" si="236"/>
        <v>2259120.3319751727</v>
      </c>
      <c r="Z580" s="63">
        <f t="shared" si="236"/>
        <v>1121921.3970883086</v>
      </c>
      <c r="AA580" s="63">
        <f t="shared" si="236"/>
        <v>1301397.4831913491</v>
      </c>
      <c r="AB580" s="63">
        <f t="shared" si="236"/>
        <v>3565925.2438173825</v>
      </c>
      <c r="AC580" s="63">
        <f>SUM(AC571:AC579)</f>
        <v>0</v>
      </c>
      <c r="AD580" s="63">
        <f>SUM(AD571:AD579)</f>
        <v>0</v>
      </c>
      <c r="AE580" s="63">
        <f>SUM(AE571:AE579)</f>
        <v>0</v>
      </c>
      <c r="AF580" s="63">
        <f>SUM(H580:AE580)</f>
        <v>138842526.50563762</v>
      </c>
      <c r="AG580" s="58" t="str">
        <f>IF(ABS(AF580-F580)&lt;1,"ok","err")</f>
        <v>ok</v>
      </c>
    </row>
    <row r="581" spans="1:33">
      <c r="A581" s="60"/>
      <c r="B581" s="60"/>
      <c r="F581" s="76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58"/>
    </row>
    <row r="582" spans="1:33" ht="15">
      <c r="A582" s="65" t="s">
        <v>759</v>
      </c>
      <c r="B582" s="60"/>
      <c r="F582" s="76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58"/>
    </row>
    <row r="583" spans="1:33" ht="15">
      <c r="A583" s="65"/>
      <c r="B583" s="60" t="s">
        <v>721</v>
      </c>
      <c r="C583" s="94" t="s">
        <v>760</v>
      </c>
      <c r="D583" s="44" t="s">
        <v>638</v>
      </c>
      <c r="F583" s="76">
        <v>0</v>
      </c>
      <c r="H583" s="63">
        <f t="shared" ref="H583:Q586" si="237">IF(VLOOKUP($D583,$C$6:$AE$653,H$2,)=0,0,((VLOOKUP($D583,$C$6:$AE$653,H$2,)/VLOOKUP($D583,$C$6:$AE$653,4,))*$F583))</f>
        <v>0</v>
      </c>
      <c r="I583" s="63">
        <f t="shared" si="237"/>
        <v>0</v>
      </c>
      <c r="J583" s="63">
        <f t="shared" si="237"/>
        <v>0</v>
      </c>
      <c r="K583" s="63">
        <f t="shared" si="237"/>
        <v>0</v>
      </c>
      <c r="L583" s="63">
        <f t="shared" si="237"/>
        <v>0</v>
      </c>
      <c r="M583" s="63">
        <f t="shared" si="237"/>
        <v>0</v>
      </c>
      <c r="N583" s="63">
        <f t="shared" si="237"/>
        <v>0</v>
      </c>
      <c r="O583" s="63">
        <f t="shared" si="237"/>
        <v>0</v>
      </c>
      <c r="P583" s="63">
        <f t="shared" si="237"/>
        <v>0</v>
      </c>
      <c r="Q583" s="63">
        <f t="shared" si="237"/>
        <v>0</v>
      </c>
      <c r="R583" s="63">
        <f t="shared" ref="R583:AE586" si="238">IF(VLOOKUP($D583,$C$6:$AE$653,R$2,)=0,0,((VLOOKUP($D583,$C$6:$AE$653,R$2,)/VLOOKUP($D583,$C$6:$AE$653,4,))*$F583))</f>
        <v>0</v>
      </c>
      <c r="S583" s="63">
        <f t="shared" si="238"/>
        <v>0</v>
      </c>
      <c r="T583" s="63">
        <f t="shared" si="238"/>
        <v>0</v>
      </c>
      <c r="U583" s="63">
        <f t="shared" si="238"/>
        <v>0</v>
      </c>
      <c r="V583" s="63">
        <f t="shared" si="238"/>
        <v>0</v>
      </c>
      <c r="W583" s="63">
        <f t="shared" si="238"/>
        <v>0</v>
      </c>
      <c r="X583" s="63">
        <f t="shared" si="238"/>
        <v>0</v>
      </c>
      <c r="Y583" s="63">
        <f t="shared" si="238"/>
        <v>0</v>
      </c>
      <c r="Z583" s="63">
        <f t="shared" si="238"/>
        <v>0</v>
      </c>
      <c r="AA583" s="63">
        <f t="shared" si="238"/>
        <v>0</v>
      </c>
      <c r="AB583" s="63">
        <f t="shared" si="238"/>
        <v>0</v>
      </c>
      <c r="AC583" s="63">
        <f t="shared" si="238"/>
        <v>0</v>
      </c>
      <c r="AD583" s="63">
        <f t="shared" si="238"/>
        <v>0</v>
      </c>
      <c r="AE583" s="63">
        <f t="shared" si="238"/>
        <v>0</v>
      </c>
      <c r="AF583" s="63">
        <f>SUM(H583:AE583)</f>
        <v>0</v>
      </c>
      <c r="AG583" s="58" t="str">
        <f>IF(ABS(AF583-F583)&lt;1,"ok","err")</f>
        <v>ok</v>
      </c>
    </row>
    <row r="584" spans="1:33" ht="15">
      <c r="A584" s="65"/>
      <c r="B584" s="60" t="s">
        <v>1130</v>
      </c>
      <c r="C584" s="94" t="s">
        <v>761</v>
      </c>
      <c r="D584" s="44" t="s">
        <v>1161</v>
      </c>
      <c r="F584" s="79">
        <v>0</v>
      </c>
      <c r="H584" s="63">
        <f t="shared" si="237"/>
        <v>0</v>
      </c>
      <c r="I584" s="63">
        <f t="shared" si="237"/>
        <v>0</v>
      </c>
      <c r="J584" s="63">
        <f t="shared" si="237"/>
        <v>0</v>
      </c>
      <c r="K584" s="63">
        <f t="shared" si="237"/>
        <v>0</v>
      </c>
      <c r="L584" s="63">
        <f t="shared" si="237"/>
        <v>0</v>
      </c>
      <c r="M584" s="63">
        <f t="shared" si="237"/>
        <v>0</v>
      </c>
      <c r="N584" s="63">
        <f t="shared" si="237"/>
        <v>0</v>
      </c>
      <c r="O584" s="63">
        <f t="shared" si="237"/>
        <v>0</v>
      </c>
      <c r="P584" s="63">
        <f t="shared" si="237"/>
        <v>0</v>
      </c>
      <c r="Q584" s="63">
        <f t="shared" si="237"/>
        <v>0</v>
      </c>
      <c r="R584" s="63">
        <f t="shared" si="238"/>
        <v>0</v>
      </c>
      <c r="S584" s="63">
        <f t="shared" si="238"/>
        <v>0</v>
      </c>
      <c r="T584" s="63">
        <f t="shared" si="238"/>
        <v>0</v>
      </c>
      <c r="U584" s="63">
        <f t="shared" si="238"/>
        <v>0</v>
      </c>
      <c r="V584" s="63">
        <f t="shared" si="238"/>
        <v>0</v>
      </c>
      <c r="W584" s="63">
        <f t="shared" si="238"/>
        <v>0</v>
      </c>
      <c r="X584" s="63">
        <f t="shared" si="238"/>
        <v>0</v>
      </c>
      <c r="Y584" s="63">
        <f t="shared" si="238"/>
        <v>0</v>
      </c>
      <c r="Z584" s="63">
        <f t="shared" si="238"/>
        <v>0</v>
      </c>
      <c r="AA584" s="63">
        <f t="shared" si="238"/>
        <v>0</v>
      </c>
      <c r="AB584" s="63">
        <f t="shared" si="238"/>
        <v>0</v>
      </c>
      <c r="AC584" s="63">
        <f t="shared" si="238"/>
        <v>0</v>
      </c>
      <c r="AD584" s="63">
        <f t="shared" si="238"/>
        <v>0</v>
      </c>
      <c r="AE584" s="63">
        <f t="shared" si="238"/>
        <v>0</v>
      </c>
      <c r="AF584" s="63">
        <f>SUM(H584:AE584)</f>
        <v>0</v>
      </c>
      <c r="AG584" s="58" t="str">
        <f>IF(ABS(AF584-F584)&lt;1,"ok","err")</f>
        <v>ok</v>
      </c>
    </row>
    <row r="585" spans="1:33" ht="15">
      <c r="A585" s="65"/>
      <c r="B585" s="60" t="s">
        <v>938</v>
      </c>
      <c r="C585" s="94" t="s">
        <v>762</v>
      </c>
      <c r="D585" s="44" t="s">
        <v>935</v>
      </c>
      <c r="F585" s="79">
        <v>0</v>
      </c>
      <c r="H585" s="63">
        <f t="shared" si="237"/>
        <v>0</v>
      </c>
      <c r="I585" s="63">
        <f t="shared" si="237"/>
        <v>0</v>
      </c>
      <c r="J585" s="63">
        <f t="shared" si="237"/>
        <v>0</v>
      </c>
      <c r="K585" s="63">
        <f t="shared" si="237"/>
        <v>0</v>
      </c>
      <c r="L585" s="63">
        <f t="shared" si="237"/>
        <v>0</v>
      </c>
      <c r="M585" s="63">
        <f t="shared" si="237"/>
        <v>0</v>
      </c>
      <c r="N585" s="63">
        <f t="shared" si="237"/>
        <v>0</v>
      </c>
      <c r="O585" s="63">
        <f t="shared" si="237"/>
        <v>0</v>
      </c>
      <c r="P585" s="63">
        <f t="shared" si="237"/>
        <v>0</v>
      </c>
      <c r="Q585" s="63">
        <f t="shared" si="237"/>
        <v>0</v>
      </c>
      <c r="R585" s="63">
        <f t="shared" si="238"/>
        <v>0</v>
      </c>
      <c r="S585" s="63">
        <f t="shared" si="238"/>
        <v>0</v>
      </c>
      <c r="T585" s="63">
        <f t="shared" si="238"/>
        <v>0</v>
      </c>
      <c r="U585" s="63">
        <f t="shared" si="238"/>
        <v>0</v>
      </c>
      <c r="V585" s="63">
        <f t="shared" si="238"/>
        <v>0</v>
      </c>
      <c r="W585" s="63">
        <f t="shared" si="238"/>
        <v>0</v>
      </c>
      <c r="X585" s="63">
        <f t="shared" si="238"/>
        <v>0</v>
      </c>
      <c r="Y585" s="63">
        <f t="shared" si="238"/>
        <v>0</v>
      </c>
      <c r="Z585" s="63">
        <f t="shared" si="238"/>
        <v>0</v>
      </c>
      <c r="AA585" s="63">
        <f t="shared" si="238"/>
        <v>0</v>
      </c>
      <c r="AB585" s="63">
        <f t="shared" si="238"/>
        <v>0</v>
      </c>
      <c r="AC585" s="63">
        <f t="shared" si="238"/>
        <v>0</v>
      </c>
      <c r="AD585" s="63">
        <f t="shared" si="238"/>
        <v>0</v>
      </c>
      <c r="AE585" s="63">
        <f t="shared" si="238"/>
        <v>0</v>
      </c>
      <c r="AF585" s="63">
        <f>SUM(H585:AE585)</f>
        <v>0</v>
      </c>
      <c r="AG585" s="58" t="str">
        <f>IF(ABS(AF585-F585)&lt;1,"ok","err")</f>
        <v>ok</v>
      </c>
    </row>
    <row r="586" spans="1:33" ht="15">
      <c r="A586" s="65"/>
      <c r="B586" s="60" t="s">
        <v>722</v>
      </c>
      <c r="C586" s="94" t="s">
        <v>763</v>
      </c>
      <c r="D586" s="44" t="s">
        <v>958</v>
      </c>
      <c r="F586" s="79">
        <v>0</v>
      </c>
      <c r="H586" s="63">
        <f t="shared" si="237"/>
        <v>0</v>
      </c>
      <c r="I586" s="63">
        <f t="shared" si="237"/>
        <v>0</v>
      </c>
      <c r="J586" s="63">
        <f t="shared" si="237"/>
        <v>0</v>
      </c>
      <c r="K586" s="63">
        <f t="shared" si="237"/>
        <v>0</v>
      </c>
      <c r="L586" s="63">
        <f t="shared" si="237"/>
        <v>0</v>
      </c>
      <c r="M586" s="63">
        <f t="shared" si="237"/>
        <v>0</v>
      </c>
      <c r="N586" s="63">
        <f t="shared" si="237"/>
        <v>0</v>
      </c>
      <c r="O586" s="63">
        <f t="shared" si="237"/>
        <v>0</v>
      </c>
      <c r="P586" s="63">
        <f t="shared" si="237"/>
        <v>0</v>
      </c>
      <c r="Q586" s="63">
        <f t="shared" si="237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3">
        <f>SUM(H586:AE586)</f>
        <v>0</v>
      </c>
      <c r="AG586" s="58" t="str">
        <f>IF(ABS(AF586-F586)&lt;1,"ok","err")</f>
        <v>ok</v>
      </c>
    </row>
    <row r="587" spans="1:33" ht="15">
      <c r="A587" s="65"/>
      <c r="B587" s="60"/>
      <c r="F587" s="76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58"/>
    </row>
    <row r="588" spans="1:33">
      <c r="A588" s="60" t="s">
        <v>758</v>
      </c>
      <c r="B588" s="60"/>
      <c r="C588" s="94" t="s">
        <v>765</v>
      </c>
      <c r="F588" s="76">
        <f>SUM(F583:F587)</f>
        <v>0</v>
      </c>
      <c r="H588" s="62">
        <f t="shared" ref="H588:AE588" si="239">SUM(H583:H587)</f>
        <v>0</v>
      </c>
      <c r="I588" s="62">
        <f t="shared" si="239"/>
        <v>0</v>
      </c>
      <c r="J588" s="62">
        <f t="shared" si="239"/>
        <v>0</v>
      </c>
      <c r="K588" s="62">
        <f t="shared" si="239"/>
        <v>0</v>
      </c>
      <c r="L588" s="62">
        <f t="shared" si="239"/>
        <v>0</v>
      </c>
      <c r="M588" s="62">
        <f t="shared" si="239"/>
        <v>0</v>
      </c>
      <c r="N588" s="62">
        <f t="shared" si="239"/>
        <v>0</v>
      </c>
      <c r="O588" s="62">
        <f t="shared" si="239"/>
        <v>0</v>
      </c>
      <c r="P588" s="62">
        <f t="shared" si="239"/>
        <v>0</v>
      </c>
      <c r="Q588" s="62">
        <f t="shared" si="239"/>
        <v>0</v>
      </c>
      <c r="R588" s="62">
        <f t="shared" si="239"/>
        <v>0</v>
      </c>
      <c r="S588" s="62">
        <f t="shared" si="239"/>
        <v>0</v>
      </c>
      <c r="T588" s="62">
        <f t="shared" si="239"/>
        <v>0</v>
      </c>
      <c r="U588" s="62">
        <f t="shared" si="239"/>
        <v>0</v>
      </c>
      <c r="V588" s="62">
        <f t="shared" si="239"/>
        <v>0</v>
      </c>
      <c r="W588" s="62">
        <f t="shared" si="239"/>
        <v>0</v>
      </c>
      <c r="X588" s="62">
        <f t="shared" si="239"/>
        <v>0</v>
      </c>
      <c r="Y588" s="62">
        <f t="shared" si="239"/>
        <v>0</v>
      </c>
      <c r="Z588" s="62">
        <f t="shared" si="239"/>
        <v>0</v>
      </c>
      <c r="AA588" s="62">
        <f t="shared" si="239"/>
        <v>0</v>
      </c>
      <c r="AB588" s="62">
        <f t="shared" si="239"/>
        <v>0</v>
      </c>
      <c r="AC588" s="62">
        <f t="shared" si="239"/>
        <v>0</v>
      </c>
      <c r="AD588" s="62">
        <f t="shared" si="239"/>
        <v>0</v>
      </c>
      <c r="AE588" s="62">
        <f t="shared" si="239"/>
        <v>0</v>
      </c>
      <c r="AF588" s="63">
        <f>SUM(H588:AE588)</f>
        <v>0</v>
      </c>
      <c r="AG588" s="58" t="str">
        <f>IF(ABS(AF588-F588)&lt;1,"ok","err")</f>
        <v>ok</v>
      </c>
    </row>
    <row r="589" spans="1:33">
      <c r="A589" s="60"/>
      <c r="B589" s="60"/>
      <c r="F589" s="79"/>
      <c r="AG589" s="58"/>
    </row>
    <row r="590" spans="1:33" ht="15">
      <c r="A590" s="65" t="s">
        <v>728</v>
      </c>
      <c r="B590" s="60"/>
      <c r="F590" s="76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58"/>
    </row>
    <row r="591" spans="1:33" ht="15">
      <c r="A591" s="65"/>
      <c r="B591" s="60" t="s">
        <v>721</v>
      </c>
      <c r="C591" s="44" t="s">
        <v>729</v>
      </c>
      <c r="D591" s="44" t="s">
        <v>638</v>
      </c>
      <c r="F591" s="76">
        <v>0</v>
      </c>
      <c r="H591" s="63">
        <f t="shared" ref="H591:Q594" si="240">IF(VLOOKUP($D591,$C$6:$AE$653,H$2,)=0,0,((VLOOKUP($D591,$C$6:$AE$653,H$2,)/VLOOKUP($D591,$C$6:$AE$653,4,))*$F591))</f>
        <v>0</v>
      </c>
      <c r="I591" s="63">
        <f t="shared" si="240"/>
        <v>0</v>
      </c>
      <c r="J591" s="63">
        <f t="shared" si="240"/>
        <v>0</v>
      </c>
      <c r="K591" s="63">
        <f t="shared" si="240"/>
        <v>0</v>
      </c>
      <c r="L591" s="63">
        <f t="shared" si="240"/>
        <v>0</v>
      </c>
      <c r="M591" s="63">
        <f t="shared" si="240"/>
        <v>0</v>
      </c>
      <c r="N591" s="63">
        <f t="shared" si="240"/>
        <v>0</v>
      </c>
      <c r="O591" s="63">
        <f t="shared" si="240"/>
        <v>0</v>
      </c>
      <c r="P591" s="63">
        <f t="shared" si="240"/>
        <v>0</v>
      </c>
      <c r="Q591" s="63">
        <f t="shared" si="240"/>
        <v>0</v>
      </c>
      <c r="R591" s="63">
        <f t="shared" ref="R591:AE594" si="241">IF(VLOOKUP($D591,$C$6:$AE$653,R$2,)=0,0,((VLOOKUP($D591,$C$6:$AE$653,R$2,)/VLOOKUP($D591,$C$6:$AE$653,4,))*$F591))</f>
        <v>0</v>
      </c>
      <c r="S591" s="63">
        <f t="shared" si="241"/>
        <v>0</v>
      </c>
      <c r="T591" s="63">
        <f t="shared" si="241"/>
        <v>0</v>
      </c>
      <c r="U591" s="63">
        <f t="shared" si="241"/>
        <v>0</v>
      </c>
      <c r="V591" s="63">
        <f t="shared" si="241"/>
        <v>0</v>
      </c>
      <c r="W591" s="63">
        <f t="shared" si="241"/>
        <v>0</v>
      </c>
      <c r="X591" s="63">
        <f t="shared" si="241"/>
        <v>0</v>
      </c>
      <c r="Y591" s="63">
        <f t="shared" si="241"/>
        <v>0</v>
      </c>
      <c r="Z591" s="63">
        <f t="shared" si="241"/>
        <v>0</v>
      </c>
      <c r="AA591" s="63">
        <f t="shared" si="241"/>
        <v>0</v>
      </c>
      <c r="AB591" s="63">
        <f t="shared" si="241"/>
        <v>0</v>
      </c>
      <c r="AC591" s="63">
        <f t="shared" si="241"/>
        <v>0</v>
      </c>
      <c r="AD591" s="63">
        <f t="shared" si="241"/>
        <v>0</v>
      </c>
      <c r="AE591" s="63">
        <f t="shared" si="241"/>
        <v>0</v>
      </c>
      <c r="AF591" s="63">
        <f>SUM(H591:AE591)</f>
        <v>0</v>
      </c>
      <c r="AG591" s="58" t="str">
        <f>IF(ABS(AF591-F591)&lt;1,"ok","err")</f>
        <v>ok</v>
      </c>
    </row>
    <row r="592" spans="1:33" ht="15">
      <c r="A592" s="65"/>
      <c r="B592" s="60" t="s">
        <v>1130</v>
      </c>
      <c r="C592" s="44" t="s">
        <v>731</v>
      </c>
      <c r="D592" s="44" t="s">
        <v>1161</v>
      </c>
      <c r="F592" s="79">
        <v>0</v>
      </c>
      <c r="H592" s="63">
        <f t="shared" si="240"/>
        <v>0</v>
      </c>
      <c r="I592" s="63">
        <f t="shared" si="240"/>
        <v>0</v>
      </c>
      <c r="J592" s="63">
        <f t="shared" si="240"/>
        <v>0</v>
      </c>
      <c r="K592" s="63">
        <f t="shared" si="240"/>
        <v>0</v>
      </c>
      <c r="L592" s="63">
        <f t="shared" si="240"/>
        <v>0</v>
      </c>
      <c r="M592" s="63">
        <f t="shared" si="240"/>
        <v>0</v>
      </c>
      <c r="N592" s="63">
        <f t="shared" si="240"/>
        <v>0</v>
      </c>
      <c r="O592" s="63">
        <f t="shared" si="240"/>
        <v>0</v>
      </c>
      <c r="P592" s="63">
        <f t="shared" si="240"/>
        <v>0</v>
      </c>
      <c r="Q592" s="63">
        <f t="shared" si="240"/>
        <v>0</v>
      </c>
      <c r="R592" s="63">
        <f t="shared" si="241"/>
        <v>0</v>
      </c>
      <c r="S592" s="63">
        <f t="shared" si="241"/>
        <v>0</v>
      </c>
      <c r="T592" s="63">
        <f t="shared" si="241"/>
        <v>0</v>
      </c>
      <c r="U592" s="63">
        <f t="shared" si="241"/>
        <v>0</v>
      </c>
      <c r="V592" s="63">
        <f t="shared" si="241"/>
        <v>0</v>
      </c>
      <c r="W592" s="63">
        <f t="shared" si="241"/>
        <v>0</v>
      </c>
      <c r="X592" s="63">
        <f t="shared" si="241"/>
        <v>0</v>
      </c>
      <c r="Y592" s="63">
        <f t="shared" si="241"/>
        <v>0</v>
      </c>
      <c r="Z592" s="63">
        <f t="shared" si="241"/>
        <v>0</v>
      </c>
      <c r="AA592" s="63">
        <f t="shared" si="241"/>
        <v>0</v>
      </c>
      <c r="AB592" s="63">
        <f t="shared" si="241"/>
        <v>0</v>
      </c>
      <c r="AC592" s="63">
        <f t="shared" si="241"/>
        <v>0</v>
      </c>
      <c r="AD592" s="63">
        <f t="shared" si="241"/>
        <v>0</v>
      </c>
      <c r="AE592" s="63">
        <f t="shared" si="241"/>
        <v>0</v>
      </c>
      <c r="AF592" s="63">
        <f>SUM(H592:AE592)</f>
        <v>0</v>
      </c>
      <c r="AG592" s="58" t="str">
        <f>IF(ABS(AF592-F592)&lt;1,"ok","err")</f>
        <v>ok</v>
      </c>
    </row>
    <row r="593" spans="1:33" ht="15">
      <c r="A593" s="65"/>
      <c r="B593" s="60" t="s">
        <v>938</v>
      </c>
      <c r="C593" s="44" t="s">
        <v>730</v>
      </c>
      <c r="D593" s="44" t="s">
        <v>935</v>
      </c>
      <c r="F593" s="79">
        <v>0</v>
      </c>
      <c r="H593" s="63">
        <f t="shared" si="240"/>
        <v>0</v>
      </c>
      <c r="I593" s="63">
        <f t="shared" si="240"/>
        <v>0</v>
      </c>
      <c r="J593" s="63">
        <f t="shared" si="240"/>
        <v>0</v>
      </c>
      <c r="K593" s="63">
        <f t="shared" si="240"/>
        <v>0</v>
      </c>
      <c r="L593" s="63">
        <f t="shared" si="240"/>
        <v>0</v>
      </c>
      <c r="M593" s="63">
        <f t="shared" si="240"/>
        <v>0</v>
      </c>
      <c r="N593" s="63">
        <f t="shared" si="240"/>
        <v>0</v>
      </c>
      <c r="O593" s="63">
        <f t="shared" si="240"/>
        <v>0</v>
      </c>
      <c r="P593" s="63">
        <f t="shared" si="240"/>
        <v>0</v>
      </c>
      <c r="Q593" s="63">
        <f t="shared" si="240"/>
        <v>0</v>
      </c>
      <c r="R593" s="63">
        <f t="shared" si="241"/>
        <v>0</v>
      </c>
      <c r="S593" s="63">
        <f t="shared" si="241"/>
        <v>0</v>
      </c>
      <c r="T593" s="63">
        <f t="shared" si="241"/>
        <v>0</v>
      </c>
      <c r="U593" s="63">
        <f t="shared" si="241"/>
        <v>0</v>
      </c>
      <c r="V593" s="63">
        <f t="shared" si="241"/>
        <v>0</v>
      </c>
      <c r="W593" s="63">
        <f t="shared" si="241"/>
        <v>0</v>
      </c>
      <c r="X593" s="63">
        <f t="shared" si="241"/>
        <v>0</v>
      </c>
      <c r="Y593" s="63">
        <f t="shared" si="241"/>
        <v>0</v>
      </c>
      <c r="Z593" s="63">
        <f t="shared" si="241"/>
        <v>0</v>
      </c>
      <c r="AA593" s="63">
        <f t="shared" si="241"/>
        <v>0</v>
      </c>
      <c r="AB593" s="63">
        <f t="shared" si="241"/>
        <v>0</v>
      </c>
      <c r="AC593" s="63">
        <f t="shared" si="241"/>
        <v>0</v>
      </c>
      <c r="AD593" s="63">
        <f t="shared" si="241"/>
        <v>0</v>
      </c>
      <c r="AE593" s="63">
        <f t="shared" si="241"/>
        <v>0</v>
      </c>
      <c r="AF593" s="63">
        <f>SUM(H593:AE593)</f>
        <v>0</v>
      </c>
      <c r="AG593" s="58" t="str">
        <f>IF(ABS(AF593-F593)&lt;1,"ok","err")</f>
        <v>ok</v>
      </c>
    </row>
    <row r="594" spans="1:33" ht="15">
      <c r="A594" s="65"/>
      <c r="B594" s="60" t="s">
        <v>722</v>
      </c>
      <c r="C594" s="94" t="s">
        <v>764</v>
      </c>
      <c r="D594" s="44" t="s">
        <v>958</v>
      </c>
      <c r="F594" s="79">
        <v>0</v>
      </c>
      <c r="H594" s="63">
        <f t="shared" si="240"/>
        <v>0</v>
      </c>
      <c r="I594" s="63">
        <f t="shared" si="240"/>
        <v>0</v>
      </c>
      <c r="J594" s="63">
        <f t="shared" si="240"/>
        <v>0</v>
      </c>
      <c r="K594" s="63">
        <f t="shared" si="240"/>
        <v>0</v>
      </c>
      <c r="L594" s="63">
        <f t="shared" si="240"/>
        <v>0</v>
      </c>
      <c r="M594" s="63">
        <f t="shared" si="240"/>
        <v>0</v>
      </c>
      <c r="N594" s="63">
        <f t="shared" si="240"/>
        <v>0</v>
      </c>
      <c r="O594" s="63">
        <f t="shared" si="240"/>
        <v>0</v>
      </c>
      <c r="P594" s="63">
        <f t="shared" si="240"/>
        <v>0</v>
      </c>
      <c r="Q594" s="63">
        <f t="shared" si="240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si="241"/>
        <v>0</v>
      </c>
      <c r="Y594" s="63">
        <f t="shared" si="241"/>
        <v>0</v>
      </c>
      <c r="Z594" s="63">
        <f t="shared" si="241"/>
        <v>0</v>
      </c>
      <c r="AA594" s="63">
        <f t="shared" si="241"/>
        <v>0</v>
      </c>
      <c r="AB594" s="63">
        <f t="shared" si="241"/>
        <v>0</v>
      </c>
      <c r="AC594" s="63">
        <f t="shared" si="241"/>
        <v>0</v>
      </c>
      <c r="AD594" s="63">
        <f t="shared" si="241"/>
        <v>0</v>
      </c>
      <c r="AE594" s="63">
        <f t="shared" si="241"/>
        <v>0</v>
      </c>
      <c r="AF594" s="63">
        <f>SUM(H594:AE594)</f>
        <v>0</v>
      </c>
      <c r="AG594" s="58" t="str">
        <f>IF(ABS(AF594-F594)&lt;1,"ok","err")</f>
        <v>ok</v>
      </c>
    </row>
    <row r="595" spans="1:33" ht="15">
      <c r="A595" s="65"/>
      <c r="B595" s="60"/>
      <c r="F595" s="76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58"/>
    </row>
    <row r="596" spans="1:33">
      <c r="A596" s="60" t="s">
        <v>732</v>
      </c>
      <c r="B596" s="60"/>
      <c r="C596" s="44" t="s">
        <v>734</v>
      </c>
      <c r="F596" s="76">
        <f>SUM(F591:F595)</f>
        <v>0</v>
      </c>
      <c r="H596" s="62">
        <f>SUM(H591:H595)</f>
        <v>0</v>
      </c>
      <c r="I596" s="62">
        <f t="shared" ref="I596:W596" si="242">SUM(I591:I595)</f>
        <v>0</v>
      </c>
      <c r="J596" s="62">
        <f t="shared" si="242"/>
        <v>0</v>
      </c>
      <c r="K596" s="62">
        <f t="shared" si="242"/>
        <v>0</v>
      </c>
      <c r="L596" s="62">
        <f t="shared" si="242"/>
        <v>0</v>
      </c>
      <c r="M596" s="62">
        <f t="shared" si="242"/>
        <v>0</v>
      </c>
      <c r="N596" s="62">
        <f t="shared" si="242"/>
        <v>0</v>
      </c>
      <c r="O596" s="62">
        <f t="shared" si="242"/>
        <v>0</v>
      </c>
      <c r="P596" s="62">
        <f t="shared" si="242"/>
        <v>0</v>
      </c>
      <c r="Q596" s="62">
        <f t="shared" si="242"/>
        <v>0</v>
      </c>
      <c r="R596" s="62">
        <f t="shared" si="242"/>
        <v>0</v>
      </c>
      <c r="S596" s="62">
        <f t="shared" si="242"/>
        <v>0</v>
      </c>
      <c r="T596" s="62">
        <f t="shared" si="242"/>
        <v>0</v>
      </c>
      <c r="U596" s="62">
        <f t="shared" si="242"/>
        <v>0</v>
      </c>
      <c r="V596" s="62">
        <f t="shared" si="242"/>
        <v>0</v>
      </c>
      <c r="W596" s="62">
        <f t="shared" si="242"/>
        <v>0</v>
      </c>
      <c r="X596" s="62">
        <f t="shared" ref="X596:AE596" si="243">SUM(X591:X595)</f>
        <v>0</v>
      </c>
      <c r="Y596" s="62">
        <f t="shared" si="243"/>
        <v>0</v>
      </c>
      <c r="Z596" s="62">
        <f t="shared" si="243"/>
        <v>0</v>
      </c>
      <c r="AA596" s="62">
        <f t="shared" si="243"/>
        <v>0</v>
      </c>
      <c r="AB596" s="62">
        <f t="shared" si="243"/>
        <v>0</v>
      </c>
      <c r="AC596" s="62">
        <f t="shared" si="243"/>
        <v>0</v>
      </c>
      <c r="AD596" s="62">
        <f t="shared" si="243"/>
        <v>0</v>
      </c>
      <c r="AE596" s="62">
        <f t="shared" si="243"/>
        <v>0</v>
      </c>
      <c r="AF596" s="63">
        <f>SUM(H596:AE596)</f>
        <v>0</v>
      </c>
      <c r="AG596" s="58" t="str">
        <f>IF(ABS(AF596-F596)&lt;1,"ok","err")</f>
        <v>ok</v>
      </c>
    </row>
    <row r="597" spans="1:33">
      <c r="A597" s="60"/>
      <c r="B597" s="60"/>
      <c r="F597" s="79"/>
      <c r="AG597" s="58"/>
    </row>
    <row r="598" spans="1:33">
      <c r="A598" s="60" t="s">
        <v>636</v>
      </c>
      <c r="B598" s="60"/>
      <c r="C598" s="44" t="s">
        <v>1074</v>
      </c>
      <c r="D598" s="44" t="s">
        <v>968</v>
      </c>
      <c r="F598" s="76">
        <v>32529208.918825753</v>
      </c>
      <c r="H598" s="63">
        <f t="shared" ref="H598:AE598" si="244">IF(VLOOKUP($D598,$C$6:$AE$653,H$2,)=0,0,((VLOOKUP($D598,$C$6:$AE$653,H$2,)/VLOOKUP($D598,$C$6:$AE$653,4,))*$F598))</f>
        <v>6289766.8709144518</v>
      </c>
      <c r="I598" s="63">
        <f t="shared" si="244"/>
        <v>6588928.9038168211</v>
      </c>
      <c r="J598" s="63">
        <f t="shared" si="244"/>
        <v>5416077.3409332</v>
      </c>
      <c r="K598" s="63">
        <f t="shared" si="244"/>
        <v>0</v>
      </c>
      <c r="L598" s="63">
        <f t="shared" si="244"/>
        <v>0</v>
      </c>
      <c r="M598" s="63">
        <f t="shared" si="244"/>
        <v>0</v>
      </c>
      <c r="N598" s="63">
        <f t="shared" si="244"/>
        <v>3464936.7094208836</v>
      </c>
      <c r="O598" s="63">
        <f t="shared" si="244"/>
        <v>0</v>
      </c>
      <c r="P598" s="63">
        <f t="shared" si="244"/>
        <v>0</v>
      </c>
      <c r="Q598" s="63">
        <f t="shared" si="244"/>
        <v>0</v>
      </c>
      <c r="R598" s="63">
        <f t="shared" si="244"/>
        <v>1206640.0129257792</v>
      </c>
      <c r="S598" s="63">
        <f t="shared" si="244"/>
        <v>0</v>
      </c>
      <c r="T598" s="63">
        <f t="shared" si="244"/>
        <v>2063478.5371666257</v>
      </c>
      <c r="U598" s="63">
        <f t="shared" si="244"/>
        <v>3283761.2807699526</v>
      </c>
      <c r="V598" s="63">
        <f t="shared" si="244"/>
        <v>567258.00445145834</v>
      </c>
      <c r="W598" s="63">
        <f t="shared" si="244"/>
        <v>862037.06715107756</v>
      </c>
      <c r="X598" s="63">
        <f t="shared" si="244"/>
        <v>784121.70729214803</v>
      </c>
      <c r="Y598" s="63">
        <f t="shared" si="244"/>
        <v>548377.36188634671</v>
      </c>
      <c r="Z598" s="63">
        <f t="shared" si="244"/>
        <v>272334.4512778669</v>
      </c>
      <c r="AA598" s="63">
        <f t="shared" si="244"/>
        <v>315900.35665521439</v>
      </c>
      <c r="AB598" s="63">
        <f t="shared" si="244"/>
        <v>865590.31416392652</v>
      </c>
      <c r="AC598" s="63">
        <f t="shared" si="244"/>
        <v>0</v>
      </c>
      <c r="AD598" s="63">
        <f t="shared" si="244"/>
        <v>0</v>
      </c>
      <c r="AE598" s="63">
        <f t="shared" si="244"/>
        <v>0</v>
      </c>
      <c r="AF598" s="63">
        <f>SUM(H598:AE598)</f>
        <v>32529208.918825746</v>
      </c>
      <c r="AG598" s="58" t="str">
        <f>IF(ABS(AF598-F598)&lt;1,"ok","err")</f>
        <v>ok</v>
      </c>
    </row>
    <row r="599" spans="1:33">
      <c r="A599" s="60"/>
      <c r="B599" s="60"/>
      <c r="AG599" s="58"/>
    </row>
    <row r="600" spans="1:33">
      <c r="A600" s="60" t="s">
        <v>725</v>
      </c>
      <c r="B600" s="60"/>
      <c r="C600" s="44" t="s">
        <v>533</v>
      </c>
      <c r="D600" s="44" t="s">
        <v>968</v>
      </c>
      <c r="F600" s="76">
        <f>-1002535</f>
        <v>-1002535</v>
      </c>
      <c r="G600" s="62">
        <v>600157</v>
      </c>
      <c r="H600" s="63">
        <f t="shared" ref="H600:AE600" si="245">IF(VLOOKUP($D600,$C$6:$AE$653,H$2,)=0,0,((VLOOKUP($D600,$C$6:$AE$653,H$2,)/VLOOKUP($D600,$C$6:$AE$653,4,))*$F600))</f>
        <v>-193847.67227717277</v>
      </c>
      <c r="I600" s="63">
        <f t="shared" si="245"/>
        <v>-203067.70616745905</v>
      </c>
      <c r="J600" s="63">
        <f t="shared" si="245"/>
        <v>-166920.96972115582</v>
      </c>
      <c r="K600" s="63">
        <f t="shared" si="245"/>
        <v>0</v>
      </c>
      <c r="L600" s="63">
        <f t="shared" si="245"/>
        <v>0</v>
      </c>
      <c r="M600" s="63">
        <f t="shared" si="245"/>
        <v>0</v>
      </c>
      <c r="N600" s="63">
        <f t="shared" si="245"/>
        <v>-106787.72830435807</v>
      </c>
      <c r="O600" s="63">
        <f t="shared" si="245"/>
        <v>0</v>
      </c>
      <c r="P600" s="63">
        <f t="shared" si="245"/>
        <v>0</v>
      </c>
      <c r="Q600" s="63">
        <f t="shared" si="245"/>
        <v>0</v>
      </c>
      <c r="R600" s="63">
        <f t="shared" si="245"/>
        <v>-37188.080668584982</v>
      </c>
      <c r="S600" s="63">
        <f t="shared" si="245"/>
        <v>0</v>
      </c>
      <c r="T600" s="63">
        <f t="shared" si="245"/>
        <v>-63595.443111471155</v>
      </c>
      <c r="U600" s="63">
        <f t="shared" si="245"/>
        <v>-101203.98635674978</v>
      </c>
      <c r="V600" s="63">
        <f t="shared" si="245"/>
        <v>-17482.626304005174</v>
      </c>
      <c r="W600" s="63">
        <f t="shared" si="245"/>
        <v>-26567.579103227159</v>
      </c>
      <c r="X600" s="63">
        <f t="shared" si="245"/>
        <v>-24166.2641652864</v>
      </c>
      <c r="Y600" s="63">
        <f t="shared" si="245"/>
        <v>-16900.733733508026</v>
      </c>
      <c r="Z600" s="63">
        <f t="shared" si="245"/>
        <v>-8393.220375975623</v>
      </c>
      <c r="AA600" s="63">
        <f t="shared" si="245"/>
        <v>-9735.9011972790304</v>
      </c>
      <c r="AB600" s="63">
        <f t="shared" si="245"/>
        <v>-26677.088513766957</v>
      </c>
      <c r="AC600" s="63">
        <f t="shared" si="245"/>
        <v>0</v>
      </c>
      <c r="AD600" s="63">
        <f t="shared" si="245"/>
        <v>0</v>
      </c>
      <c r="AE600" s="63">
        <f t="shared" si="245"/>
        <v>0</v>
      </c>
      <c r="AF600" s="63">
        <f>SUM(H600:AE600)</f>
        <v>-1002535</v>
      </c>
      <c r="AG600" s="58" t="str">
        <f>IF(ABS(AF600-F600)&lt;1,"ok","err")</f>
        <v>ok</v>
      </c>
    </row>
    <row r="601" spans="1:33">
      <c r="A601" s="60"/>
      <c r="B601" s="60"/>
      <c r="W601" s="44"/>
    </row>
    <row r="602" spans="1:33">
      <c r="A602" s="60" t="s">
        <v>757</v>
      </c>
      <c r="B602" s="60"/>
      <c r="C602" s="44" t="s">
        <v>1075</v>
      </c>
      <c r="D602" s="44" t="s">
        <v>968</v>
      </c>
      <c r="F602" s="76">
        <v>0</v>
      </c>
      <c r="G602" s="62">
        <v>600157</v>
      </c>
      <c r="H602" s="63">
        <f t="shared" ref="H602:AE602" si="246">IF(VLOOKUP($D602,$C$6:$AE$653,H$2,)=0,0,((VLOOKUP($D602,$C$6:$AE$653,H$2,)/VLOOKUP($D602,$C$6:$AE$653,4,))*$F602))</f>
        <v>0</v>
      </c>
      <c r="I602" s="63">
        <f t="shared" si="246"/>
        <v>0</v>
      </c>
      <c r="J602" s="63">
        <f t="shared" si="246"/>
        <v>0</v>
      </c>
      <c r="K602" s="63">
        <f t="shared" si="246"/>
        <v>0</v>
      </c>
      <c r="L602" s="63">
        <f t="shared" si="246"/>
        <v>0</v>
      </c>
      <c r="M602" s="63">
        <f t="shared" si="246"/>
        <v>0</v>
      </c>
      <c r="N602" s="63">
        <f t="shared" si="246"/>
        <v>0</v>
      </c>
      <c r="O602" s="63">
        <f t="shared" si="246"/>
        <v>0</v>
      </c>
      <c r="P602" s="63">
        <f t="shared" si="246"/>
        <v>0</v>
      </c>
      <c r="Q602" s="63">
        <f t="shared" si="246"/>
        <v>0</v>
      </c>
      <c r="R602" s="63">
        <f t="shared" si="246"/>
        <v>0</v>
      </c>
      <c r="S602" s="63">
        <f t="shared" si="246"/>
        <v>0</v>
      </c>
      <c r="T602" s="63">
        <f t="shared" si="246"/>
        <v>0</v>
      </c>
      <c r="U602" s="63">
        <f t="shared" si="246"/>
        <v>0</v>
      </c>
      <c r="V602" s="63">
        <f t="shared" si="246"/>
        <v>0</v>
      </c>
      <c r="W602" s="63">
        <f t="shared" si="246"/>
        <v>0</v>
      </c>
      <c r="X602" s="63">
        <f t="shared" si="246"/>
        <v>0</v>
      </c>
      <c r="Y602" s="63">
        <f t="shared" si="246"/>
        <v>0</v>
      </c>
      <c r="Z602" s="63">
        <f t="shared" si="246"/>
        <v>0</v>
      </c>
      <c r="AA602" s="63">
        <f t="shared" si="246"/>
        <v>0</v>
      </c>
      <c r="AB602" s="63">
        <f t="shared" si="246"/>
        <v>0</v>
      </c>
      <c r="AC602" s="63">
        <f t="shared" si="246"/>
        <v>0</v>
      </c>
      <c r="AD602" s="63">
        <f t="shared" si="246"/>
        <v>0</v>
      </c>
      <c r="AE602" s="63">
        <f t="shared" si="246"/>
        <v>0</v>
      </c>
      <c r="AF602" s="63">
        <f>SUM(H602:AE602)</f>
        <v>0</v>
      </c>
      <c r="AG602" s="58" t="str">
        <f>IF(ABS(AF602-F602)&lt;1,"ok","err")</f>
        <v>ok</v>
      </c>
    </row>
    <row r="603" spans="1:33">
      <c r="A603" s="60"/>
      <c r="B603" s="60"/>
      <c r="W603" s="44"/>
    </row>
    <row r="604" spans="1:33">
      <c r="A604" s="60" t="s">
        <v>872</v>
      </c>
      <c r="B604" s="60"/>
      <c r="C604" s="44" t="s">
        <v>1076</v>
      </c>
      <c r="D604" s="44" t="s">
        <v>968</v>
      </c>
      <c r="F604" s="76">
        <v>62185554.183806494</v>
      </c>
      <c r="H604" s="63">
        <f t="shared" ref="H604:AE604" si="247">IF(VLOOKUP($D604,$C$6:$AE$653,H$2,)=0,0,((VLOOKUP($D604,$C$6:$AE$653,H$2,)/VLOOKUP($D604,$C$6:$AE$653,4,))*$F604))</f>
        <v>12024043.976316927</v>
      </c>
      <c r="I604" s="63">
        <f t="shared" si="247"/>
        <v>12595947.11891138</v>
      </c>
      <c r="J604" s="63">
        <f t="shared" si="247"/>
        <v>10353826.057951551</v>
      </c>
      <c r="K604" s="63">
        <f t="shared" si="247"/>
        <v>0</v>
      </c>
      <c r="L604" s="63">
        <f t="shared" si="247"/>
        <v>0</v>
      </c>
      <c r="M604" s="63">
        <f t="shared" si="247"/>
        <v>0</v>
      </c>
      <c r="N604" s="63">
        <f t="shared" si="247"/>
        <v>6623862.5730136754</v>
      </c>
      <c r="O604" s="63">
        <f t="shared" si="247"/>
        <v>0</v>
      </c>
      <c r="P604" s="63">
        <f t="shared" si="247"/>
        <v>0</v>
      </c>
      <c r="Q604" s="63">
        <f t="shared" si="247"/>
        <v>0</v>
      </c>
      <c r="R604" s="63">
        <f t="shared" si="247"/>
        <v>2306713.8857077891</v>
      </c>
      <c r="S604" s="63">
        <f t="shared" si="247"/>
        <v>0</v>
      </c>
      <c r="T604" s="63">
        <f t="shared" si="247"/>
        <v>3944718.0132878879</v>
      </c>
      <c r="U604" s="63">
        <f t="shared" si="247"/>
        <v>6277512.483060318</v>
      </c>
      <c r="V604" s="63">
        <f t="shared" si="247"/>
        <v>1084417.8061643278</v>
      </c>
      <c r="W604" s="63">
        <f t="shared" si="247"/>
        <v>1647942.0966413119</v>
      </c>
      <c r="X604" s="63">
        <f t="shared" si="247"/>
        <v>1498992.5834714985</v>
      </c>
      <c r="Y604" s="63">
        <f t="shared" si="247"/>
        <v>1048323.9920114006</v>
      </c>
      <c r="Z604" s="63">
        <f t="shared" si="247"/>
        <v>520617.29562245787</v>
      </c>
      <c r="AA604" s="63">
        <f t="shared" si="247"/>
        <v>603901.52107565489</v>
      </c>
      <c r="AB604" s="63">
        <f t="shared" si="247"/>
        <v>1654734.7805703112</v>
      </c>
      <c r="AC604" s="63">
        <f t="shared" si="247"/>
        <v>0</v>
      </c>
      <c r="AD604" s="63">
        <f t="shared" si="247"/>
        <v>0</v>
      </c>
      <c r="AE604" s="63">
        <f t="shared" si="247"/>
        <v>0</v>
      </c>
      <c r="AF604" s="63">
        <f>SUM(H604:AE604)</f>
        <v>62185554.183806486</v>
      </c>
      <c r="AG604" s="58" t="str">
        <f>IF(ABS(AF604-F604)&lt;1,"ok","err")</f>
        <v>ok</v>
      </c>
    </row>
    <row r="605" spans="1:33">
      <c r="A605" s="60"/>
      <c r="B605" s="60"/>
      <c r="F605" s="76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58"/>
    </row>
    <row r="606" spans="1:33">
      <c r="A606" s="60" t="s">
        <v>1077</v>
      </c>
      <c r="B606" s="60"/>
      <c r="C606" s="44" t="s">
        <v>1078</v>
      </c>
      <c r="D606" s="44" t="s">
        <v>968</v>
      </c>
      <c r="F606" s="76">
        <v>0</v>
      </c>
      <c r="H606" s="63">
        <f t="shared" ref="H606:AE606" si="248">IF(VLOOKUP($D606,$C$6:$AE$653,H$2,)=0,0,((VLOOKUP($D606,$C$6:$AE$653,H$2,)/VLOOKUP($D606,$C$6:$AE$653,4,))*$F606))</f>
        <v>0</v>
      </c>
      <c r="I606" s="63">
        <f t="shared" si="248"/>
        <v>0</v>
      </c>
      <c r="J606" s="63">
        <f t="shared" si="248"/>
        <v>0</v>
      </c>
      <c r="K606" s="63">
        <f t="shared" si="248"/>
        <v>0</v>
      </c>
      <c r="L606" s="63">
        <f t="shared" si="248"/>
        <v>0</v>
      </c>
      <c r="M606" s="63">
        <f t="shared" si="248"/>
        <v>0</v>
      </c>
      <c r="N606" s="63">
        <f t="shared" si="248"/>
        <v>0</v>
      </c>
      <c r="O606" s="63">
        <f t="shared" si="248"/>
        <v>0</v>
      </c>
      <c r="P606" s="63">
        <f t="shared" si="248"/>
        <v>0</v>
      </c>
      <c r="Q606" s="63">
        <f t="shared" si="248"/>
        <v>0</v>
      </c>
      <c r="R606" s="63">
        <f t="shared" si="248"/>
        <v>0</v>
      </c>
      <c r="S606" s="63">
        <f t="shared" si="248"/>
        <v>0</v>
      </c>
      <c r="T606" s="63">
        <f t="shared" si="248"/>
        <v>0</v>
      </c>
      <c r="U606" s="63">
        <f t="shared" si="248"/>
        <v>0</v>
      </c>
      <c r="V606" s="63">
        <f t="shared" si="248"/>
        <v>0</v>
      </c>
      <c r="W606" s="63">
        <f t="shared" si="248"/>
        <v>0</v>
      </c>
      <c r="X606" s="63">
        <f t="shared" si="248"/>
        <v>0</v>
      </c>
      <c r="Y606" s="63">
        <f t="shared" si="248"/>
        <v>0</v>
      </c>
      <c r="Z606" s="63">
        <f t="shared" si="248"/>
        <v>0</v>
      </c>
      <c r="AA606" s="63">
        <f t="shared" si="248"/>
        <v>0</v>
      </c>
      <c r="AB606" s="63">
        <f t="shared" si="248"/>
        <v>0</v>
      </c>
      <c r="AC606" s="63">
        <f t="shared" si="248"/>
        <v>0</v>
      </c>
      <c r="AD606" s="63">
        <f t="shared" si="248"/>
        <v>0</v>
      </c>
      <c r="AE606" s="63">
        <f t="shared" si="248"/>
        <v>0</v>
      </c>
      <c r="AF606" s="63">
        <f>SUM(H606:AE606)</f>
        <v>0</v>
      </c>
      <c r="AG606" s="58" t="str">
        <f>IF(ABS(AF606-F606)&lt;1,"ok","err")</f>
        <v>ok</v>
      </c>
    </row>
    <row r="607" spans="1:33">
      <c r="A607" s="60"/>
      <c r="B607" s="60"/>
      <c r="AF607" s="63"/>
      <c r="AG607" s="58"/>
    </row>
    <row r="608" spans="1:33" ht="15">
      <c r="A608" s="65" t="s">
        <v>1079</v>
      </c>
      <c r="B608" s="60"/>
      <c r="C608" s="44" t="s">
        <v>1080</v>
      </c>
      <c r="F608" s="80">
        <f>F580+F588+F596+F598+F600+F602+F604+F606</f>
        <v>232554754.60826981</v>
      </c>
      <c r="G608" s="64"/>
      <c r="H608" s="80">
        <f t="shared" ref="H608:AE608" si="249">H580+H588+H596+H598+H600+H602+H604+H606</f>
        <v>46554129.064685494</v>
      </c>
      <c r="I608" s="80">
        <f t="shared" si="249"/>
        <v>48768396.807325318</v>
      </c>
      <c r="J608" s="80">
        <f t="shared" si="249"/>
        <v>40087457.727581039</v>
      </c>
      <c r="K608" s="80">
        <f t="shared" si="249"/>
        <v>0</v>
      </c>
      <c r="L608" s="80">
        <f t="shared" si="249"/>
        <v>0</v>
      </c>
      <c r="M608" s="80">
        <f t="shared" si="249"/>
        <v>0</v>
      </c>
      <c r="N608" s="80">
        <f t="shared" si="249"/>
        <v>21752789.886789575</v>
      </c>
      <c r="O608" s="80">
        <f t="shared" si="249"/>
        <v>0</v>
      </c>
      <c r="P608" s="80">
        <f t="shared" si="249"/>
        <v>0</v>
      </c>
      <c r="Q608" s="80">
        <f t="shared" si="249"/>
        <v>0</v>
      </c>
      <c r="R608" s="80">
        <f t="shared" si="249"/>
        <v>8447094.9190469775</v>
      </c>
      <c r="S608" s="80">
        <f t="shared" si="249"/>
        <v>0</v>
      </c>
      <c r="T608" s="80">
        <f t="shared" si="249"/>
        <v>14445401.180256434</v>
      </c>
      <c r="U608" s="80">
        <f t="shared" si="249"/>
        <v>22988002.16553174</v>
      </c>
      <c r="V608" s="80">
        <f t="shared" si="249"/>
        <v>3971095.0704942178</v>
      </c>
      <c r="W608" s="80">
        <f t="shared" si="249"/>
        <v>6034698.7104346305</v>
      </c>
      <c r="X608" s="80">
        <f t="shared" si="249"/>
        <v>5489251.4906095359</v>
      </c>
      <c r="Y608" s="80">
        <f t="shared" si="249"/>
        <v>3838920.9521394121</v>
      </c>
      <c r="Z608" s="80">
        <f t="shared" si="249"/>
        <v>1906479.9236126579</v>
      </c>
      <c r="AA608" s="80">
        <f t="shared" si="249"/>
        <v>2211463.4597249394</v>
      </c>
      <c r="AB608" s="80">
        <f t="shared" si="249"/>
        <v>6059573.2500378527</v>
      </c>
      <c r="AC608" s="80">
        <f t="shared" si="249"/>
        <v>0</v>
      </c>
      <c r="AD608" s="80">
        <f t="shared" si="249"/>
        <v>0</v>
      </c>
      <c r="AE608" s="80">
        <f t="shared" si="249"/>
        <v>0</v>
      </c>
      <c r="AF608" s="63">
        <f>SUM(H608:AE608)</f>
        <v>232554754.60826975</v>
      </c>
      <c r="AG608" s="58" t="str">
        <f>IF(ABS(AF608-F608)&lt;1,"ok","err")</f>
        <v>ok</v>
      </c>
    </row>
    <row r="609" spans="1:34">
      <c r="A609" s="60"/>
      <c r="B609" s="60"/>
      <c r="AG609" s="58"/>
    </row>
    <row r="610" spans="1:34" ht="15">
      <c r="A610" s="65" t="s">
        <v>1160</v>
      </c>
      <c r="B610" s="60"/>
      <c r="F610" s="80">
        <f>F333+F608</f>
        <v>918176657.42650473</v>
      </c>
      <c r="G610" s="64">
        <f t="shared" ref="G610:AE610" si="250">G333+G608</f>
        <v>0</v>
      </c>
      <c r="H610" s="64">
        <f t="shared" si="250"/>
        <v>79777528.757929891</v>
      </c>
      <c r="I610" s="64">
        <f t="shared" si="250"/>
        <v>83572010.838579655</v>
      </c>
      <c r="J610" s="64">
        <f t="shared" si="250"/>
        <v>68695911.102767408</v>
      </c>
      <c r="K610" s="64">
        <f t="shared" si="250"/>
        <v>465540988.35893065</v>
      </c>
      <c r="L610" s="64">
        <f t="shared" si="250"/>
        <v>0</v>
      </c>
      <c r="M610" s="64">
        <f t="shared" si="250"/>
        <v>0</v>
      </c>
      <c r="N610" s="64">
        <f t="shared" si="250"/>
        <v>43904484.438644156</v>
      </c>
      <c r="O610" s="64">
        <f t="shared" si="250"/>
        <v>0</v>
      </c>
      <c r="P610" s="64">
        <f t="shared" si="250"/>
        <v>0</v>
      </c>
      <c r="Q610" s="64">
        <f t="shared" si="250"/>
        <v>0</v>
      </c>
      <c r="R610" s="64">
        <f t="shared" si="250"/>
        <v>16636359.393299256</v>
      </c>
      <c r="S610" s="64">
        <f t="shared" si="250"/>
        <v>0</v>
      </c>
      <c r="T610" s="64">
        <f t="shared" si="250"/>
        <v>28675558.858074948</v>
      </c>
      <c r="U610" s="64">
        <f t="shared" si="250"/>
        <v>44288718.517956272</v>
      </c>
      <c r="V610" s="64">
        <f t="shared" si="250"/>
        <v>8756585.0862900466</v>
      </c>
      <c r="W610" s="64">
        <f t="shared" si="250"/>
        <v>13064839.318581827</v>
      </c>
      <c r="X610" s="64">
        <f t="shared" si="250"/>
        <v>6609247.6826758962</v>
      </c>
      <c r="Y610" s="64">
        <f t="shared" si="250"/>
        <v>4622192.9256307334</v>
      </c>
      <c r="Z610" s="64">
        <f t="shared" si="250"/>
        <v>2202288.5573496805</v>
      </c>
      <c r="AA610" s="64">
        <f t="shared" si="250"/>
        <v>19382672.083369117</v>
      </c>
      <c r="AB610" s="64">
        <f t="shared" si="250"/>
        <v>7365717.8079636944</v>
      </c>
      <c r="AC610" s="64">
        <f t="shared" si="250"/>
        <v>20585101.39846275</v>
      </c>
      <c r="AD610" s="64">
        <f t="shared" si="250"/>
        <v>4496452.299998587</v>
      </c>
      <c r="AE610" s="64">
        <f t="shared" si="250"/>
        <v>0</v>
      </c>
      <c r="AF610" s="63">
        <f>SUM(H610:AE610)</f>
        <v>918176657.42650449</v>
      </c>
      <c r="AG610" s="58" t="str">
        <f>IF(ABS(AF610-F610)&lt;1,"ok","err")</f>
        <v>ok</v>
      </c>
    </row>
    <row r="611" spans="1:34">
      <c r="A611" s="60"/>
      <c r="B611" s="60"/>
      <c r="AG611" s="58"/>
    </row>
    <row r="612" spans="1:34">
      <c r="A612" s="60"/>
      <c r="B612" s="60"/>
      <c r="AG612" s="58"/>
    </row>
    <row r="613" spans="1:34" s="60" customFormat="1">
      <c r="F613" s="79"/>
      <c r="W613" s="77"/>
      <c r="AG613" s="93"/>
    </row>
    <row r="614" spans="1:34" s="60" customFormat="1" ht="15">
      <c r="A614" s="59" t="s">
        <v>1344</v>
      </c>
      <c r="W614" s="77"/>
      <c r="AG614" s="93"/>
    </row>
    <row r="615" spans="1:34" s="60" customFormat="1">
      <c r="W615" s="77"/>
      <c r="AG615" s="93"/>
    </row>
    <row r="616" spans="1:34" s="60" customFormat="1">
      <c r="A616" s="60" t="s">
        <v>923</v>
      </c>
      <c r="C616" s="60" t="s">
        <v>940</v>
      </c>
      <c r="F616" s="81">
        <v>1</v>
      </c>
      <c r="G616" s="81"/>
      <c r="H616" s="229">
        <v>0</v>
      </c>
      <c r="I616" s="229">
        <v>0</v>
      </c>
      <c r="J616" s="229">
        <v>0</v>
      </c>
      <c r="K616" s="229">
        <v>0</v>
      </c>
      <c r="L616" s="229">
        <v>0</v>
      </c>
      <c r="M616" s="229">
        <v>0</v>
      </c>
      <c r="N616" s="229">
        <v>0</v>
      </c>
      <c r="O616" s="229">
        <v>0</v>
      </c>
      <c r="P616" s="229">
        <v>0</v>
      </c>
      <c r="Q616" s="229">
        <v>0</v>
      </c>
      <c r="R616" s="229">
        <v>1</v>
      </c>
      <c r="S616" s="229">
        <v>0</v>
      </c>
      <c r="T616" s="229">
        <v>0</v>
      </c>
      <c r="U616" s="229">
        <v>0</v>
      </c>
      <c r="V616" s="229">
        <v>0</v>
      </c>
      <c r="W616" s="229">
        <v>0</v>
      </c>
      <c r="X616" s="81">
        <v>0</v>
      </c>
      <c r="Y616" s="81">
        <v>0</v>
      </c>
      <c r="Z616" s="81">
        <v>0</v>
      </c>
      <c r="AA616" s="81">
        <v>0</v>
      </c>
      <c r="AB616" s="81">
        <v>0</v>
      </c>
      <c r="AC616" s="81">
        <v>0</v>
      </c>
      <c r="AD616" s="81">
        <v>0</v>
      </c>
      <c r="AE616" s="81">
        <v>0</v>
      </c>
      <c r="AF616" s="229">
        <f>SUM(H616:AE616)</f>
        <v>1</v>
      </c>
      <c r="AG616" s="93" t="str">
        <f t="shared" ref="AG616:AG640" si="251">IF(ABS(AF616-F616)&lt;0.0000001,"ok","err")</f>
        <v>ok</v>
      </c>
    </row>
    <row r="617" spans="1:34" s="60" customFormat="1">
      <c r="A617" s="60" t="s">
        <v>1081</v>
      </c>
      <c r="C617" s="60" t="s">
        <v>941</v>
      </c>
      <c r="F617" s="81">
        <v>1</v>
      </c>
      <c r="G617" s="81"/>
      <c r="H617" s="229">
        <v>0</v>
      </c>
      <c r="I617" s="229">
        <v>0</v>
      </c>
      <c r="J617" s="229">
        <v>0</v>
      </c>
      <c r="K617" s="229">
        <v>0</v>
      </c>
      <c r="L617" s="229">
        <v>0</v>
      </c>
      <c r="M617" s="229">
        <v>0</v>
      </c>
      <c r="N617" s="229">
        <v>0</v>
      </c>
      <c r="O617" s="229">
        <v>0</v>
      </c>
      <c r="P617" s="229">
        <v>0</v>
      </c>
      <c r="Q617" s="229">
        <v>0</v>
      </c>
      <c r="R617" s="229">
        <v>0</v>
      </c>
      <c r="S617" s="229">
        <v>0</v>
      </c>
      <c r="T617" s="229">
        <f>0.4081*0.7318</f>
        <v>0.29864758000000002</v>
      </c>
      <c r="U617" s="229">
        <f>0.5919*0.7318</f>
        <v>0.43315241999999998</v>
      </c>
      <c r="V617" s="229">
        <f>0.4081*0.2682</f>
        <v>0.10945242000000001</v>
      </c>
      <c r="W617" s="229">
        <f>0.5919*0.2682</f>
        <v>0.15874758</v>
      </c>
      <c r="X617" s="81">
        <v>0</v>
      </c>
      <c r="Y617" s="81">
        <v>0</v>
      </c>
      <c r="Z617" s="81">
        <v>0</v>
      </c>
      <c r="AA617" s="81">
        <v>0</v>
      </c>
      <c r="AB617" s="81">
        <v>0</v>
      </c>
      <c r="AC617" s="81">
        <v>0</v>
      </c>
      <c r="AD617" s="81">
        <v>0</v>
      </c>
      <c r="AE617" s="81">
        <v>0</v>
      </c>
      <c r="AF617" s="229">
        <f t="shared" ref="AF617:AF625" si="252">SUM(H617:AE617)</f>
        <v>1</v>
      </c>
      <c r="AG617" s="93" t="str">
        <f t="shared" si="251"/>
        <v>ok</v>
      </c>
    </row>
    <row r="618" spans="1:34" s="60" customFormat="1">
      <c r="A618" s="60" t="s">
        <v>1082</v>
      </c>
      <c r="C618" s="60" t="s">
        <v>943</v>
      </c>
      <c r="F618" s="81">
        <v>1</v>
      </c>
      <c r="G618" s="81"/>
      <c r="H618" s="229">
        <v>0</v>
      </c>
      <c r="I618" s="229">
        <v>0</v>
      </c>
      <c r="J618" s="229">
        <v>0</v>
      </c>
      <c r="K618" s="229">
        <v>0</v>
      </c>
      <c r="L618" s="229">
        <v>0</v>
      </c>
      <c r="M618" s="229">
        <v>0</v>
      </c>
      <c r="N618" s="229">
        <v>0</v>
      </c>
      <c r="O618" s="229">
        <v>0</v>
      </c>
      <c r="P618" s="229">
        <v>0</v>
      </c>
      <c r="Q618" s="229">
        <v>0</v>
      </c>
      <c r="R618" s="229">
        <v>0</v>
      </c>
      <c r="S618" s="229">
        <v>0</v>
      </c>
      <c r="T618" s="229">
        <f>T617</f>
        <v>0.29864758000000002</v>
      </c>
      <c r="U618" s="229">
        <f>U617</f>
        <v>0.43315241999999998</v>
      </c>
      <c r="V618" s="229">
        <f>V617</f>
        <v>0.10945242000000001</v>
      </c>
      <c r="W618" s="229">
        <f>W617</f>
        <v>0.15874758</v>
      </c>
      <c r="X618" s="81">
        <v>0</v>
      </c>
      <c r="Y618" s="81">
        <v>0</v>
      </c>
      <c r="Z618" s="81">
        <v>0</v>
      </c>
      <c r="AA618" s="81">
        <v>0</v>
      </c>
      <c r="AB618" s="81">
        <v>0</v>
      </c>
      <c r="AC618" s="81">
        <v>0</v>
      </c>
      <c r="AD618" s="81">
        <v>0</v>
      </c>
      <c r="AE618" s="81">
        <v>0</v>
      </c>
      <c r="AF618" s="229">
        <f t="shared" si="252"/>
        <v>1</v>
      </c>
      <c r="AG618" s="93" t="str">
        <f t="shared" si="251"/>
        <v>ok</v>
      </c>
      <c r="AH618" s="81"/>
    </row>
    <row r="619" spans="1:34" s="60" customFormat="1">
      <c r="A619" s="60" t="s">
        <v>1083</v>
      </c>
      <c r="C619" s="60" t="s">
        <v>944</v>
      </c>
      <c r="F619" s="81">
        <v>1</v>
      </c>
      <c r="G619" s="81"/>
      <c r="H619" s="229">
        <v>0</v>
      </c>
      <c r="I619" s="229">
        <v>0</v>
      </c>
      <c r="J619" s="229">
        <v>0</v>
      </c>
      <c r="K619" s="229">
        <v>0</v>
      </c>
      <c r="L619" s="229">
        <v>0</v>
      </c>
      <c r="M619" s="229">
        <v>0</v>
      </c>
      <c r="N619" s="229">
        <v>0</v>
      </c>
      <c r="O619" s="229">
        <v>0</v>
      </c>
      <c r="P619" s="229">
        <v>0</v>
      </c>
      <c r="Q619" s="229">
        <v>0</v>
      </c>
      <c r="R619" s="229">
        <v>0</v>
      </c>
      <c r="S619" s="229">
        <v>0</v>
      </c>
      <c r="T619" s="229">
        <f>0.3563*0.881</f>
        <v>0.31390030000000002</v>
      </c>
      <c r="U619" s="229">
        <f>0.6437*0.881</f>
        <v>0.5670997000000001</v>
      </c>
      <c r="V619" s="229">
        <f>0.3563*0.119</f>
        <v>4.2399699999999999E-2</v>
      </c>
      <c r="W619" s="229">
        <f>0.6437*0.119</f>
        <v>7.6600299999999996E-2</v>
      </c>
      <c r="X619" s="81">
        <v>0</v>
      </c>
      <c r="Y619" s="81">
        <v>0</v>
      </c>
      <c r="Z619" s="81">
        <v>0</v>
      </c>
      <c r="AA619" s="81">
        <v>0</v>
      </c>
      <c r="AB619" s="81">
        <v>0</v>
      </c>
      <c r="AC619" s="81">
        <v>0</v>
      </c>
      <c r="AD619" s="81">
        <v>0</v>
      </c>
      <c r="AE619" s="81">
        <v>0</v>
      </c>
      <c r="AF619" s="229">
        <f t="shared" si="252"/>
        <v>1.0000000000000002</v>
      </c>
      <c r="AG619" s="93" t="str">
        <f t="shared" si="251"/>
        <v>ok</v>
      </c>
    </row>
    <row r="620" spans="1:34" s="60" customFormat="1">
      <c r="A620" s="60" t="s">
        <v>1084</v>
      </c>
      <c r="C620" s="60" t="s">
        <v>947</v>
      </c>
      <c r="F620" s="81">
        <v>1</v>
      </c>
      <c r="G620" s="81"/>
      <c r="H620" s="229">
        <v>0</v>
      </c>
      <c r="I620" s="229">
        <v>0</v>
      </c>
      <c r="J620" s="229">
        <v>0</v>
      </c>
      <c r="K620" s="229">
        <v>0</v>
      </c>
      <c r="L620" s="229">
        <v>0</v>
      </c>
      <c r="M620" s="229">
        <v>0</v>
      </c>
      <c r="N620" s="229">
        <v>0</v>
      </c>
      <c r="O620" s="229">
        <v>0</v>
      </c>
      <c r="P620" s="229">
        <v>0</v>
      </c>
      <c r="Q620" s="229">
        <v>0</v>
      </c>
      <c r="R620" s="229">
        <v>0</v>
      </c>
      <c r="S620" s="229">
        <v>0</v>
      </c>
      <c r="T620" s="229">
        <v>0</v>
      </c>
      <c r="U620" s="229">
        <v>0</v>
      </c>
      <c r="V620" s="229">
        <v>0</v>
      </c>
      <c r="W620" s="229">
        <v>0</v>
      </c>
      <c r="X620" s="81">
        <v>0.58845947845619928</v>
      </c>
      <c r="Y620" s="81">
        <v>0.41154052154380072</v>
      </c>
      <c r="Z620" s="81">
        <v>0</v>
      </c>
      <c r="AA620" s="81">
        <v>0</v>
      </c>
      <c r="AB620" s="81">
        <v>0</v>
      </c>
      <c r="AC620" s="81">
        <v>0</v>
      </c>
      <c r="AD620" s="81">
        <v>0</v>
      </c>
      <c r="AE620" s="81">
        <v>0</v>
      </c>
      <c r="AF620" s="229">
        <f t="shared" si="252"/>
        <v>1</v>
      </c>
      <c r="AG620" s="93" t="str">
        <f t="shared" si="251"/>
        <v>ok</v>
      </c>
    </row>
    <row r="621" spans="1:34" s="60" customFormat="1">
      <c r="A621" s="60" t="s">
        <v>1085</v>
      </c>
      <c r="C621" s="60" t="s">
        <v>949</v>
      </c>
      <c r="F621" s="81">
        <v>1</v>
      </c>
      <c r="G621" s="81"/>
      <c r="H621" s="229">
        <v>0</v>
      </c>
      <c r="I621" s="229">
        <v>0</v>
      </c>
      <c r="J621" s="229">
        <v>0</v>
      </c>
      <c r="K621" s="229">
        <v>0</v>
      </c>
      <c r="L621" s="229">
        <v>0</v>
      </c>
      <c r="M621" s="229">
        <v>0</v>
      </c>
      <c r="N621" s="229">
        <v>0</v>
      </c>
      <c r="O621" s="229">
        <v>0</v>
      </c>
      <c r="P621" s="229">
        <v>0</v>
      </c>
      <c r="Q621" s="229">
        <v>0</v>
      </c>
      <c r="R621" s="229">
        <v>0</v>
      </c>
      <c r="S621" s="229">
        <v>0</v>
      </c>
      <c r="T621" s="229">
        <v>0</v>
      </c>
      <c r="U621" s="229">
        <v>0</v>
      </c>
      <c r="V621" s="229">
        <v>0</v>
      </c>
      <c r="W621" s="229">
        <v>0</v>
      </c>
      <c r="X621" s="81">
        <v>0</v>
      </c>
      <c r="Y621" s="81">
        <v>0</v>
      </c>
      <c r="Z621" s="81">
        <v>1</v>
      </c>
      <c r="AA621" s="81">
        <v>0</v>
      </c>
      <c r="AB621" s="81">
        <v>0</v>
      </c>
      <c r="AC621" s="81">
        <v>0</v>
      </c>
      <c r="AD621" s="81">
        <v>0</v>
      </c>
      <c r="AE621" s="81">
        <v>0</v>
      </c>
      <c r="AF621" s="229">
        <f t="shared" si="252"/>
        <v>1</v>
      </c>
      <c r="AG621" s="93" t="str">
        <f t="shared" si="251"/>
        <v>ok</v>
      </c>
    </row>
    <row r="622" spans="1:34" s="60" customFormat="1">
      <c r="A622" s="60" t="s">
        <v>924</v>
      </c>
      <c r="C622" s="60" t="s">
        <v>951</v>
      </c>
      <c r="F622" s="81">
        <v>1</v>
      </c>
      <c r="G622" s="81"/>
      <c r="H622" s="229">
        <v>0</v>
      </c>
      <c r="I622" s="229">
        <v>0</v>
      </c>
      <c r="J622" s="229">
        <v>0</v>
      </c>
      <c r="K622" s="229">
        <v>0</v>
      </c>
      <c r="L622" s="229">
        <v>0</v>
      </c>
      <c r="M622" s="229">
        <v>0</v>
      </c>
      <c r="N622" s="229">
        <v>0</v>
      </c>
      <c r="O622" s="229">
        <v>0</v>
      </c>
      <c r="P622" s="229">
        <v>0</v>
      </c>
      <c r="Q622" s="229">
        <v>0</v>
      </c>
      <c r="R622" s="229">
        <v>0</v>
      </c>
      <c r="S622" s="229">
        <v>0</v>
      </c>
      <c r="T622" s="229">
        <v>0</v>
      </c>
      <c r="U622" s="229">
        <v>0</v>
      </c>
      <c r="V622" s="229">
        <v>0</v>
      </c>
      <c r="W622" s="229">
        <v>0</v>
      </c>
      <c r="X622" s="81">
        <v>0</v>
      </c>
      <c r="Y622" s="81">
        <v>0</v>
      </c>
      <c r="Z622" s="81">
        <v>0</v>
      </c>
      <c r="AA622" s="81">
        <v>1</v>
      </c>
      <c r="AB622" s="81">
        <v>0</v>
      </c>
      <c r="AC622" s="81">
        <v>0</v>
      </c>
      <c r="AD622" s="81">
        <v>0</v>
      </c>
      <c r="AE622" s="81">
        <v>0</v>
      </c>
      <c r="AF622" s="229">
        <f t="shared" si="252"/>
        <v>1</v>
      </c>
      <c r="AG622" s="93" t="str">
        <f t="shared" si="251"/>
        <v>ok</v>
      </c>
    </row>
    <row r="623" spans="1:34" s="60" customFormat="1">
      <c r="A623" s="60" t="s">
        <v>1086</v>
      </c>
      <c r="C623" s="60" t="s">
        <v>954</v>
      </c>
      <c r="F623" s="81">
        <v>1</v>
      </c>
      <c r="G623" s="81"/>
      <c r="H623" s="229">
        <v>0</v>
      </c>
      <c r="I623" s="229">
        <v>0</v>
      </c>
      <c r="J623" s="229">
        <v>0</v>
      </c>
      <c r="K623" s="229">
        <v>0</v>
      </c>
      <c r="L623" s="229">
        <v>0</v>
      </c>
      <c r="M623" s="229">
        <v>0</v>
      </c>
      <c r="N623" s="229">
        <v>0</v>
      </c>
      <c r="O623" s="229">
        <v>0</v>
      </c>
      <c r="P623" s="229">
        <v>0</v>
      </c>
      <c r="Q623" s="229">
        <v>0</v>
      </c>
      <c r="R623" s="229">
        <v>0</v>
      </c>
      <c r="S623" s="229">
        <v>0</v>
      </c>
      <c r="T623" s="229">
        <v>0</v>
      </c>
      <c r="U623" s="229">
        <v>0</v>
      </c>
      <c r="V623" s="229">
        <v>0</v>
      </c>
      <c r="W623" s="229">
        <v>0</v>
      </c>
      <c r="X623" s="81">
        <v>0</v>
      </c>
      <c r="Y623" s="81">
        <v>0</v>
      </c>
      <c r="Z623" s="81">
        <v>0</v>
      </c>
      <c r="AA623" s="81">
        <v>0</v>
      </c>
      <c r="AB623" s="81">
        <v>1</v>
      </c>
      <c r="AC623" s="81">
        <v>0</v>
      </c>
      <c r="AD623" s="81">
        <v>0</v>
      </c>
      <c r="AE623" s="81">
        <v>0</v>
      </c>
      <c r="AF623" s="229">
        <f t="shared" si="252"/>
        <v>1</v>
      </c>
      <c r="AG623" s="93" t="str">
        <f t="shared" si="251"/>
        <v>ok</v>
      </c>
    </row>
    <row r="624" spans="1:34" s="60" customFormat="1">
      <c r="A624" s="60" t="s">
        <v>1087</v>
      </c>
      <c r="C624" s="60" t="s">
        <v>1028</v>
      </c>
      <c r="F624" s="81">
        <v>1</v>
      </c>
      <c r="G624" s="81"/>
      <c r="H624" s="229">
        <v>0</v>
      </c>
      <c r="I624" s="229">
        <v>0</v>
      </c>
      <c r="J624" s="229">
        <v>0</v>
      </c>
      <c r="K624" s="229">
        <v>0</v>
      </c>
      <c r="L624" s="229">
        <v>0</v>
      </c>
      <c r="M624" s="229">
        <v>0</v>
      </c>
      <c r="N624" s="229">
        <v>0</v>
      </c>
      <c r="O624" s="229">
        <v>0</v>
      </c>
      <c r="P624" s="229">
        <v>0</v>
      </c>
      <c r="Q624" s="229">
        <v>0</v>
      </c>
      <c r="R624" s="229">
        <v>0</v>
      </c>
      <c r="S624" s="229">
        <v>0</v>
      </c>
      <c r="T624" s="229">
        <v>0</v>
      </c>
      <c r="U624" s="229">
        <v>0</v>
      </c>
      <c r="V624" s="229">
        <v>0</v>
      </c>
      <c r="W624" s="229">
        <v>0</v>
      </c>
      <c r="X624" s="81">
        <v>0</v>
      </c>
      <c r="Y624" s="81">
        <v>0</v>
      </c>
      <c r="Z624" s="81">
        <v>0</v>
      </c>
      <c r="AA624" s="81">
        <v>0</v>
      </c>
      <c r="AB624" s="81">
        <v>0</v>
      </c>
      <c r="AC624" s="81">
        <v>0</v>
      </c>
      <c r="AD624" s="81">
        <v>1</v>
      </c>
      <c r="AE624" s="81">
        <v>0</v>
      </c>
      <c r="AF624" s="229">
        <f t="shared" si="252"/>
        <v>1</v>
      </c>
      <c r="AG624" s="93" t="str">
        <f t="shared" si="251"/>
        <v>ok</v>
      </c>
    </row>
    <row r="625" spans="1:33" s="60" customFormat="1">
      <c r="A625" s="60" t="s">
        <v>1088</v>
      </c>
      <c r="C625" s="60" t="s">
        <v>1038</v>
      </c>
      <c r="F625" s="81">
        <v>1</v>
      </c>
      <c r="G625" s="81"/>
      <c r="H625" s="229">
        <v>0</v>
      </c>
      <c r="I625" s="229">
        <v>0</v>
      </c>
      <c r="J625" s="229">
        <v>0</v>
      </c>
      <c r="K625" s="229">
        <v>0</v>
      </c>
      <c r="L625" s="229">
        <v>0</v>
      </c>
      <c r="M625" s="229">
        <v>0</v>
      </c>
      <c r="N625" s="229">
        <v>0</v>
      </c>
      <c r="O625" s="229">
        <v>0</v>
      </c>
      <c r="P625" s="229">
        <v>0</v>
      </c>
      <c r="Q625" s="229">
        <v>0</v>
      </c>
      <c r="R625" s="229">
        <v>0</v>
      </c>
      <c r="S625" s="229">
        <v>0</v>
      </c>
      <c r="T625" s="229">
        <v>0</v>
      </c>
      <c r="U625" s="229">
        <v>0</v>
      </c>
      <c r="V625" s="229">
        <v>0</v>
      </c>
      <c r="W625" s="229">
        <v>0</v>
      </c>
      <c r="X625" s="81">
        <v>0</v>
      </c>
      <c r="Y625" s="81">
        <v>0</v>
      </c>
      <c r="Z625" s="81">
        <v>0</v>
      </c>
      <c r="AA625" s="81">
        <v>0</v>
      </c>
      <c r="AB625" s="81">
        <v>0</v>
      </c>
      <c r="AC625" s="81">
        <v>0</v>
      </c>
      <c r="AD625" s="81">
        <v>1</v>
      </c>
      <c r="AE625" s="81">
        <v>0</v>
      </c>
      <c r="AF625" s="229">
        <f t="shared" si="252"/>
        <v>1</v>
      </c>
      <c r="AG625" s="93" t="str">
        <f t="shared" si="251"/>
        <v>ok</v>
      </c>
    </row>
    <row r="626" spans="1:33" s="60" customFormat="1" ht="15">
      <c r="A626" s="60" t="s">
        <v>1130</v>
      </c>
      <c r="C626" s="60" t="s">
        <v>1162</v>
      </c>
      <c r="F626" s="81">
        <v>1</v>
      </c>
      <c r="G626" s="81"/>
      <c r="H626" s="229">
        <v>0</v>
      </c>
      <c r="I626" s="229">
        <v>0</v>
      </c>
      <c r="J626" s="229">
        <v>0</v>
      </c>
      <c r="K626" s="229">
        <v>0</v>
      </c>
      <c r="L626" s="229">
        <v>0</v>
      </c>
      <c r="M626" s="229">
        <v>0</v>
      </c>
      <c r="N626" s="230">
        <v>1</v>
      </c>
      <c r="O626" s="230">
        <v>0</v>
      </c>
      <c r="P626" s="230">
        <v>0</v>
      </c>
      <c r="Q626" s="229">
        <v>0</v>
      </c>
      <c r="R626" s="229">
        <v>0</v>
      </c>
      <c r="S626" s="229">
        <v>0</v>
      </c>
      <c r="T626" s="229">
        <v>0</v>
      </c>
      <c r="U626" s="229">
        <v>0</v>
      </c>
      <c r="V626" s="229">
        <v>0</v>
      </c>
      <c r="W626" s="229">
        <v>0</v>
      </c>
      <c r="X626" s="81">
        <v>0</v>
      </c>
      <c r="Y626" s="81">
        <v>0</v>
      </c>
      <c r="Z626" s="81">
        <v>0</v>
      </c>
      <c r="AA626" s="81">
        <v>0</v>
      </c>
      <c r="AB626" s="81">
        <v>0</v>
      </c>
      <c r="AC626" s="81">
        <v>0</v>
      </c>
      <c r="AD626" s="81">
        <v>0</v>
      </c>
      <c r="AE626" s="81">
        <v>0</v>
      </c>
      <c r="AF626" s="229">
        <f t="shared" ref="AF626:AF639" si="253">SUM(H626:AE626)</f>
        <v>1</v>
      </c>
      <c r="AG626" s="93" t="str">
        <f t="shared" si="251"/>
        <v>ok</v>
      </c>
    </row>
    <row r="627" spans="1:33" s="60" customFormat="1">
      <c r="A627" s="60" t="s">
        <v>41</v>
      </c>
      <c r="C627" s="60" t="s">
        <v>42</v>
      </c>
      <c r="F627" s="81">
        <v>1</v>
      </c>
      <c r="G627" s="81"/>
      <c r="H627" s="229">
        <v>0</v>
      </c>
      <c r="I627" s="229">
        <v>0</v>
      </c>
      <c r="J627" s="229">
        <v>0</v>
      </c>
      <c r="K627" s="229">
        <v>0</v>
      </c>
      <c r="L627" s="229">
        <v>0</v>
      </c>
      <c r="M627" s="229">
        <v>0</v>
      </c>
      <c r="N627" s="229">
        <v>0</v>
      </c>
      <c r="O627" s="229">
        <v>0</v>
      </c>
      <c r="P627" s="229">
        <v>0</v>
      </c>
      <c r="Q627" s="229">
        <v>0</v>
      </c>
      <c r="R627" s="229">
        <v>0</v>
      </c>
      <c r="S627" s="229">
        <v>0</v>
      </c>
      <c r="T627" s="229">
        <v>0</v>
      </c>
      <c r="U627" s="229">
        <v>0</v>
      </c>
      <c r="V627" s="229">
        <v>0</v>
      </c>
      <c r="W627" s="229">
        <v>0</v>
      </c>
      <c r="X627" s="81">
        <v>0</v>
      </c>
      <c r="Y627" s="81">
        <v>0</v>
      </c>
      <c r="Z627" s="81">
        <v>0</v>
      </c>
      <c r="AA627" s="81">
        <v>0</v>
      </c>
      <c r="AB627" s="81">
        <v>0</v>
      </c>
      <c r="AC627" s="81">
        <v>0</v>
      </c>
      <c r="AD627" s="81">
        <v>0</v>
      </c>
      <c r="AE627" s="81">
        <v>1</v>
      </c>
      <c r="AF627" s="229">
        <f t="shared" si="253"/>
        <v>1</v>
      </c>
      <c r="AG627" s="93" t="str">
        <f t="shared" si="251"/>
        <v>ok</v>
      </c>
    </row>
    <row r="628" spans="1:33" s="60" customFormat="1" ht="15">
      <c r="A628" s="60" t="s">
        <v>639</v>
      </c>
      <c r="C628" s="60" t="s">
        <v>638</v>
      </c>
      <c r="F628" s="81">
        <v>1</v>
      </c>
      <c r="G628" s="81"/>
      <c r="H628" s="230">
        <v>0.34380130494917077</v>
      </c>
      <c r="I628" s="230">
        <v>0.36015362760499087</v>
      </c>
      <c r="J628" s="230">
        <v>0.29604506744583836</v>
      </c>
      <c r="K628" s="229">
        <v>0</v>
      </c>
      <c r="L628" s="229">
        <v>0</v>
      </c>
      <c r="M628" s="229">
        <v>0</v>
      </c>
      <c r="N628" s="229">
        <v>0</v>
      </c>
      <c r="O628" s="229">
        <v>0</v>
      </c>
      <c r="P628" s="229">
        <v>0</v>
      </c>
      <c r="Q628" s="229">
        <v>0</v>
      </c>
      <c r="R628" s="229">
        <v>0</v>
      </c>
      <c r="S628" s="229">
        <v>0</v>
      </c>
      <c r="T628" s="229">
        <v>0</v>
      </c>
      <c r="U628" s="229">
        <v>0</v>
      </c>
      <c r="V628" s="229">
        <v>0</v>
      </c>
      <c r="W628" s="229">
        <v>0</v>
      </c>
      <c r="X628" s="81">
        <v>0</v>
      </c>
      <c r="Y628" s="81">
        <v>0</v>
      </c>
      <c r="Z628" s="81">
        <v>0</v>
      </c>
      <c r="AA628" s="81">
        <v>0</v>
      </c>
      <c r="AB628" s="81">
        <v>0</v>
      </c>
      <c r="AC628" s="81">
        <v>0</v>
      </c>
      <c r="AD628" s="81">
        <v>0</v>
      </c>
      <c r="AE628" s="81">
        <v>0</v>
      </c>
      <c r="AF628" s="229">
        <f t="shared" si="253"/>
        <v>1</v>
      </c>
      <c r="AG628" s="93" t="str">
        <f t="shared" si="251"/>
        <v>ok</v>
      </c>
    </row>
    <row r="629" spans="1:33" s="60" customFormat="1">
      <c r="A629" s="60" t="s">
        <v>644</v>
      </c>
      <c r="C629" s="60" t="s">
        <v>645</v>
      </c>
      <c r="F629" s="81">
        <v>1</v>
      </c>
      <c r="G629" s="81"/>
      <c r="H629" s="229">
        <v>0</v>
      </c>
      <c r="I629" s="229">
        <v>0</v>
      </c>
      <c r="J629" s="229">
        <v>0</v>
      </c>
      <c r="K629" s="229">
        <v>1</v>
      </c>
      <c r="L629" s="229">
        <v>0</v>
      </c>
      <c r="M629" s="229">
        <v>0</v>
      </c>
      <c r="N629" s="229">
        <v>0</v>
      </c>
      <c r="O629" s="229">
        <v>0</v>
      </c>
      <c r="P629" s="229">
        <v>0</v>
      </c>
      <c r="Q629" s="229">
        <v>0</v>
      </c>
      <c r="R629" s="229">
        <v>0</v>
      </c>
      <c r="S629" s="229">
        <v>0</v>
      </c>
      <c r="T629" s="229">
        <v>0</v>
      </c>
      <c r="U629" s="229">
        <v>0</v>
      </c>
      <c r="V629" s="229">
        <v>0</v>
      </c>
      <c r="W629" s="229">
        <v>0</v>
      </c>
      <c r="X629" s="81">
        <v>0</v>
      </c>
      <c r="Y629" s="81">
        <v>0</v>
      </c>
      <c r="Z629" s="81">
        <v>0</v>
      </c>
      <c r="AA629" s="81">
        <v>0</v>
      </c>
      <c r="AB629" s="81">
        <v>0</v>
      </c>
      <c r="AC629" s="81">
        <v>0</v>
      </c>
      <c r="AD629" s="81">
        <v>0</v>
      </c>
      <c r="AE629" s="81">
        <v>0</v>
      </c>
      <c r="AF629" s="229">
        <f t="shared" si="253"/>
        <v>1</v>
      </c>
      <c r="AG629" s="93" t="str">
        <f t="shared" si="251"/>
        <v>ok</v>
      </c>
    </row>
    <row r="630" spans="1:33" s="60" customFormat="1">
      <c r="A630" s="60" t="s">
        <v>640</v>
      </c>
      <c r="C630" s="60" t="s">
        <v>641</v>
      </c>
      <c r="F630" s="81">
        <v>1</v>
      </c>
      <c r="G630" s="81"/>
      <c r="H630" s="229">
        <v>0</v>
      </c>
      <c r="I630" s="229">
        <v>0</v>
      </c>
      <c r="J630" s="229">
        <v>0</v>
      </c>
      <c r="K630" s="229">
        <v>1</v>
      </c>
      <c r="L630" s="229">
        <v>0</v>
      </c>
      <c r="M630" s="229">
        <v>0</v>
      </c>
      <c r="N630" s="229">
        <v>0</v>
      </c>
      <c r="O630" s="229">
        <v>0</v>
      </c>
      <c r="P630" s="229">
        <v>0</v>
      </c>
      <c r="Q630" s="229">
        <v>0</v>
      </c>
      <c r="R630" s="229">
        <v>0</v>
      </c>
      <c r="S630" s="229">
        <v>0</v>
      </c>
      <c r="T630" s="229">
        <v>0</v>
      </c>
      <c r="U630" s="229">
        <v>0</v>
      </c>
      <c r="V630" s="229">
        <v>0</v>
      </c>
      <c r="W630" s="229">
        <v>0</v>
      </c>
      <c r="X630" s="81">
        <v>0</v>
      </c>
      <c r="Y630" s="81">
        <v>0</v>
      </c>
      <c r="Z630" s="81">
        <v>0</v>
      </c>
      <c r="AA630" s="81">
        <v>0</v>
      </c>
      <c r="AB630" s="81">
        <v>0</v>
      </c>
      <c r="AC630" s="81">
        <v>0</v>
      </c>
      <c r="AD630" s="81">
        <v>0</v>
      </c>
      <c r="AE630" s="81">
        <v>0</v>
      </c>
      <c r="AF630" s="229">
        <f t="shared" si="253"/>
        <v>1</v>
      </c>
      <c r="AG630" s="93" t="str">
        <f t="shared" si="251"/>
        <v>ok</v>
      </c>
    </row>
    <row r="631" spans="1:33" s="60" customFormat="1">
      <c r="A631" s="60" t="s">
        <v>642</v>
      </c>
      <c r="C631" s="60" t="s">
        <v>643</v>
      </c>
      <c r="F631" s="79">
        <f>F365+F366+F368+F369+F370</f>
        <v>14184336</v>
      </c>
      <c r="G631" s="112"/>
      <c r="H631" s="79">
        <f>H365+H366+H368+H369+H370</f>
        <v>4124450.8605688815</v>
      </c>
      <c r="I631" s="79">
        <f t="shared" ref="I631:AE631" si="254">I365+I366+I368+I369+I370</f>
        <v>4320623.330769565</v>
      </c>
      <c r="J631" s="79">
        <f t="shared" si="254"/>
        <v>3551537.808661554</v>
      </c>
      <c r="K631" s="79">
        <f t="shared" si="254"/>
        <v>2187724</v>
      </c>
      <c r="L631" s="82">
        <f t="shared" si="254"/>
        <v>0</v>
      </c>
      <c r="M631" s="82">
        <f t="shared" si="254"/>
        <v>0</v>
      </c>
      <c r="N631" s="82">
        <f t="shared" si="254"/>
        <v>0</v>
      </c>
      <c r="O631" s="82">
        <f t="shared" si="254"/>
        <v>0</v>
      </c>
      <c r="P631" s="82">
        <f t="shared" si="254"/>
        <v>0</v>
      </c>
      <c r="Q631" s="82">
        <f t="shared" si="254"/>
        <v>0</v>
      </c>
      <c r="R631" s="82">
        <f t="shared" si="254"/>
        <v>0</v>
      </c>
      <c r="S631" s="82">
        <f t="shared" si="254"/>
        <v>0</v>
      </c>
      <c r="T631" s="82">
        <f t="shared" si="254"/>
        <v>0</v>
      </c>
      <c r="U631" s="82">
        <f t="shared" si="254"/>
        <v>0</v>
      </c>
      <c r="V631" s="82">
        <f t="shared" si="254"/>
        <v>0</v>
      </c>
      <c r="W631" s="82">
        <f t="shared" si="254"/>
        <v>0</v>
      </c>
      <c r="X631" s="82">
        <f t="shared" si="254"/>
        <v>0</v>
      </c>
      <c r="Y631" s="82">
        <f t="shared" si="254"/>
        <v>0</v>
      </c>
      <c r="Z631" s="82">
        <f t="shared" si="254"/>
        <v>0</v>
      </c>
      <c r="AA631" s="82">
        <f t="shared" si="254"/>
        <v>0</v>
      </c>
      <c r="AB631" s="82">
        <f t="shared" si="254"/>
        <v>0</v>
      </c>
      <c r="AC631" s="82">
        <f t="shared" si="254"/>
        <v>0</v>
      </c>
      <c r="AD631" s="82">
        <f t="shared" si="254"/>
        <v>0</v>
      </c>
      <c r="AE631" s="82">
        <f t="shared" si="254"/>
        <v>0</v>
      </c>
      <c r="AF631" s="82">
        <f t="shared" si="253"/>
        <v>14184336</v>
      </c>
      <c r="AG631" s="93" t="str">
        <f t="shared" si="251"/>
        <v>ok</v>
      </c>
    </row>
    <row r="632" spans="1:33" s="60" customFormat="1" ht="15">
      <c r="A632" s="60" t="s">
        <v>646</v>
      </c>
      <c r="C632" s="60" t="s">
        <v>646</v>
      </c>
      <c r="F632" s="81">
        <v>1</v>
      </c>
      <c r="G632" s="81"/>
      <c r="H632" s="230">
        <f>H628</f>
        <v>0.34380130494917077</v>
      </c>
      <c r="I632" s="230">
        <f>I628</f>
        <v>0.36015362760499087</v>
      </c>
      <c r="J632" s="230">
        <f>J628</f>
        <v>0.29604506744583836</v>
      </c>
      <c r="K632" s="229">
        <v>0</v>
      </c>
      <c r="L632" s="229">
        <v>0</v>
      </c>
      <c r="M632" s="229">
        <v>0</v>
      </c>
      <c r="N632" s="229">
        <v>0</v>
      </c>
      <c r="O632" s="229">
        <v>0</v>
      </c>
      <c r="P632" s="229">
        <v>0</v>
      </c>
      <c r="Q632" s="229">
        <v>0</v>
      </c>
      <c r="R632" s="229">
        <v>0</v>
      </c>
      <c r="S632" s="229">
        <v>0</v>
      </c>
      <c r="T632" s="229">
        <v>0</v>
      </c>
      <c r="U632" s="229">
        <v>0</v>
      </c>
      <c r="V632" s="229">
        <v>0</v>
      </c>
      <c r="W632" s="229">
        <v>0</v>
      </c>
      <c r="X632" s="81">
        <v>0</v>
      </c>
      <c r="Y632" s="81">
        <v>0</v>
      </c>
      <c r="Z632" s="81">
        <v>0</v>
      </c>
      <c r="AA632" s="81">
        <v>0</v>
      </c>
      <c r="AB632" s="81">
        <v>0</v>
      </c>
      <c r="AC632" s="81">
        <v>0</v>
      </c>
      <c r="AD632" s="81">
        <v>0</v>
      </c>
      <c r="AE632" s="81">
        <v>0</v>
      </c>
      <c r="AF632" s="229">
        <f t="shared" si="253"/>
        <v>1</v>
      </c>
      <c r="AG632" s="93" t="str">
        <f t="shared" si="251"/>
        <v>ok</v>
      </c>
    </row>
    <row r="633" spans="1:33" s="60" customFormat="1">
      <c r="A633" s="60" t="s">
        <v>647</v>
      </c>
      <c r="C633" s="60" t="s">
        <v>648</v>
      </c>
      <c r="F633" s="79">
        <f>F376+F377+F378+F379</f>
        <v>7005990</v>
      </c>
      <c r="G633" s="112"/>
      <c r="H633" s="79">
        <f>H376+H377+H378+H379</f>
        <v>0</v>
      </c>
      <c r="I633" s="79">
        <f t="shared" ref="I633:AE633" si="255">I376+I377+I378+I379</f>
        <v>0</v>
      </c>
      <c r="J633" s="79">
        <f t="shared" si="255"/>
        <v>0</v>
      </c>
      <c r="K633" s="79">
        <f t="shared" si="255"/>
        <v>7005990</v>
      </c>
      <c r="L633" s="82">
        <f t="shared" si="255"/>
        <v>0</v>
      </c>
      <c r="M633" s="82">
        <f t="shared" si="255"/>
        <v>0</v>
      </c>
      <c r="N633" s="82">
        <f t="shared" si="255"/>
        <v>0</v>
      </c>
      <c r="O633" s="82">
        <f t="shared" si="255"/>
        <v>0</v>
      </c>
      <c r="P633" s="82">
        <f t="shared" si="255"/>
        <v>0</v>
      </c>
      <c r="Q633" s="82">
        <f t="shared" si="255"/>
        <v>0</v>
      </c>
      <c r="R633" s="82">
        <f t="shared" si="255"/>
        <v>0</v>
      </c>
      <c r="S633" s="82">
        <f t="shared" si="255"/>
        <v>0</v>
      </c>
      <c r="T633" s="82">
        <f t="shared" si="255"/>
        <v>0</v>
      </c>
      <c r="U633" s="82">
        <f t="shared" si="255"/>
        <v>0</v>
      </c>
      <c r="V633" s="82">
        <f t="shared" si="255"/>
        <v>0</v>
      </c>
      <c r="W633" s="82">
        <f t="shared" si="255"/>
        <v>0</v>
      </c>
      <c r="X633" s="82">
        <f t="shared" si="255"/>
        <v>0</v>
      </c>
      <c r="Y633" s="82">
        <f t="shared" si="255"/>
        <v>0</v>
      </c>
      <c r="Z633" s="82">
        <f t="shared" si="255"/>
        <v>0</v>
      </c>
      <c r="AA633" s="82">
        <f t="shared" si="255"/>
        <v>0</v>
      </c>
      <c r="AB633" s="82">
        <f t="shared" si="255"/>
        <v>0</v>
      </c>
      <c r="AC633" s="82">
        <f t="shared" si="255"/>
        <v>0</v>
      </c>
      <c r="AD633" s="82">
        <f t="shared" si="255"/>
        <v>0</v>
      </c>
      <c r="AE633" s="82">
        <f t="shared" si="255"/>
        <v>0</v>
      </c>
      <c r="AF633" s="82">
        <f t="shared" si="253"/>
        <v>7005990</v>
      </c>
      <c r="AG633" s="93" t="str">
        <f t="shared" si="251"/>
        <v>ok</v>
      </c>
    </row>
    <row r="634" spans="1:33" s="60" customFormat="1">
      <c r="A634" s="60" t="s">
        <v>649</v>
      </c>
      <c r="C634" s="60" t="s">
        <v>650</v>
      </c>
      <c r="F634" s="79">
        <f>F387+F388+F389+F390+F391</f>
        <v>240588</v>
      </c>
      <c r="G634" s="112"/>
      <c r="H634" s="79">
        <f t="shared" ref="H634:M634" si="256">H387+H388+H389+H390+H391</f>
        <v>82714.468355111108</v>
      </c>
      <c r="I634" s="79">
        <f t="shared" si="256"/>
        <v>86648.640958229546</v>
      </c>
      <c r="J634" s="79">
        <f t="shared" si="256"/>
        <v>71224.890686659361</v>
      </c>
      <c r="K634" s="79">
        <f t="shared" si="256"/>
        <v>0</v>
      </c>
      <c r="L634" s="82">
        <f t="shared" si="256"/>
        <v>0</v>
      </c>
      <c r="M634" s="82">
        <f t="shared" si="256"/>
        <v>0</v>
      </c>
      <c r="N634" s="82">
        <f>N387+N388+N389+N390+N391</f>
        <v>0</v>
      </c>
      <c r="O634" s="82">
        <f>O387+O388+O389+O390+O391</f>
        <v>0</v>
      </c>
      <c r="P634" s="82">
        <f>P387+P388+P389+P390+P391</f>
        <v>0</v>
      </c>
      <c r="Q634" s="82">
        <f t="shared" ref="Q634:AB634" si="257">Q387+Q388+Q389+Q390+Q391</f>
        <v>0</v>
      </c>
      <c r="R634" s="82">
        <f t="shared" si="257"/>
        <v>0</v>
      </c>
      <c r="S634" s="82">
        <f t="shared" si="257"/>
        <v>0</v>
      </c>
      <c r="T634" s="82">
        <f t="shared" si="257"/>
        <v>0</v>
      </c>
      <c r="U634" s="82">
        <f t="shared" si="257"/>
        <v>0</v>
      </c>
      <c r="V634" s="82">
        <f t="shared" si="257"/>
        <v>0</v>
      </c>
      <c r="W634" s="82">
        <f t="shared" si="257"/>
        <v>0</v>
      </c>
      <c r="X634" s="82">
        <f t="shared" si="257"/>
        <v>0</v>
      </c>
      <c r="Y634" s="82">
        <f t="shared" si="257"/>
        <v>0</v>
      </c>
      <c r="Z634" s="82">
        <f t="shared" si="257"/>
        <v>0</v>
      </c>
      <c r="AA634" s="82">
        <f t="shared" si="257"/>
        <v>0</v>
      </c>
      <c r="AB634" s="82">
        <f t="shared" si="257"/>
        <v>0</v>
      </c>
      <c r="AC634" s="82">
        <f>AC387+AC388+AC389+AC390+AC391</f>
        <v>0</v>
      </c>
      <c r="AD634" s="82">
        <f>AD387+AD388+AD389+AD390+AD391</f>
        <v>0</v>
      </c>
      <c r="AE634" s="82">
        <f>AE387+AE388+AE389+AE390+AE391</f>
        <v>0</v>
      </c>
      <c r="AF634" s="82">
        <f t="shared" si="253"/>
        <v>240588</v>
      </c>
      <c r="AG634" s="93" t="str">
        <f t="shared" si="251"/>
        <v>ok</v>
      </c>
    </row>
    <row r="635" spans="1:33" s="60" customFormat="1">
      <c r="A635" s="60" t="s">
        <v>656</v>
      </c>
      <c r="C635" s="60" t="s">
        <v>657</v>
      </c>
      <c r="F635" s="79">
        <f>F397+F398+F399+F400</f>
        <v>244786</v>
      </c>
      <c r="G635" s="112"/>
      <c r="H635" s="79">
        <f>H397+H398+H399+H400</f>
        <v>32229.997133764962</v>
      </c>
      <c r="I635" s="79">
        <f t="shared" ref="I635:AE635" si="258">I397+I398+I399+I400</f>
        <v>33762.961973457474</v>
      </c>
      <c r="J635" s="79">
        <f t="shared" si="258"/>
        <v>27753.040892777564</v>
      </c>
      <c r="K635" s="79">
        <f t="shared" si="258"/>
        <v>151040</v>
      </c>
      <c r="L635" s="82">
        <f t="shared" si="258"/>
        <v>0</v>
      </c>
      <c r="M635" s="82">
        <f t="shared" si="258"/>
        <v>0</v>
      </c>
      <c r="N635" s="82">
        <f t="shared" si="258"/>
        <v>0</v>
      </c>
      <c r="O635" s="82">
        <f t="shared" si="258"/>
        <v>0</v>
      </c>
      <c r="P635" s="82">
        <f t="shared" si="258"/>
        <v>0</v>
      </c>
      <c r="Q635" s="82">
        <f t="shared" si="258"/>
        <v>0</v>
      </c>
      <c r="R635" s="82">
        <f t="shared" si="258"/>
        <v>0</v>
      </c>
      <c r="S635" s="82">
        <f t="shared" si="258"/>
        <v>0</v>
      </c>
      <c r="T635" s="82">
        <f t="shared" si="258"/>
        <v>0</v>
      </c>
      <c r="U635" s="82">
        <f t="shared" si="258"/>
        <v>0</v>
      </c>
      <c r="V635" s="82">
        <f t="shared" si="258"/>
        <v>0</v>
      </c>
      <c r="W635" s="82">
        <f t="shared" si="258"/>
        <v>0</v>
      </c>
      <c r="X635" s="82">
        <f t="shared" si="258"/>
        <v>0</v>
      </c>
      <c r="Y635" s="82">
        <f t="shared" si="258"/>
        <v>0</v>
      </c>
      <c r="Z635" s="82">
        <f t="shared" si="258"/>
        <v>0</v>
      </c>
      <c r="AA635" s="82">
        <f t="shared" si="258"/>
        <v>0</v>
      </c>
      <c r="AB635" s="82">
        <f t="shared" si="258"/>
        <v>0</v>
      </c>
      <c r="AC635" s="82">
        <f t="shared" si="258"/>
        <v>0</v>
      </c>
      <c r="AD635" s="82">
        <f t="shared" si="258"/>
        <v>0</v>
      </c>
      <c r="AE635" s="82">
        <f t="shared" si="258"/>
        <v>0</v>
      </c>
      <c r="AF635" s="82">
        <f t="shared" si="253"/>
        <v>244786</v>
      </c>
      <c r="AG635" s="93" t="str">
        <f t="shared" si="251"/>
        <v>ok</v>
      </c>
    </row>
    <row r="636" spans="1:33" s="60" customFormat="1">
      <c r="A636" s="60" t="s">
        <v>659</v>
      </c>
      <c r="C636" s="60" t="s">
        <v>658</v>
      </c>
      <c r="F636" s="79">
        <f>F454+F455+F456+F457+F458+F459+F460+F461+F462+F463</f>
        <v>8611788</v>
      </c>
      <c r="G636" s="112"/>
      <c r="H636" s="79">
        <f>H454+H455+H456+H457+H458+H459+H460+H461+H462+H463</f>
        <v>0</v>
      </c>
      <c r="I636" s="79">
        <f t="shared" ref="I636:AE636" si="259">I454+I455+I456+I457+I458+I459+I460+I461+I462+I463</f>
        <v>0</v>
      </c>
      <c r="J636" s="79">
        <f t="shared" si="259"/>
        <v>0</v>
      </c>
      <c r="K636" s="79">
        <f t="shared" si="259"/>
        <v>0</v>
      </c>
      <c r="L636" s="82">
        <f t="shared" si="259"/>
        <v>0</v>
      </c>
      <c r="M636" s="82">
        <f t="shared" si="259"/>
        <v>0</v>
      </c>
      <c r="N636" s="82">
        <f t="shared" si="259"/>
        <v>0</v>
      </c>
      <c r="O636" s="82">
        <f t="shared" si="259"/>
        <v>0</v>
      </c>
      <c r="P636" s="82">
        <f t="shared" si="259"/>
        <v>0</v>
      </c>
      <c r="Q636" s="82">
        <f t="shared" si="259"/>
        <v>0</v>
      </c>
      <c r="R636" s="82">
        <f t="shared" si="259"/>
        <v>1597876.7869170245</v>
      </c>
      <c r="S636" s="82">
        <f t="shared" si="259"/>
        <v>0</v>
      </c>
      <c r="T636" s="82">
        <f t="shared" si="259"/>
        <v>868087.1728041803</v>
      </c>
      <c r="U636" s="82">
        <f t="shared" si="259"/>
        <v>1319488.7990259128</v>
      </c>
      <c r="V636" s="82">
        <f t="shared" si="259"/>
        <v>278890.65091015655</v>
      </c>
      <c r="W636" s="82">
        <f t="shared" si="259"/>
        <v>412660.24099335447</v>
      </c>
      <c r="X636" s="82">
        <f t="shared" si="259"/>
        <v>112092.53557322365</v>
      </c>
      <c r="Y636" s="82">
        <f t="shared" si="259"/>
        <v>78392.17862883849</v>
      </c>
      <c r="Z636" s="82">
        <f t="shared" si="259"/>
        <v>38931.021656189172</v>
      </c>
      <c r="AA636" s="82">
        <f t="shared" si="259"/>
        <v>3781629.8977025673</v>
      </c>
      <c r="AB636" s="82">
        <f t="shared" si="259"/>
        <v>123738.71578855267</v>
      </c>
      <c r="AC636" s="82">
        <f t="shared" si="259"/>
        <v>0</v>
      </c>
      <c r="AD636" s="82">
        <f t="shared" si="259"/>
        <v>0</v>
      </c>
      <c r="AE636" s="82">
        <f t="shared" si="259"/>
        <v>0</v>
      </c>
      <c r="AF636" s="82">
        <f t="shared" si="253"/>
        <v>8611788</v>
      </c>
      <c r="AG636" s="93" t="str">
        <f t="shared" si="251"/>
        <v>ok</v>
      </c>
    </row>
    <row r="637" spans="1:33" s="60" customFormat="1">
      <c r="A637" s="60" t="s">
        <v>660</v>
      </c>
      <c r="C637" s="60" t="s">
        <v>661</v>
      </c>
      <c r="F637" s="79">
        <f>F475+F476+F477+F478+F479+F480+F481+F482</f>
        <v>3271140</v>
      </c>
      <c r="G637" s="112"/>
      <c r="H637" s="79">
        <f>H475+H476+H477+H478+H479+H480+H481+H482</f>
        <v>0</v>
      </c>
      <c r="I637" s="79">
        <f t="shared" ref="I637:AE637" si="260">I475+I476+I477+I478+I479+I480+I481+I482</f>
        <v>0</v>
      </c>
      <c r="J637" s="79">
        <f t="shared" si="260"/>
        <v>0</v>
      </c>
      <c r="K637" s="79">
        <f t="shared" si="260"/>
        <v>0</v>
      </c>
      <c r="L637" s="82">
        <f t="shared" si="260"/>
        <v>0</v>
      </c>
      <c r="M637" s="82">
        <f t="shared" si="260"/>
        <v>0</v>
      </c>
      <c r="N637" s="82">
        <f t="shared" si="260"/>
        <v>0</v>
      </c>
      <c r="O637" s="82">
        <f t="shared" si="260"/>
        <v>0</v>
      </c>
      <c r="P637" s="82">
        <f t="shared" si="260"/>
        <v>0</v>
      </c>
      <c r="Q637" s="82">
        <f t="shared" si="260"/>
        <v>0</v>
      </c>
      <c r="R637" s="82">
        <f t="shared" si="260"/>
        <v>199000</v>
      </c>
      <c r="S637" s="82">
        <f t="shared" si="260"/>
        <v>0</v>
      </c>
      <c r="T637" s="82">
        <f t="shared" si="260"/>
        <v>898402.37669434003</v>
      </c>
      <c r="U637" s="82">
        <f t="shared" si="260"/>
        <v>1348157.25470566</v>
      </c>
      <c r="V637" s="82">
        <f t="shared" si="260"/>
        <v>299940.08960566</v>
      </c>
      <c r="W637" s="82">
        <f t="shared" si="260"/>
        <v>441123.27899434004</v>
      </c>
      <c r="X637" s="82">
        <f t="shared" si="260"/>
        <v>45733.305287180439</v>
      </c>
      <c r="Y637" s="82">
        <f t="shared" si="260"/>
        <v>31983.694712819564</v>
      </c>
      <c r="Z637" s="82">
        <f t="shared" si="260"/>
        <v>0</v>
      </c>
      <c r="AA637" s="82">
        <f t="shared" si="260"/>
        <v>0</v>
      </c>
      <c r="AB637" s="82">
        <f t="shared" si="260"/>
        <v>6800</v>
      </c>
      <c r="AC637" s="82">
        <f t="shared" si="260"/>
        <v>0</v>
      </c>
      <c r="AD637" s="82">
        <f t="shared" si="260"/>
        <v>0</v>
      </c>
      <c r="AE637" s="82">
        <f t="shared" si="260"/>
        <v>0</v>
      </c>
      <c r="AF637" s="82">
        <f t="shared" si="253"/>
        <v>3271140.0000000005</v>
      </c>
      <c r="AG637" s="93" t="str">
        <f t="shared" si="251"/>
        <v>ok</v>
      </c>
    </row>
    <row r="638" spans="1:33" s="60" customFormat="1">
      <c r="A638" s="60" t="s">
        <v>1025</v>
      </c>
      <c r="C638" s="60" t="s">
        <v>662</v>
      </c>
      <c r="F638" s="81">
        <v>1</v>
      </c>
      <c r="G638" s="81"/>
      <c r="H638" s="229">
        <v>0</v>
      </c>
      <c r="I638" s="229">
        <v>0</v>
      </c>
      <c r="J638" s="229">
        <v>0</v>
      </c>
      <c r="K638" s="229">
        <v>0</v>
      </c>
      <c r="L638" s="229">
        <v>0</v>
      </c>
      <c r="M638" s="229">
        <v>0</v>
      </c>
      <c r="N638" s="229">
        <v>0</v>
      </c>
      <c r="O638" s="229">
        <v>0</v>
      </c>
      <c r="P638" s="229">
        <v>0</v>
      </c>
      <c r="Q638" s="229">
        <v>0</v>
      </c>
      <c r="R638" s="229">
        <v>0</v>
      </c>
      <c r="S638" s="229">
        <v>0</v>
      </c>
      <c r="T638" s="229">
        <v>0</v>
      </c>
      <c r="U638" s="229">
        <v>0</v>
      </c>
      <c r="V638" s="229">
        <v>0</v>
      </c>
      <c r="W638" s="229">
        <v>0</v>
      </c>
      <c r="X638" s="81">
        <v>0</v>
      </c>
      <c r="Y638" s="81">
        <v>0</v>
      </c>
      <c r="Z638" s="81">
        <v>0</v>
      </c>
      <c r="AA638" s="81">
        <v>0</v>
      </c>
      <c r="AB638" s="81">
        <v>0</v>
      </c>
      <c r="AC638" s="81">
        <v>1</v>
      </c>
      <c r="AD638" s="81">
        <v>0</v>
      </c>
      <c r="AE638" s="81">
        <v>0</v>
      </c>
      <c r="AF638" s="229">
        <f t="shared" si="253"/>
        <v>1</v>
      </c>
      <c r="AG638" s="93" t="str">
        <f t="shared" si="251"/>
        <v>ok</v>
      </c>
    </row>
    <row r="639" spans="1:33" s="60" customFormat="1">
      <c r="A639" s="60" t="s">
        <v>1036</v>
      </c>
      <c r="C639" s="60" t="s">
        <v>663</v>
      </c>
      <c r="F639" s="81">
        <v>1</v>
      </c>
      <c r="G639" s="81"/>
      <c r="H639" s="229">
        <v>0</v>
      </c>
      <c r="I639" s="229">
        <v>0</v>
      </c>
      <c r="J639" s="229">
        <v>0</v>
      </c>
      <c r="K639" s="229">
        <v>0</v>
      </c>
      <c r="L639" s="229">
        <v>0</v>
      </c>
      <c r="M639" s="229">
        <v>0</v>
      </c>
      <c r="N639" s="229">
        <v>0</v>
      </c>
      <c r="O639" s="229">
        <v>0</v>
      </c>
      <c r="P639" s="229">
        <v>0</v>
      </c>
      <c r="Q639" s="229">
        <v>0</v>
      </c>
      <c r="R639" s="229">
        <v>0</v>
      </c>
      <c r="S639" s="229">
        <v>0</v>
      </c>
      <c r="T639" s="229">
        <v>0</v>
      </c>
      <c r="U639" s="229">
        <v>0</v>
      </c>
      <c r="V639" s="229">
        <v>0</v>
      </c>
      <c r="W639" s="229">
        <v>0</v>
      </c>
      <c r="X639" s="81">
        <v>0</v>
      </c>
      <c r="Y639" s="81">
        <v>0</v>
      </c>
      <c r="Z639" s="81">
        <v>0</v>
      </c>
      <c r="AA639" s="81">
        <v>0</v>
      </c>
      <c r="AB639" s="81">
        <v>0</v>
      </c>
      <c r="AC639" s="81">
        <v>0</v>
      </c>
      <c r="AD639" s="81">
        <v>1</v>
      </c>
      <c r="AE639" s="81">
        <v>0</v>
      </c>
      <c r="AF639" s="229">
        <f t="shared" si="253"/>
        <v>1</v>
      </c>
      <c r="AG639" s="93" t="str">
        <f t="shared" si="251"/>
        <v>ok</v>
      </c>
    </row>
    <row r="640" spans="1:33" s="60" customFormat="1">
      <c r="A640" s="60" t="s">
        <v>886</v>
      </c>
      <c r="C640" s="60" t="s">
        <v>885</v>
      </c>
      <c r="F640" s="79">
        <f>F39+F40</f>
        <v>857428693</v>
      </c>
      <c r="G640" s="79">
        <f t="shared" ref="G640:AE640" si="261">G39+G40</f>
        <v>0</v>
      </c>
      <c r="H640" s="79">
        <f t="shared" si="261"/>
        <v>0</v>
      </c>
      <c r="I640" s="79">
        <f t="shared" si="261"/>
        <v>0</v>
      </c>
      <c r="J640" s="79">
        <f t="shared" si="261"/>
        <v>0</v>
      </c>
      <c r="K640" s="79">
        <f t="shared" si="261"/>
        <v>0</v>
      </c>
      <c r="L640" s="79">
        <f t="shared" si="261"/>
        <v>0</v>
      </c>
      <c r="M640" s="79">
        <f t="shared" si="261"/>
        <v>0</v>
      </c>
      <c r="N640" s="79">
        <f t="shared" si="261"/>
        <v>0</v>
      </c>
      <c r="O640" s="79">
        <f t="shared" si="261"/>
        <v>0</v>
      </c>
      <c r="P640" s="79">
        <f t="shared" si="261"/>
        <v>0</v>
      </c>
      <c r="Q640" s="79">
        <f t="shared" si="261"/>
        <v>0</v>
      </c>
      <c r="R640" s="79">
        <f t="shared" si="261"/>
        <v>0</v>
      </c>
      <c r="S640" s="79">
        <f t="shared" si="261"/>
        <v>0</v>
      </c>
      <c r="T640" s="79">
        <f t="shared" si="261"/>
        <v>261090031.11421514</v>
      </c>
      <c r="U640" s="79">
        <f t="shared" si="261"/>
        <v>415491278.21078491</v>
      </c>
      <c r="V640" s="79">
        <f t="shared" si="261"/>
        <v>71774630.733684897</v>
      </c>
      <c r="W640" s="79">
        <f t="shared" si="261"/>
        <v>109072752.94131508</v>
      </c>
      <c r="X640" s="79">
        <f t="shared" si="261"/>
        <v>0</v>
      </c>
      <c r="Y640" s="79">
        <f t="shared" si="261"/>
        <v>0</v>
      </c>
      <c r="Z640" s="79">
        <f t="shared" si="261"/>
        <v>0</v>
      </c>
      <c r="AA640" s="79">
        <f t="shared" si="261"/>
        <v>0</v>
      </c>
      <c r="AB640" s="79">
        <f t="shared" si="261"/>
        <v>0</v>
      </c>
      <c r="AC640" s="79">
        <f t="shared" si="261"/>
        <v>0</v>
      </c>
      <c r="AD640" s="79">
        <f t="shared" si="261"/>
        <v>0</v>
      </c>
      <c r="AE640" s="79">
        <f t="shared" si="261"/>
        <v>0</v>
      </c>
      <c r="AF640" s="82">
        <f t="shared" ref="AF640:AF648" si="262">SUM(H640:AE640)</f>
        <v>857428693</v>
      </c>
      <c r="AG640" s="93" t="str">
        <f t="shared" si="251"/>
        <v>ok</v>
      </c>
    </row>
    <row r="641" spans="1:33" s="60" customFormat="1">
      <c r="A641" s="60" t="s">
        <v>910</v>
      </c>
      <c r="D641" s="60" t="s">
        <v>638</v>
      </c>
      <c r="F641" s="79">
        <v>20765365.719999999</v>
      </c>
      <c r="G641" s="79"/>
      <c r="H641" s="79">
        <f t="shared" ref="H641:Q642" si="263">IF(VLOOKUP($D641,$C$6:$AE$653,H$2,)=0,0,((VLOOKUP($D641,$C$6:$AE$653,H$2,)/VLOOKUP($D641,$C$6:$AE$653,4,))*$F641))</f>
        <v>7139159.8322827769</v>
      </c>
      <c r="I641" s="79">
        <f t="shared" si="263"/>
        <v>7478721.792602323</v>
      </c>
      <c r="J641" s="79">
        <f t="shared" si="263"/>
        <v>6147484.0951148998</v>
      </c>
      <c r="K641" s="79">
        <f t="shared" si="263"/>
        <v>0</v>
      </c>
      <c r="L641" s="79">
        <f t="shared" si="263"/>
        <v>0</v>
      </c>
      <c r="M641" s="79">
        <f t="shared" si="263"/>
        <v>0</v>
      </c>
      <c r="N641" s="79">
        <f t="shared" si="263"/>
        <v>0</v>
      </c>
      <c r="O641" s="79">
        <f t="shared" si="263"/>
        <v>0</v>
      </c>
      <c r="P641" s="79">
        <f t="shared" si="263"/>
        <v>0</v>
      </c>
      <c r="Q641" s="79">
        <f t="shared" si="263"/>
        <v>0</v>
      </c>
      <c r="R641" s="79">
        <f t="shared" ref="R641:AE642" si="264">IF(VLOOKUP($D641,$C$6:$AE$653,R$2,)=0,0,((VLOOKUP($D641,$C$6:$AE$653,R$2,)/VLOOKUP($D641,$C$6:$AE$653,4,))*$F641))</f>
        <v>0</v>
      </c>
      <c r="S641" s="79">
        <f t="shared" si="264"/>
        <v>0</v>
      </c>
      <c r="T641" s="79">
        <f t="shared" si="264"/>
        <v>0</v>
      </c>
      <c r="U641" s="79">
        <f t="shared" si="264"/>
        <v>0</v>
      </c>
      <c r="V641" s="79">
        <f t="shared" si="264"/>
        <v>0</v>
      </c>
      <c r="W641" s="79">
        <f t="shared" si="264"/>
        <v>0</v>
      </c>
      <c r="X641" s="79">
        <f t="shared" si="264"/>
        <v>0</v>
      </c>
      <c r="Y641" s="79">
        <f t="shared" si="264"/>
        <v>0</v>
      </c>
      <c r="Z641" s="79">
        <f t="shared" si="264"/>
        <v>0</v>
      </c>
      <c r="AA641" s="79">
        <f t="shared" si="264"/>
        <v>0</v>
      </c>
      <c r="AB641" s="79">
        <f t="shared" si="264"/>
        <v>0</v>
      </c>
      <c r="AC641" s="79">
        <f t="shared" si="264"/>
        <v>0</v>
      </c>
      <c r="AD641" s="79">
        <f t="shared" si="264"/>
        <v>0</v>
      </c>
      <c r="AE641" s="79">
        <f t="shared" si="264"/>
        <v>0</v>
      </c>
      <c r="AF641" s="79">
        <f t="shared" si="262"/>
        <v>20765365.719999999</v>
      </c>
      <c r="AG641" s="93" t="str">
        <f>IF(ABS(AF641-F641)&lt;1,"ok","err")</f>
        <v>ok</v>
      </c>
    </row>
    <row r="642" spans="1:33" s="60" customFormat="1">
      <c r="A642" s="60" t="s">
        <v>911</v>
      </c>
      <c r="D642" s="60" t="s">
        <v>641</v>
      </c>
      <c r="F642" s="79">
        <v>48301061.920000002</v>
      </c>
      <c r="G642" s="81"/>
      <c r="H642" s="79">
        <f t="shared" si="263"/>
        <v>0</v>
      </c>
      <c r="I642" s="79">
        <f t="shared" si="263"/>
        <v>0</v>
      </c>
      <c r="J642" s="79">
        <f t="shared" si="263"/>
        <v>0</v>
      </c>
      <c r="K642" s="79">
        <f t="shared" si="263"/>
        <v>48301061.920000002</v>
      </c>
      <c r="L642" s="79">
        <f t="shared" si="263"/>
        <v>0</v>
      </c>
      <c r="M642" s="79">
        <f t="shared" si="263"/>
        <v>0</v>
      </c>
      <c r="N642" s="79">
        <f t="shared" si="263"/>
        <v>0</v>
      </c>
      <c r="O642" s="79">
        <f t="shared" si="263"/>
        <v>0</v>
      </c>
      <c r="P642" s="79">
        <f t="shared" si="263"/>
        <v>0</v>
      </c>
      <c r="Q642" s="79">
        <f t="shared" si="263"/>
        <v>0</v>
      </c>
      <c r="R642" s="79">
        <f t="shared" si="264"/>
        <v>0</v>
      </c>
      <c r="S642" s="79">
        <f t="shared" si="264"/>
        <v>0</v>
      </c>
      <c r="T642" s="79">
        <f t="shared" si="264"/>
        <v>0</v>
      </c>
      <c r="U642" s="79">
        <f t="shared" si="264"/>
        <v>0</v>
      </c>
      <c r="V642" s="79">
        <f t="shared" si="264"/>
        <v>0</v>
      </c>
      <c r="W642" s="79">
        <f t="shared" si="264"/>
        <v>0</v>
      </c>
      <c r="X642" s="79">
        <f t="shared" si="264"/>
        <v>0</v>
      </c>
      <c r="Y642" s="79">
        <f t="shared" si="264"/>
        <v>0</v>
      </c>
      <c r="Z642" s="79">
        <f t="shared" si="264"/>
        <v>0</v>
      </c>
      <c r="AA642" s="79">
        <f t="shared" si="264"/>
        <v>0</v>
      </c>
      <c r="AB642" s="79">
        <f t="shared" si="264"/>
        <v>0</v>
      </c>
      <c r="AC642" s="79">
        <f t="shared" si="264"/>
        <v>0</v>
      </c>
      <c r="AD642" s="79">
        <f t="shared" si="264"/>
        <v>0</v>
      </c>
      <c r="AE642" s="79">
        <f t="shared" si="264"/>
        <v>0</v>
      </c>
      <c r="AF642" s="79">
        <f t="shared" si="262"/>
        <v>48301061.920000002</v>
      </c>
      <c r="AG642" s="93" t="str">
        <f>IF(ABS(AF642-F642)&lt;1,"ok","err")</f>
        <v>ok</v>
      </c>
    </row>
    <row r="643" spans="1:33" s="60" customFormat="1">
      <c r="A643" s="60" t="s">
        <v>10</v>
      </c>
      <c r="C643" s="60" t="s">
        <v>986</v>
      </c>
      <c r="F643" s="79">
        <f>F641+F642</f>
        <v>69066427.640000001</v>
      </c>
      <c r="G643" s="79"/>
      <c r="H643" s="79">
        <f>H641+H642</f>
        <v>7139159.8322827769</v>
      </c>
      <c r="I643" s="79">
        <f t="shared" ref="I643:AE643" si="265">I641+I642</f>
        <v>7478721.792602323</v>
      </c>
      <c r="J643" s="79">
        <f t="shared" si="265"/>
        <v>6147484.0951148998</v>
      </c>
      <c r="K643" s="79">
        <f t="shared" si="265"/>
        <v>48301061.920000002</v>
      </c>
      <c r="L643" s="79">
        <f t="shared" si="265"/>
        <v>0</v>
      </c>
      <c r="M643" s="79">
        <f t="shared" si="265"/>
        <v>0</v>
      </c>
      <c r="N643" s="79">
        <f t="shared" si="265"/>
        <v>0</v>
      </c>
      <c r="O643" s="79">
        <f t="shared" si="265"/>
        <v>0</v>
      </c>
      <c r="P643" s="79">
        <f t="shared" si="265"/>
        <v>0</v>
      </c>
      <c r="Q643" s="79">
        <f t="shared" si="265"/>
        <v>0</v>
      </c>
      <c r="R643" s="79">
        <f t="shared" si="265"/>
        <v>0</v>
      </c>
      <c r="S643" s="79">
        <f t="shared" si="265"/>
        <v>0</v>
      </c>
      <c r="T643" s="79">
        <f t="shared" si="265"/>
        <v>0</v>
      </c>
      <c r="U643" s="79">
        <f t="shared" si="265"/>
        <v>0</v>
      </c>
      <c r="V643" s="79">
        <f t="shared" si="265"/>
        <v>0</v>
      </c>
      <c r="W643" s="79">
        <f t="shared" si="265"/>
        <v>0</v>
      </c>
      <c r="X643" s="79">
        <f t="shared" si="265"/>
        <v>0</v>
      </c>
      <c r="Y643" s="79">
        <f t="shared" si="265"/>
        <v>0</v>
      </c>
      <c r="Z643" s="79">
        <f t="shared" si="265"/>
        <v>0</v>
      </c>
      <c r="AA643" s="79">
        <f t="shared" si="265"/>
        <v>0</v>
      </c>
      <c r="AB643" s="79">
        <f t="shared" si="265"/>
        <v>0</v>
      </c>
      <c r="AC643" s="79">
        <f t="shared" si="265"/>
        <v>0</v>
      </c>
      <c r="AD643" s="79">
        <f t="shared" si="265"/>
        <v>0</v>
      </c>
      <c r="AE643" s="79">
        <f t="shared" si="265"/>
        <v>0</v>
      </c>
      <c r="AF643" s="79">
        <f t="shared" si="262"/>
        <v>69066427.640000001</v>
      </c>
      <c r="AG643" s="93" t="str">
        <f>IF(ABS(AF643-F643)&lt;1,"ok","err")</f>
        <v>ok</v>
      </c>
    </row>
    <row r="644" spans="1:33" s="60" customFormat="1">
      <c r="A644" s="60" t="s">
        <v>116</v>
      </c>
      <c r="C644" s="60" t="s">
        <v>114</v>
      </c>
      <c r="F644" s="83">
        <v>1</v>
      </c>
      <c r="H644" s="79">
        <v>0</v>
      </c>
      <c r="I644" s="79">
        <v>0</v>
      </c>
      <c r="J644" s="79">
        <v>0</v>
      </c>
      <c r="K644" s="79">
        <v>0</v>
      </c>
      <c r="L644" s="79">
        <v>0</v>
      </c>
      <c r="M644" s="79">
        <v>0</v>
      </c>
      <c r="N644" s="79">
        <v>0</v>
      </c>
      <c r="O644" s="79">
        <v>0</v>
      </c>
      <c r="P644" s="79">
        <v>0</v>
      </c>
      <c r="Q644" s="79">
        <v>0</v>
      </c>
      <c r="R644" s="79">
        <v>0</v>
      </c>
      <c r="S644" s="79">
        <v>0</v>
      </c>
      <c r="T644" s="79">
        <v>0</v>
      </c>
      <c r="U644" s="79">
        <v>0</v>
      </c>
      <c r="V644" s="79">
        <v>0</v>
      </c>
      <c r="W644" s="79">
        <v>0</v>
      </c>
      <c r="X644" s="79">
        <v>0</v>
      </c>
      <c r="Y644" s="79">
        <v>0</v>
      </c>
      <c r="Z644" s="79">
        <v>0</v>
      </c>
      <c r="AA644" s="79">
        <v>0</v>
      </c>
      <c r="AB644" s="79">
        <v>0</v>
      </c>
      <c r="AC644" s="83">
        <v>1</v>
      </c>
      <c r="AD644" s="79">
        <v>0</v>
      </c>
      <c r="AE644" s="79">
        <v>0</v>
      </c>
      <c r="AF644" s="229">
        <f t="shared" si="262"/>
        <v>1</v>
      </c>
      <c r="AG644" s="93" t="str">
        <f>IF(ABS(AF644-F644)&lt;1,"ok","err")</f>
        <v>ok</v>
      </c>
    </row>
    <row r="645" spans="1:33" s="60" customFormat="1">
      <c r="A645" s="60" t="s">
        <v>117</v>
      </c>
      <c r="C645" s="60" t="s">
        <v>115</v>
      </c>
      <c r="F645" s="83">
        <v>1</v>
      </c>
      <c r="H645" s="79">
        <v>0</v>
      </c>
      <c r="I645" s="79">
        <v>0</v>
      </c>
      <c r="J645" s="79">
        <v>0</v>
      </c>
      <c r="K645" s="79">
        <v>0</v>
      </c>
      <c r="L645" s="79">
        <v>0</v>
      </c>
      <c r="M645" s="79">
        <v>0</v>
      </c>
      <c r="N645" s="79">
        <v>0</v>
      </c>
      <c r="O645" s="79">
        <v>0</v>
      </c>
      <c r="P645" s="79">
        <v>0</v>
      </c>
      <c r="Q645" s="79">
        <v>0</v>
      </c>
      <c r="R645" s="79">
        <v>0</v>
      </c>
      <c r="S645" s="79">
        <v>0</v>
      </c>
      <c r="T645" s="79">
        <v>0</v>
      </c>
      <c r="U645" s="79">
        <v>0</v>
      </c>
      <c r="V645" s="79">
        <v>0</v>
      </c>
      <c r="W645" s="79">
        <v>0</v>
      </c>
      <c r="X645" s="79">
        <v>0</v>
      </c>
      <c r="Y645" s="79">
        <v>0</v>
      </c>
      <c r="Z645" s="79">
        <v>0</v>
      </c>
      <c r="AA645" s="79">
        <v>0</v>
      </c>
      <c r="AB645" s="79">
        <v>0</v>
      </c>
      <c r="AC645" s="83">
        <v>1</v>
      </c>
      <c r="AD645" s="79">
        <v>0</v>
      </c>
      <c r="AE645" s="79">
        <v>0</v>
      </c>
      <c r="AF645" s="229">
        <f t="shared" si="262"/>
        <v>1</v>
      </c>
      <c r="AG645" s="93" t="str">
        <f>IF(ABS(AF645-F645)&lt;1,"ok","err")</f>
        <v>ok</v>
      </c>
    </row>
    <row r="646" spans="1:33" s="60" customFormat="1">
      <c r="A646" s="60" t="s">
        <v>122</v>
      </c>
      <c r="C646" s="60" t="s">
        <v>119</v>
      </c>
      <c r="F646" s="81">
        <v>1</v>
      </c>
      <c r="G646" s="81"/>
      <c r="H646" s="229">
        <v>0</v>
      </c>
      <c r="I646" s="229">
        <v>0</v>
      </c>
      <c r="J646" s="229">
        <v>0</v>
      </c>
      <c r="K646" s="229">
        <v>0</v>
      </c>
      <c r="L646" s="229">
        <v>0</v>
      </c>
      <c r="M646" s="229">
        <v>1</v>
      </c>
      <c r="N646" s="229">
        <v>0</v>
      </c>
      <c r="O646" s="229">
        <v>0</v>
      </c>
      <c r="P646" s="229">
        <v>0</v>
      </c>
      <c r="Q646" s="229">
        <v>0</v>
      </c>
      <c r="R646" s="229">
        <v>0</v>
      </c>
      <c r="S646" s="229">
        <v>0</v>
      </c>
      <c r="T646" s="229">
        <v>0</v>
      </c>
      <c r="U646" s="229">
        <v>0</v>
      </c>
      <c r="V646" s="229">
        <v>0</v>
      </c>
      <c r="W646" s="229">
        <v>0</v>
      </c>
      <c r="X646" s="81">
        <v>0</v>
      </c>
      <c r="Y646" s="81">
        <v>0</v>
      </c>
      <c r="Z646" s="81">
        <v>0</v>
      </c>
      <c r="AA646" s="81">
        <v>0</v>
      </c>
      <c r="AB646" s="81">
        <v>0</v>
      </c>
      <c r="AC646" s="81">
        <v>0</v>
      </c>
      <c r="AD646" s="81">
        <v>0</v>
      </c>
      <c r="AE646" s="81">
        <v>0</v>
      </c>
      <c r="AF646" s="229">
        <f t="shared" si="262"/>
        <v>1</v>
      </c>
      <c r="AG646" s="93" t="str">
        <f>IF(ABS(AF646-F646)&lt;0.0000001,"ok","err")</f>
        <v>ok</v>
      </c>
    </row>
    <row r="647" spans="1:33" s="60" customFormat="1">
      <c r="A647" s="60" t="s">
        <v>121</v>
      </c>
      <c r="C647" s="60" t="s">
        <v>120</v>
      </c>
      <c r="F647" s="81">
        <v>1</v>
      </c>
      <c r="G647" s="81"/>
      <c r="H647" s="229">
        <v>1</v>
      </c>
      <c r="I647" s="229">
        <v>0</v>
      </c>
      <c r="J647" s="229">
        <v>0</v>
      </c>
      <c r="K647" s="229">
        <v>0</v>
      </c>
      <c r="L647" s="229">
        <v>0</v>
      </c>
      <c r="M647" s="229">
        <v>0</v>
      </c>
      <c r="N647" s="229">
        <v>0</v>
      </c>
      <c r="O647" s="229">
        <v>0</v>
      </c>
      <c r="P647" s="229">
        <v>0</v>
      </c>
      <c r="Q647" s="229">
        <v>0</v>
      </c>
      <c r="R647" s="229">
        <v>0</v>
      </c>
      <c r="S647" s="229">
        <v>0</v>
      </c>
      <c r="T647" s="229">
        <v>0</v>
      </c>
      <c r="U647" s="229">
        <v>0</v>
      </c>
      <c r="V647" s="229">
        <v>0</v>
      </c>
      <c r="W647" s="229">
        <v>0</v>
      </c>
      <c r="X647" s="81">
        <v>0</v>
      </c>
      <c r="Y647" s="81">
        <v>0</v>
      </c>
      <c r="Z647" s="81">
        <v>0</v>
      </c>
      <c r="AA647" s="81">
        <v>0</v>
      </c>
      <c r="AB647" s="81">
        <v>0</v>
      </c>
      <c r="AC647" s="81">
        <v>0</v>
      </c>
      <c r="AD647" s="81">
        <v>0</v>
      </c>
      <c r="AE647" s="81">
        <v>0</v>
      </c>
      <c r="AF647" s="229">
        <f t="shared" si="262"/>
        <v>1</v>
      </c>
      <c r="AG647" s="93" t="str">
        <f>IF(ABS(AF647-F647)&lt;0.0000001,"ok","err")</f>
        <v>ok</v>
      </c>
    </row>
    <row r="648" spans="1:33" s="60" customFormat="1">
      <c r="C648" s="60" t="s">
        <v>930</v>
      </c>
      <c r="F648" s="81">
        <v>1</v>
      </c>
      <c r="G648" s="81"/>
      <c r="H648" s="229">
        <v>0</v>
      </c>
      <c r="I648" s="229">
        <v>0</v>
      </c>
      <c r="J648" s="229">
        <v>0</v>
      </c>
      <c r="K648" s="229">
        <v>1</v>
      </c>
      <c r="L648" s="229">
        <v>0</v>
      </c>
      <c r="M648" s="229">
        <v>0</v>
      </c>
      <c r="N648" s="229">
        <v>0</v>
      </c>
      <c r="O648" s="229">
        <v>0</v>
      </c>
      <c r="P648" s="229">
        <v>0</v>
      </c>
      <c r="Q648" s="229">
        <v>0</v>
      </c>
      <c r="R648" s="229">
        <v>0</v>
      </c>
      <c r="S648" s="229">
        <v>0</v>
      </c>
      <c r="T648" s="229">
        <v>0</v>
      </c>
      <c r="U648" s="229">
        <v>0</v>
      </c>
      <c r="V648" s="229">
        <v>0</v>
      </c>
      <c r="W648" s="229">
        <v>0</v>
      </c>
      <c r="X648" s="81">
        <v>0</v>
      </c>
      <c r="Y648" s="81">
        <v>0</v>
      </c>
      <c r="Z648" s="81">
        <v>0</v>
      </c>
      <c r="AA648" s="81">
        <v>0</v>
      </c>
      <c r="AB648" s="81">
        <v>0</v>
      </c>
      <c r="AC648" s="81">
        <v>0</v>
      </c>
      <c r="AD648" s="81">
        <v>0</v>
      </c>
      <c r="AE648" s="81">
        <v>0</v>
      </c>
      <c r="AF648" s="229">
        <f t="shared" si="262"/>
        <v>1</v>
      </c>
      <c r="AG648" s="93" t="str">
        <f>IF(ABS(AF648-F648)&lt;0.0000001,"ok","err")</f>
        <v>ok</v>
      </c>
    </row>
    <row r="649" spans="1:33" s="60" customFormat="1">
      <c r="W649" s="77"/>
      <c r="AG649" s="93"/>
    </row>
    <row r="650" spans="1:33" s="60" customFormat="1" ht="15">
      <c r="A650" s="65" t="s">
        <v>901</v>
      </c>
      <c r="W650" s="77"/>
      <c r="AG650" s="93"/>
    </row>
    <row r="651" spans="1:33" s="60" customFormat="1">
      <c r="A651" s="60" t="s">
        <v>884</v>
      </c>
      <c r="D651" s="60" t="s">
        <v>1163</v>
      </c>
      <c r="F651" s="81">
        <v>1</v>
      </c>
      <c r="H651" s="110">
        <f>H50/$F$50</f>
        <v>0.19283906465573772</v>
      </c>
      <c r="I651" s="110">
        <f>I50/$F$50</f>
        <v>0.20201112584486958</v>
      </c>
      <c r="J651" s="110">
        <f>J50/$F$50</f>
        <v>0.16605246425879791</v>
      </c>
      <c r="K651" s="110">
        <f>K50/$F$50</f>
        <v>0</v>
      </c>
      <c r="L651" s="110">
        <f t="shared" ref="L651:AE651" si="266">L50/$F$50</f>
        <v>0</v>
      </c>
      <c r="M651" s="110">
        <f t="shared" si="266"/>
        <v>0</v>
      </c>
      <c r="N651" s="110">
        <f t="shared" si="266"/>
        <v>0.10758568985889098</v>
      </c>
      <c r="O651" s="110">
        <f t="shared" si="266"/>
        <v>0</v>
      </c>
      <c r="P651" s="110">
        <f t="shared" si="266"/>
        <v>0</v>
      </c>
      <c r="Q651" s="110">
        <f t="shared" si="266"/>
        <v>0</v>
      </c>
      <c r="R651" s="110">
        <f t="shared" si="266"/>
        <v>3.7143345726016942E-2</v>
      </c>
      <c r="S651" s="110">
        <f t="shared" si="266"/>
        <v>0</v>
      </c>
      <c r="T651" s="110">
        <f t="shared" si="266"/>
        <v>6.3518941758240924E-2</v>
      </c>
      <c r="U651" s="110">
        <f t="shared" si="266"/>
        <v>0.10108224427068532</v>
      </c>
      <c r="V651" s="110">
        <f t="shared" si="266"/>
        <v>1.7461595794508913E-2</v>
      </c>
      <c r="W651" s="110">
        <f t="shared" si="266"/>
        <v>2.6535619961911242E-2</v>
      </c>
      <c r="X651" s="110">
        <f t="shared" si="266"/>
        <v>2.4137193656131796E-2</v>
      </c>
      <c r="Y651" s="110">
        <f t="shared" si="266"/>
        <v>1.6880403204496217E-2</v>
      </c>
      <c r="Z651" s="110">
        <f t="shared" si="266"/>
        <v>8.3831238551353472E-3</v>
      </c>
      <c r="AA651" s="110">
        <f t="shared" si="266"/>
        <v>9.7241895151196339E-3</v>
      </c>
      <c r="AB651" s="110">
        <f t="shared" si="266"/>
        <v>2.6644997639457487E-2</v>
      </c>
      <c r="AC651" s="110">
        <f t="shared" si="266"/>
        <v>0</v>
      </c>
      <c r="AD651" s="110">
        <f t="shared" si="266"/>
        <v>0</v>
      </c>
      <c r="AE651" s="110">
        <f t="shared" si="266"/>
        <v>0</v>
      </c>
      <c r="AF651" s="229">
        <f t="shared" ref="AF651:AF669" si="267">SUM(H651:AE651)</f>
        <v>1</v>
      </c>
      <c r="AG651" s="93" t="str">
        <f t="shared" ref="AG651:AG669" si="268">IF(ABS(AF651-F651)&lt;0.0000001,"ok","err")</f>
        <v>ok</v>
      </c>
    </row>
    <row r="652" spans="1:33" s="60" customFormat="1">
      <c r="A652" s="60" t="s">
        <v>955</v>
      </c>
      <c r="D652" s="60" t="s">
        <v>935</v>
      </c>
      <c r="F652" s="81">
        <v>1</v>
      </c>
      <c r="H652" s="110">
        <f>H48/$F$48</f>
        <v>0</v>
      </c>
      <c r="I652" s="110">
        <f t="shared" ref="I652:AE652" si="269">I48/$F$48</f>
        <v>0</v>
      </c>
      <c r="J652" s="110">
        <f t="shared" si="269"/>
        <v>0</v>
      </c>
      <c r="K652" s="110">
        <f t="shared" si="269"/>
        <v>0</v>
      </c>
      <c r="L652" s="110">
        <f t="shared" si="269"/>
        <v>0</v>
      </c>
      <c r="M652" s="110">
        <f t="shared" si="269"/>
        <v>0</v>
      </c>
      <c r="N652" s="110">
        <f t="shared" si="269"/>
        <v>0</v>
      </c>
      <c r="O652" s="110">
        <f t="shared" si="269"/>
        <v>0</v>
      </c>
      <c r="P652" s="110">
        <f t="shared" si="269"/>
        <v>0</v>
      </c>
      <c r="Q652" s="110">
        <f t="shared" si="269"/>
        <v>0</v>
      </c>
      <c r="R652" s="110">
        <f t="shared" si="269"/>
        <v>0.11204235242724708</v>
      </c>
      <c r="S652" s="110">
        <f t="shared" si="269"/>
        <v>0</v>
      </c>
      <c r="T652" s="110">
        <f t="shared" si="269"/>
        <v>0.19160394733363137</v>
      </c>
      <c r="U652" s="110">
        <f t="shared" si="269"/>
        <v>0.30491309318913334</v>
      </c>
      <c r="V652" s="110">
        <f t="shared" si="269"/>
        <v>5.267264517262165E-2</v>
      </c>
      <c r="W652" s="110">
        <f t="shared" si="269"/>
        <v>8.0044304720924594E-2</v>
      </c>
      <c r="X652" s="110">
        <f t="shared" si="269"/>
        <v>7.2809487281345009E-2</v>
      </c>
      <c r="Y652" s="110">
        <f t="shared" si="269"/>
        <v>5.0919486330156492E-2</v>
      </c>
      <c r="Z652" s="110">
        <f t="shared" si="269"/>
        <v>2.5287568986022486E-2</v>
      </c>
      <c r="AA652" s="110">
        <f t="shared" si="269"/>
        <v>2.9332873693153152E-2</v>
      </c>
      <c r="AB652" s="110">
        <f t="shared" si="269"/>
        <v>8.0374240865764834E-2</v>
      </c>
      <c r="AC652" s="110">
        <f t="shared" si="269"/>
        <v>0</v>
      </c>
      <c r="AD652" s="110">
        <f t="shared" si="269"/>
        <v>0</v>
      </c>
      <c r="AE652" s="110">
        <f t="shared" si="269"/>
        <v>0</v>
      </c>
      <c r="AF652" s="229">
        <f t="shared" si="267"/>
        <v>1</v>
      </c>
      <c r="AG652" s="93" t="str">
        <f t="shared" si="268"/>
        <v>ok</v>
      </c>
    </row>
    <row r="653" spans="1:33" s="60" customFormat="1">
      <c r="A653" s="60" t="s">
        <v>1133</v>
      </c>
      <c r="D653" s="60" t="s">
        <v>1161</v>
      </c>
      <c r="F653" s="81">
        <v>1</v>
      </c>
      <c r="H653" s="110">
        <f t="shared" ref="H653:AE653" si="270">H33/$F$33</f>
        <v>0</v>
      </c>
      <c r="I653" s="110">
        <f t="shared" si="270"/>
        <v>0</v>
      </c>
      <c r="J653" s="110">
        <f t="shared" si="270"/>
        <v>0</v>
      </c>
      <c r="K653" s="110">
        <f t="shared" si="270"/>
        <v>0</v>
      </c>
      <c r="L653" s="110">
        <f t="shared" si="270"/>
        <v>0</v>
      </c>
      <c r="M653" s="110">
        <f t="shared" si="270"/>
        <v>0</v>
      </c>
      <c r="N653" s="110">
        <f t="shared" si="270"/>
        <v>1</v>
      </c>
      <c r="O653" s="110">
        <f t="shared" si="270"/>
        <v>0</v>
      </c>
      <c r="P653" s="110">
        <f t="shared" si="270"/>
        <v>0</v>
      </c>
      <c r="Q653" s="110">
        <f t="shared" si="270"/>
        <v>0</v>
      </c>
      <c r="R653" s="110">
        <f t="shared" si="270"/>
        <v>0</v>
      </c>
      <c r="S653" s="110">
        <f t="shared" si="270"/>
        <v>0</v>
      </c>
      <c r="T653" s="110">
        <f t="shared" si="270"/>
        <v>0</v>
      </c>
      <c r="U653" s="110">
        <f t="shared" si="270"/>
        <v>0</v>
      </c>
      <c r="V653" s="110">
        <f t="shared" si="270"/>
        <v>0</v>
      </c>
      <c r="W653" s="110">
        <f t="shared" si="270"/>
        <v>0</v>
      </c>
      <c r="X653" s="110">
        <f t="shared" si="270"/>
        <v>0</v>
      </c>
      <c r="Y653" s="110">
        <f t="shared" si="270"/>
        <v>0</v>
      </c>
      <c r="Z653" s="110">
        <f t="shared" si="270"/>
        <v>0</v>
      </c>
      <c r="AA653" s="110">
        <f t="shared" si="270"/>
        <v>0</v>
      </c>
      <c r="AB653" s="110">
        <f t="shared" si="270"/>
        <v>0</v>
      </c>
      <c r="AC653" s="110">
        <f t="shared" si="270"/>
        <v>0</v>
      </c>
      <c r="AD653" s="110">
        <f t="shared" si="270"/>
        <v>0</v>
      </c>
      <c r="AE653" s="110">
        <f t="shared" si="270"/>
        <v>0</v>
      </c>
      <c r="AF653" s="229">
        <f t="shared" si="267"/>
        <v>1</v>
      </c>
      <c r="AG653" s="93" t="str">
        <f t="shared" si="268"/>
        <v>ok</v>
      </c>
    </row>
    <row r="654" spans="1:33" s="60" customFormat="1">
      <c r="A654" s="60" t="s">
        <v>19</v>
      </c>
      <c r="D654" s="60" t="s">
        <v>977</v>
      </c>
      <c r="F654" s="81">
        <v>1</v>
      </c>
      <c r="H654" s="110">
        <f>H335/$F$335</f>
        <v>4.3768778416331117E-2</v>
      </c>
      <c r="I654" s="110">
        <f t="shared" ref="I654:AE654" si="271">I335/$F$335</f>
        <v>4.5850565706291403E-2</v>
      </c>
      <c r="J654" s="110">
        <f t="shared" si="271"/>
        <v>3.7689010401517835E-2</v>
      </c>
      <c r="K654" s="110">
        <f t="shared" si="271"/>
        <v>0.67726892881506218</v>
      </c>
      <c r="L654" s="110">
        <f t="shared" si="271"/>
        <v>0</v>
      </c>
      <c r="M654" s="110">
        <f t="shared" si="271"/>
        <v>0</v>
      </c>
      <c r="N654" s="110">
        <f t="shared" si="271"/>
        <v>3.5067670947415343E-2</v>
      </c>
      <c r="O654" s="110">
        <f t="shared" si="271"/>
        <v>0</v>
      </c>
      <c r="P654" s="110">
        <f t="shared" si="271"/>
        <v>0</v>
      </c>
      <c r="Q654" s="110">
        <f t="shared" si="271"/>
        <v>0</v>
      </c>
      <c r="R654" s="110">
        <f t="shared" si="271"/>
        <v>1.2964174420705622E-2</v>
      </c>
      <c r="S654" s="110">
        <f t="shared" si="271"/>
        <v>0</v>
      </c>
      <c r="T654" s="110">
        <f t="shared" si="271"/>
        <v>2.2527327911976695E-2</v>
      </c>
      <c r="U654" s="110">
        <f t="shared" si="271"/>
        <v>3.3720513355873949E-2</v>
      </c>
      <c r="V654" s="110">
        <f t="shared" si="271"/>
        <v>7.5757630552024616E-3</v>
      </c>
      <c r="W654" s="110">
        <f t="shared" si="271"/>
        <v>1.1129200837591375E-2</v>
      </c>
      <c r="X654" s="110">
        <f t="shared" si="271"/>
        <v>1.773031757629264E-3</v>
      </c>
      <c r="Y654" s="110">
        <f t="shared" si="271"/>
        <v>1.2399739335709943E-3</v>
      </c>
      <c r="Z654" s="110">
        <f t="shared" si="271"/>
        <v>4.682856116046405E-4</v>
      </c>
      <c r="AA654" s="110">
        <f t="shared" si="271"/>
        <v>2.7183215820071934E-2</v>
      </c>
      <c r="AB654" s="110">
        <f t="shared" si="271"/>
        <v>2.0677175490967548E-3</v>
      </c>
      <c r="AC654" s="110">
        <f t="shared" si="271"/>
        <v>3.2587645183110144E-2</v>
      </c>
      <c r="AD654" s="110">
        <f t="shared" si="271"/>
        <v>7.1181962769479449E-3</v>
      </c>
      <c r="AE654" s="110">
        <f t="shared" si="271"/>
        <v>0</v>
      </c>
      <c r="AF654" s="229">
        <f t="shared" si="267"/>
        <v>0.99999999999999956</v>
      </c>
      <c r="AG654" s="93" t="str">
        <f t="shared" si="268"/>
        <v>ok</v>
      </c>
    </row>
    <row r="655" spans="1:33" s="60" customFormat="1">
      <c r="A655" s="60" t="s">
        <v>959</v>
      </c>
      <c r="D655" s="60" t="s">
        <v>960</v>
      </c>
      <c r="F655" s="81">
        <v>1</v>
      </c>
      <c r="H655" s="110">
        <f>H69/$F$69</f>
        <v>0.19271664493478624</v>
      </c>
      <c r="I655" s="110">
        <f t="shared" ref="I655:AE655" si="272">I69/$F$69</f>
        <v>0.20188288343869962</v>
      </c>
      <c r="J655" s="110">
        <f t="shared" si="272"/>
        <v>0.16594704943336225</v>
      </c>
      <c r="K655" s="110">
        <f t="shared" si="272"/>
        <v>0</v>
      </c>
      <c r="L655" s="110">
        <f t="shared" si="272"/>
        <v>0</v>
      </c>
      <c r="M655" s="110">
        <f t="shared" si="272"/>
        <v>0</v>
      </c>
      <c r="N655" s="110">
        <f t="shared" si="272"/>
        <v>0.10750802998836849</v>
      </c>
      <c r="O655" s="110">
        <f t="shared" si="272"/>
        <v>0</v>
      </c>
      <c r="P655" s="110">
        <f t="shared" si="272"/>
        <v>0</v>
      </c>
      <c r="Q655" s="110">
        <f t="shared" si="272"/>
        <v>0</v>
      </c>
      <c r="R655" s="110">
        <f t="shared" si="272"/>
        <v>3.7191942620009091E-2</v>
      </c>
      <c r="S655" s="110">
        <f t="shared" si="272"/>
        <v>0</v>
      </c>
      <c r="T655" s="110">
        <f t="shared" si="272"/>
        <v>6.3602047445646931E-2</v>
      </c>
      <c r="U655" s="110">
        <f t="shared" si="272"/>
        <v>0.10121449630704053</v>
      </c>
      <c r="V655" s="110">
        <f t="shared" si="272"/>
        <v>1.7484441860289284E-2</v>
      </c>
      <c r="W655" s="110">
        <f t="shared" si="272"/>
        <v>2.6570338124346511E-2</v>
      </c>
      <c r="X655" s="110">
        <f t="shared" si="272"/>
        <v>2.4168773811835256E-2</v>
      </c>
      <c r="Y655" s="110">
        <f t="shared" si="272"/>
        <v>1.6902488860729897E-2</v>
      </c>
      <c r="Z655" s="110">
        <f t="shared" si="272"/>
        <v>8.3940920049707501E-3</v>
      </c>
      <c r="AA655" s="110">
        <f t="shared" si="272"/>
        <v>9.7369122625670951E-3</v>
      </c>
      <c r="AB655" s="110">
        <f t="shared" si="272"/>
        <v>2.6679858907348031E-2</v>
      </c>
      <c r="AC655" s="110">
        <f t="shared" si="272"/>
        <v>0</v>
      </c>
      <c r="AD655" s="110">
        <f t="shared" si="272"/>
        <v>0</v>
      </c>
      <c r="AE655" s="110">
        <f t="shared" si="272"/>
        <v>0</v>
      </c>
      <c r="AF655" s="229">
        <f t="shared" si="267"/>
        <v>1</v>
      </c>
      <c r="AG655" s="93" t="str">
        <f t="shared" si="268"/>
        <v>ok</v>
      </c>
    </row>
    <row r="656" spans="1:33" s="60" customFormat="1">
      <c r="A656" s="60" t="s">
        <v>902</v>
      </c>
      <c r="D656" s="60" t="s">
        <v>99</v>
      </c>
      <c r="F656" s="81">
        <v>1</v>
      </c>
      <c r="H656" s="110">
        <f>H540/$F$540</f>
        <v>0.11678854626466832</v>
      </c>
      <c r="I656" s="110">
        <f t="shared" ref="I656:AE656" si="273">I540/$F$540</f>
        <v>0.12234339426417311</v>
      </c>
      <c r="J656" s="110">
        <f t="shared" si="273"/>
        <v>0.10056585754070024</v>
      </c>
      <c r="K656" s="110">
        <f t="shared" si="273"/>
        <v>0.25120321948727692</v>
      </c>
      <c r="L656" s="110">
        <f t="shared" si="273"/>
        <v>0</v>
      </c>
      <c r="M656" s="110">
        <f t="shared" si="273"/>
        <v>0</v>
      </c>
      <c r="N656" s="110">
        <f t="shared" si="273"/>
        <v>6.0229354424993053E-2</v>
      </c>
      <c r="O656" s="110">
        <f t="shared" si="273"/>
        <v>0</v>
      </c>
      <c r="P656" s="110">
        <f t="shared" si="273"/>
        <v>0</v>
      </c>
      <c r="Q656" s="110">
        <f t="shared" si="273"/>
        <v>0</v>
      </c>
      <c r="R656" s="110">
        <f t="shared" si="273"/>
        <v>3.7535648642610615E-2</v>
      </c>
      <c r="S656" s="110">
        <f t="shared" si="273"/>
        <v>0</v>
      </c>
      <c r="T656" s="110">
        <f t="shared" si="273"/>
        <v>3.5670842571809011E-2</v>
      </c>
      <c r="U656" s="110">
        <f t="shared" si="273"/>
        <v>5.3915976455482816E-2</v>
      </c>
      <c r="V656" s="110">
        <f t="shared" si="273"/>
        <v>1.1657173969163699E-2</v>
      </c>
      <c r="W656" s="110">
        <f t="shared" si="273"/>
        <v>1.7201750965905253E-2</v>
      </c>
      <c r="X656" s="110">
        <f t="shared" si="273"/>
        <v>3.3665756210507557E-3</v>
      </c>
      <c r="Y656" s="110">
        <f t="shared" si="273"/>
        <v>2.3544225857974658E-3</v>
      </c>
      <c r="Z656" s="110">
        <f t="shared" si="273"/>
        <v>8.6741593579828041E-4</v>
      </c>
      <c r="AA656" s="110">
        <f t="shared" si="273"/>
        <v>7.9413739771690209E-2</v>
      </c>
      <c r="AB656" s="110">
        <f t="shared" si="273"/>
        <v>2.8862216031983624E-3</v>
      </c>
      <c r="AC656" s="110">
        <f t="shared" si="273"/>
        <v>8.1598017036017434E-2</v>
      </c>
      <c r="AD656" s="110">
        <f t="shared" si="273"/>
        <v>2.2401842859664539E-2</v>
      </c>
      <c r="AE656" s="110">
        <f t="shared" si="273"/>
        <v>0</v>
      </c>
      <c r="AF656" s="229">
        <f t="shared" si="267"/>
        <v>1</v>
      </c>
      <c r="AG656" s="93" t="str">
        <f t="shared" si="268"/>
        <v>ok</v>
      </c>
    </row>
    <row r="657" spans="1:33" s="60" customFormat="1">
      <c r="A657" s="60" t="s">
        <v>277</v>
      </c>
      <c r="D657" s="60" t="s">
        <v>18</v>
      </c>
      <c r="F657" s="81">
        <v>1</v>
      </c>
      <c r="H657" s="110">
        <f>H308/$F$308</f>
        <v>3.7456043686937841E-2</v>
      </c>
      <c r="I657" s="110">
        <f t="shared" ref="I657:AE657" si="274">I308/$F$308</f>
        <v>3.9237576516982967E-2</v>
      </c>
      <c r="J657" s="110">
        <f t="shared" si="274"/>
        <v>3.2253155587042302E-2</v>
      </c>
      <c r="K657" s="110">
        <f t="shared" si="274"/>
        <v>0.74511225748077092</v>
      </c>
      <c r="L657" s="110">
        <f t="shared" si="274"/>
        <v>0</v>
      </c>
      <c r="M657" s="110">
        <f t="shared" si="274"/>
        <v>0</v>
      </c>
      <c r="N657" s="110">
        <f t="shared" si="274"/>
        <v>2.7628544901526868E-2</v>
      </c>
      <c r="O657" s="110">
        <f t="shared" si="274"/>
        <v>0</v>
      </c>
      <c r="P657" s="110">
        <f t="shared" si="274"/>
        <v>0</v>
      </c>
      <c r="Q657" s="110">
        <f t="shared" si="274"/>
        <v>0</v>
      </c>
      <c r="R657" s="110">
        <f t="shared" si="274"/>
        <v>8.1778184910470345E-3</v>
      </c>
      <c r="S657" s="110">
        <f t="shared" si="274"/>
        <v>0</v>
      </c>
      <c r="T657" s="110">
        <f t="shared" si="274"/>
        <v>1.821884716059614E-2</v>
      </c>
      <c r="U657" s="110">
        <f t="shared" si="274"/>
        <v>2.7127837891868851E-2</v>
      </c>
      <c r="V657" s="110">
        <f t="shared" si="274"/>
        <v>6.2200309948872747E-3</v>
      </c>
      <c r="W657" s="110">
        <f t="shared" si="274"/>
        <v>9.1164439031943181E-3</v>
      </c>
      <c r="X657" s="110">
        <f t="shared" si="274"/>
        <v>1.1257688476152652E-3</v>
      </c>
      <c r="Y657" s="110">
        <f t="shared" si="274"/>
        <v>7.873090937387876E-4</v>
      </c>
      <c r="Z657" s="110">
        <f t="shared" si="274"/>
        <v>2.758716424933263E-4</v>
      </c>
      <c r="AA657" s="110">
        <f t="shared" si="274"/>
        <v>1.7879569283677964E-2</v>
      </c>
      <c r="AB657" s="110">
        <f t="shared" si="274"/>
        <v>1.4717643251444103E-3</v>
      </c>
      <c r="AC657" s="110">
        <f t="shared" si="274"/>
        <v>2.3415508916671327E-2</v>
      </c>
      <c r="AD657" s="110">
        <f t="shared" si="274"/>
        <v>4.4956512758041805E-3</v>
      </c>
      <c r="AE657" s="110">
        <f t="shared" si="274"/>
        <v>0</v>
      </c>
      <c r="AF657" s="229">
        <f t="shared" si="267"/>
        <v>1</v>
      </c>
      <c r="AG657" s="93" t="str">
        <f t="shared" si="268"/>
        <v>ok</v>
      </c>
    </row>
    <row r="658" spans="1:33" s="60" customFormat="1">
      <c r="A658" s="60" t="s">
        <v>903</v>
      </c>
      <c r="D658" s="60" t="s">
        <v>651</v>
      </c>
      <c r="F658" s="81">
        <v>1</v>
      </c>
      <c r="H658" s="110">
        <f>H372/$F$372</f>
        <v>0.29077503949207639</v>
      </c>
      <c r="I658" s="110">
        <f t="shared" ref="I658:AE658" si="275">I372/$F$372</f>
        <v>0.30460525827712803</v>
      </c>
      <c r="J658" s="110">
        <f t="shared" si="275"/>
        <v>0.25038449516858274</v>
      </c>
      <c r="K658" s="110">
        <f t="shared" si="275"/>
        <v>0.15423520706221286</v>
      </c>
      <c r="L658" s="110">
        <f t="shared" si="275"/>
        <v>0</v>
      </c>
      <c r="M658" s="110">
        <f t="shared" si="275"/>
        <v>0</v>
      </c>
      <c r="N658" s="110">
        <f t="shared" si="275"/>
        <v>0</v>
      </c>
      <c r="O658" s="110">
        <f t="shared" si="275"/>
        <v>0</v>
      </c>
      <c r="P658" s="110">
        <f t="shared" si="275"/>
        <v>0</v>
      </c>
      <c r="Q658" s="110">
        <f t="shared" si="275"/>
        <v>0</v>
      </c>
      <c r="R658" s="110">
        <f t="shared" si="275"/>
        <v>0</v>
      </c>
      <c r="S658" s="110">
        <f t="shared" si="275"/>
        <v>0</v>
      </c>
      <c r="T658" s="110">
        <f t="shared" si="275"/>
        <v>0</v>
      </c>
      <c r="U658" s="110">
        <f t="shared" si="275"/>
        <v>0</v>
      </c>
      <c r="V658" s="110">
        <f t="shared" si="275"/>
        <v>0</v>
      </c>
      <c r="W658" s="110">
        <f t="shared" si="275"/>
        <v>0</v>
      </c>
      <c r="X658" s="110">
        <f t="shared" si="275"/>
        <v>0</v>
      </c>
      <c r="Y658" s="110">
        <f t="shared" si="275"/>
        <v>0</v>
      </c>
      <c r="Z658" s="110">
        <f t="shared" si="275"/>
        <v>0</v>
      </c>
      <c r="AA658" s="110">
        <f t="shared" si="275"/>
        <v>0</v>
      </c>
      <c r="AB658" s="110">
        <f t="shared" si="275"/>
        <v>0</v>
      </c>
      <c r="AC658" s="110">
        <f t="shared" si="275"/>
        <v>0</v>
      </c>
      <c r="AD658" s="110">
        <f t="shared" si="275"/>
        <v>0</v>
      </c>
      <c r="AE658" s="110">
        <f t="shared" si="275"/>
        <v>0</v>
      </c>
      <c r="AF658" s="229">
        <f t="shared" si="267"/>
        <v>1</v>
      </c>
      <c r="AG658" s="93" t="str">
        <f t="shared" si="268"/>
        <v>ok</v>
      </c>
    </row>
    <row r="659" spans="1:33" s="60" customFormat="1">
      <c r="A659" s="60" t="s">
        <v>904</v>
      </c>
      <c r="D659" s="60" t="s">
        <v>87</v>
      </c>
      <c r="F659" s="81">
        <v>1</v>
      </c>
      <c r="H659" s="110">
        <f>H381/$F$381</f>
        <v>0</v>
      </c>
      <c r="I659" s="110">
        <f t="shared" ref="I659:AE659" si="276">I381/$F$381</f>
        <v>0</v>
      </c>
      <c r="J659" s="110">
        <f t="shared" si="276"/>
        <v>0</v>
      </c>
      <c r="K659" s="110">
        <f t="shared" si="276"/>
        <v>1</v>
      </c>
      <c r="L659" s="110">
        <f t="shared" si="276"/>
        <v>0</v>
      </c>
      <c r="M659" s="110">
        <f t="shared" si="276"/>
        <v>0</v>
      </c>
      <c r="N659" s="110">
        <f t="shared" si="276"/>
        <v>0</v>
      </c>
      <c r="O659" s="110">
        <f t="shared" si="276"/>
        <v>0</v>
      </c>
      <c r="P659" s="110">
        <f t="shared" si="276"/>
        <v>0</v>
      </c>
      <c r="Q659" s="110">
        <f t="shared" si="276"/>
        <v>0</v>
      </c>
      <c r="R659" s="110">
        <f t="shared" si="276"/>
        <v>0</v>
      </c>
      <c r="S659" s="110">
        <f t="shared" si="276"/>
        <v>0</v>
      </c>
      <c r="T659" s="110">
        <f t="shared" si="276"/>
        <v>0</v>
      </c>
      <c r="U659" s="110">
        <f t="shared" si="276"/>
        <v>0</v>
      </c>
      <c r="V659" s="110">
        <f t="shared" si="276"/>
        <v>0</v>
      </c>
      <c r="W659" s="110">
        <f t="shared" si="276"/>
        <v>0</v>
      </c>
      <c r="X659" s="110">
        <f t="shared" si="276"/>
        <v>0</v>
      </c>
      <c r="Y659" s="110">
        <f t="shared" si="276"/>
        <v>0</v>
      </c>
      <c r="Z659" s="110">
        <f t="shared" si="276"/>
        <v>0</v>
      </c>
      <c r="AA659" s="110">
        <f t="shared" si="276"/>
        <v>0</v>
      </c>
      <c r="AB659" s="110">
        <f t="shared" si="276"/>
        <v>0</v>
      </c>
      <c r="AC659" s="110">
        <f t="shared" si="276"/>
        <v>0</v>
      </c>
      <c r="AD659" s="110">
        <f t="shared" si="276"/>
        <v>0</v>
      </c>
      <c r="AE659" s="110">
        <f t="shared" si="276"/>
        <v>0</v>
      </c>
      <c r="AF659" s="229">
        <f t="shared" si="267"/>
        <v>1</v>
      </c>
      <c r="AG659" s="93" t="str">
        <f t="shared" si="268"/>
        <v>ok</v>
      </c>
    </row>
    <row r="660" spans="1:33" s="60" customFormat="1">
      <c r="A660" s="60" t="s">
        <v>905</v>
      </c>
      <c r="D660" s="60" t="s">
        <v>652</v>
      </c>
      <c r="F660" s="81">
        <v>1</v>
      </c>
      <c r="H660" s="110">
        <f>H393/$F$393</f>
        <v>0.34380130494917077</v>
      </c>
      <c r="I660" s="110">
        <f t="shared" ref="I660:AE660" si="277">I393/$F$393</f>
        <v>0.36015362760499087</v>
      </c>
      <c r="J660" s="110">
        <f t="shared" si="277"/>
        <v>0.29604506744583836</v>
      </c>
      <c r="K660" s="110">
        <f t="shared" si="277"/>
        <v>0</v>
      </c>
      <c r="L660" s="110">
        <f t="shared" si="277"/>
        <v>0</v>
      </c>
      <c r="M660" s="110">
        <f t="shared" si="277"/>
        <v>0</v>
      </c>
      <c r="N660" s="110">
        <f t="shared" si="277"/>
        <v>0</v>
      </c>
      <c r="O660" s="110">
        <f t="shared" si="277"/>
        <v>0</v>
      </c>
      <c r="P660" s="110">
        <f t="shared" si="277"/>
        <v>0</v>
      </c>
      <c r="Q660" s="110">
        <f t="shared" si="277"/>
        <v>0</v>
      </c>
      <c r="R660" s="110">
        <f t="shared" si="277"/>
        <v>0</v>
      </c>
      <c r="S660" s="110">
        <f t="shared" si="277"/>
        <v>0</v>
      </c>
      <c r="T660" s="110">
        <f t="shared" si="277"/>
        <v>0</v>
      </c>
      <c r="U660" s="110">
        <f t="shared" si="277"/>
        <v>0</v>
      </c>
      <c r="V660" s="110">
        <f t="shared" si="277"/>
        <v>0</v>
      </c>
      <c r="W660" s="110">
        <f t="shared" si="277"/>
        <v>0</v>
      </c>
      <c r="X660" s="110">
        <f t="shared" si="277"/>
        <v>0</v>
      </c>
      <c r="Y660" s="110">
        <f t="shared" si="277"/>
        <v>0</v>
      </c>
      <c r="Z660" s="110">
        <f t="shared" si="277"/>
        <v>0</v>
      </c>
      <c r="AA660" s="110">
        <f t="shared" si="277"/>
        <v>0</v>
      </c>
      <c r="AB660" s="110">
        <f t="shared" si="277"/>
        <v>0</v>
      </c>
      <c r="AC660" s="110">
        <f t="shared" si="277"/>
        <v>0</v>
      </c>
      <c r="AD660" s="110">
        <f t="shared" si="277"/>
        <v>0</v>
      </c>
      <c r="AE660" s="110">
        <f t="shared" si="277"/>
        <v>0</v>
      </c>
      <c r="AF660" s="229">
        <f t="shared" si="267"/>
        <v>1</v>
      </c>
      <c r="AG660" s="93" t="str">
        <f t="shared" si="268"/>
        <v>ok</v>
      </c>
    </row>
    <row r="661" spans="1:33" s="60" customFormat="1">
      <c r="A661" s="60" t="s">
        <v>906</v>
      </c>
      <c r="D661" s="60" t="s">
        <v>653</v>
      </c>
      <c r="F661" s="81">
        <v>1</v>
      </c>
      <c r="H661" s="110">
        <f>H402/$F$402</f>
        <v>0.13166601494270491</v>
      </c>
      <c r="I661" s="110">
        <f t="shared" ref="I661:AE661" si="278">I402/$F$402</f>
        <v>0.13792848436371963</v>
      </c>
      <c r="J661" s="110">
        <f t="shared" si="278"/>
        <v>0.11337674904928209</v>
      </c>
      <c r="K661" s="110">
        <f t="shared" si="278"/>
        <v>0.61702875164429338</v>
      </c>
      <c r="L661" s="110">
        <f t="shared" si="278"/>
        <v>0</v>
      </c>
      <c r="M661" s="110">
        <f t="shared" si="278"/>
        <v>0</v>
      </c>
      <c r="N661" s="110">
        <f t="shared" si="278"/>
        <v>0</v>
      </c>
      <c r="O661" s="110">
        <f t="shared" si="278"/>
        <v>0</v>
      </c>
      <c r="P661" s="110">
        <f t="shared" si="278"/>
        <v>0</v>
      </c>
      <c r="Q661" s="110">
        <f t="shared" si="278"/>
        <v>0</v>
      </c>
      <c r="R661" s="110">
        <f t="shared" si="278"/>
        <v>0</v>
      </c>
      <c r="S661" s="110">
        <f t="shared" si="278"/>
        <v>0</v>
      </c>
      <c r="T661" s="110">
        <f t="shared" si="278"/>
        <v>0</v>
      </c>
      <c r="U661" s="110">
        <f t="shared" si="278"/>
        <v>0</v>
      </c>
      <c r="V661" s="110">
        <f t="shared" si="278"/>
        <v>0</v>
      </c>
      <c r="W661" s="110">
        <f t="shared" si="278"/>
        <v>0</v>
      </c>
      <c r="X661" s="110">
        <f t="shared" si="278"/>
        <v>0</v>
      </c>
      <c r="Y661" s="110">
        <f t="shared" si="278"/>
        <v>0</v>
      </c>
      <c r="Z661" s="110">
        <f t="shared" si="278"/>
        <v>0</v>
      </c>
      <c r="AA661" s="110">
        <f t="shared" si="278"/>
        <v>0</v>
      </c>
      <c r="AB661" s="110">
        <f t="shared" si="278"/>
        <v>0</v>
      </c>
      <c r="AC661" s="110">
        <f t="shared" si="278"/>
        <v>0</v>
      </c>
      <c r="AD661" s="110">
        <f t="shared" si="278"/>
        <v>0</v>
      </c>
      <c r="AE661" s="110">
        <f t="shared" si="278"/>
        <v>0</v>
      </c>
      <c r="AF661" s="229">
        <f t="shared" si="267"/>
        <v>1</v>
      </c>
      <c r="AG661" s="93" t="str">
        <f t="shared" si="268"/>
        <v>ok</v>
      </c>
    </row>
    <row r="662" spans="1:33" s="60" customFormat="1">
      <c r="A662" s="60" t="s">
        <v>907</v>
      </c>
      <c r="D662" s="60" t="s">
        <v>654</v>
      </c>
      <c r="F662" s="81">
        <v>1</v>
      </c>
      <c r="H662" s="110">
        <f>H415/$F$415</f>
        <v>0.34380130494917083</v>
      </c>
      <c r="I662" s="110">
        <f t="shared" ref="I662:AE662" si="279">I415/$F$415</f>
        <v>0.36015362760499087</v>
      </c>
      <c r="J662" s="110">
        <f t="shared" si="279"/>
        <v>0.29604506744583831</v>
      </c>
      <c r="K662" s="110">
        <f t="shared" si="279"/>
        <v>0</v>
      </c>
      <c r="L662" s="110">
        <f t="shared" si="279"/>
        <v>0</v>
      </c>
      <c r="M662" s="110">
        <f t="shared" si="279"/>
        <v>0</v>
      </c>
      <c r="N662" s="110">
        <f t="shared" si="279"/>
        <v>0</v>
      </c>
      <c r="O662" s="110">
        <f t="shared" si="279"/>
        <v>0</v>
      </c>
      <c r="P662" s="110">
        <f t="shared" si="279"/>
        <v>0</v>
      </c>
      <c r="Q662" s="110">
        <f t="shared" si="279"/>
        <v>0</v>
      </c>
      <c r="R662" s="110">
        <f t="shared" si="279"/>
        <v>0</v>
      </c>
      <c r="S662" s="110">
        <f t="shared" si="279"/>
        <v>0</v>
      </c>
      <c r="T662" s="110">
        <f t="shared" si="279"/>
        <v>0</v>
      </c>
      <c r="U662" s="110">
        <f t="shared" si="279"/>
        <v>0</v>
      </c>
      <c r="V662" s="110">
        <f t="shared" si="279"/>
        <v>0</v>
      </c>
      <c r="W662" s="110">
        <f t="shared" si="279"/>
        <v>0</v>
      </c>
      <c r="X662" s="110">
        <f t="shared" si="279"/>
        <v>0</v>
      </c>
      <c r="Y662" s="110">
        <f t="shared" si="279"/>
        <v>0</v>
      </c>
      <c r="Z662" s="110">
        <f t="shared" si="279"/>
        <v>0</v>
      </c>
      <c r="AA662" s="110">
        <f t="shared" si="279"/>
        <v>0</v>
      </c>
      <c r="AB662" s="110">
        <f t="shared" si="279"/>
        <v>0</v>
      </c>
      <c r="AC662" s="110">
        <f t="shared" si="279"/>
        <v>0</v>
      </c>
      <c r="AD662" s="110">
        <f t="shared" si="279"/>
        <v>0</v>
      </c>
      <c r="AE662" s="110">
        <f t="shared" si="279"/>
        <v>0</v>
      </c>
      <c r="AF662" s="229">
        <f t="shared" si="267"/>
        <v>1</v>
      </c>
      <c r="AG662" s="93" t="str">
        <f t="shared" si="268"/>
        <v>ok</v>
      </c>
    </row>
    <row r="663" spans="1:33" s="60" customFormat="1">
      <c r="A663" s="60" t="s">
        <v>104</v>
      </c>
      <c r="D663" s="60" t="s">
        <v>666</v>
      </c>
      <c r="F663" s="81">
        <v>1</v>
      </c>
      <c r="H663" s="287">
        <f>H450/$F$450</f>
        <v>0</v>
      </c>
      <c r="I663" s="287">
        <f t="shared" ref="I663:AE663" si="280">I450/$F$450</f>
        <v>0</v>
      </c>
      <c r="J663" s="287">
        <f t="shared" si="280"/>
        <v>0</v>
      </c>
      <c r="K663" s="287">
        <f t="shared" si="280"/>
        <v>0</v>
      </c>
      <c r="L663" s="287">
        <f t="shared" si="280"/>
        <v>0</v>
      </c>
      <c r="M663" s="287">
        <f t="shared" si="280"/>
        <v>0</v>
      </c>
      <c r="N663" s="287">
        <f t="shared" si="280"/>
        <v>1</v>
      </c>
      <c r="O663" s="287">
        <f t="shared" si="280"/>
        <v>0</v>
      </c>
      <c r="P663" s="287">
        <f t="shared" si="280"/>
        <v>0</v>
      </c>
      <c r="Q663" s="287">
        <f t="shared" si="280"/>
        <v>0</v>
      </c>
      <c r="R663" s="287">
        <f t="shared" si="280"/>
        <v>0</v>
      </c>
      <c r="S663" s="287">
        <f t="shared" si="280"/>
        <v>0</v>
      </c>
      <c r="T663" s="287">
        <f t="shared" si="280"/>
        <v>0</v>
      </c>
      <c r="U663" s="287">
        <f t="shared" si="280"/>
        <v>0</v>
      </c>
      <c r="V663" s="287">
        <f t="shared" si="280"/>
        <v>0</v>
      </c>
      <c r="W663" s="287">
        <f t="shared" si="280"/>
        <v>0</v>
      </c>
      <c r="X663" s="287">
        <f t="shared" si="280"/>
        <v>0</v>
      </c>
      <c r="Y663" s="287">
        <f t="shared" si="280"/>
        <v>0</v>
      </c>
      <c r="Z663" s="287">
        <f t="shared" si="280"/>
        <v>0</v>
      </c>
      <c r="AA663" s="287">
        <f t="shared" si="280"/>
        <v>0</v>
      </c>
      <c r="AB663" s="287">
        <f t="shared" si="280"/>
        <v>0</v>
      </c>
      <c r="AC663" s="287">
        <f t="shared" si="280"/>
        <v>0</v>
      </c>
      <c r="AD663" s="287">
        <f t="shared" si="280"/>
        <v>0</v>
      </c>
      <c r="AE663" s="287">
        <f t="shared" si="280"/>
        <v>0</v>
      </c>
      <c r="AF663" s="229">
        <f t="shared" si="267"/>
        <v>1</v>
      </c>
      <c r="AG663" s="93" t="str">
        <f t="shared" si="268"/>
        <v>ok</v>
      </c>
    </row>
    <row r="664" spans="1:33" s="60" customFormat="1">
      <c r="A664" s="60" t="s">
        <v>107</v>
      </c>
      <c r="D664" s="60" t="s">
        <v>64</v>
      </c>
      <c r="F664" s="81">
        <v>1</v>
      </c>
      <c r="H664" s="110">
        <f>H465/$F$465</f>
        <v>0</v>
      </c>
      <c r="I664" s="110">
        <f t="shared" ref="I664:AE664" si="281">I465/$F$465</f>
        <v>0</v>
      </c>
      <c r="J664" s="110">
        <f t="shared" si="281"/>
        <v>0</v>
      </c>
      <c r="K664" s="110">
        <f t="shared" si="281"/>
        <v>0</v>
      </c>
      <c r="L664" s="110">
        <f t="shared" si="281"/>
        <v>0</v>
      </c>
      <c r="M664" s="110">
        <f t="shared" si="281"/>
        <v>0</v>
      </c>
      <c r="N664" s="110">
        <f t="shared" si="281"/>
        <v>0</v>
      </c>
      <c r="O664" s="110">
        <f t="shared" si="281"/>
        <v>0</v>
      </c>
      <c r="P664" s="110">
        <f t="shared" si="281"/>
        <v>0</v>
      </c>
      <c r="Q664" s="110">
        <f t="shared" si="281"/>
        <v>0</v>
      </c>
      <c r="R664" s="110">
        <f t="shared" si="281"/>
        <v>0.18554529987466303</v>
      </c>
      <c r="S664" s="110">
        <f t="shared" si="281"/>
        <v>0</v>
      </c>
      <c r="T664" s="110">
        <f t="shared" si="281"/>
        <v>0.10080219959016412</v>
      </c>
      <c r="U664" s="110">
        <f t="shared" si="281"/>
        <v>0.15321891331113965</v>
      </c>
      <c r="V664" s="110">
        <f t="shared" si="281"/>
        <v>3.2384755745282698E-2</v>
      </c>
      <c r="W664" s="110">
        <f t="shared" si="281"/>
        <v>4.7918067768662496E-2</v>
      </c>
      <c r="X664" s="110">
        <f t="shared" si="281"/>
        <v>1.3016174524178213E-2</v>
      </c>
      <c r="Y664" s="110">
        <f t="shared" si="281"/>
        <v>9.1028922947056397E-3</v>
      </c>
      <c r="Z664" s="110">
        <f t="shared" si="281"/>
        <v>4.5206665161972373E-3</v>
      </c>
      <c r="AA664" s="110">
        <f t="shared" si="281"/>
        <v>0.43912250251661644</v>
      </c>
      <c r="AB664" s="110">
        <f t="shared" si="281"/>
        <v>1.436852785839046E-2</v>
      </c>
      <c r="AC664" s="110">
        <f t="shared" si="281"/>
        <v>0</v>
      </c>
      <c r="AD664" s="110">
        <f t="shared" si="281"/>
        <v>0</v>
      </c>
      <c r="AE664" s="110">
        <f t="shared" si="281"/>
        <v>0</v>
      </c>
      <c r="AF664" s="229">
        <f t="shared" si="267"/>
        <v>1</v>
      </c>
      <c r="AG664" s="93" t="str">
        <f t="shared" si="268"/>
        <v>ok</v>
      </c>
    </row>
    <row r="665" spans="1:33" s="60" customFormat="1">
      <c r="A665" s="60" t="s">
        <v>109</v>
      </c>
      <c r="D665" s="60" t="s">
        <v>73</v>
      </c>
      <c r="F665" s="81">
        <v>1</v>
      </c>
      <c r="H665" s="110">
        <f>H484/$F$484</f>
        <v>0</v>
      </c>
      <c r="I665" s="110">
        <f t="shared" ref="I665:AE665" si="282">I484/$F$484</f>
        <v>0</v>
      </c>
      <c r="J665" s="110">
        <f t="shared" si="282"/>
        <v>0</v>
      </c>
      <c r="K665" s="110">
        <f t="shared" si="282"/>
        <v>0</v>
      </c>
      <c r="L665" s="110">
        <f t="shared" si="282"/>
        <v>0</v>
      </c>
      <c r="M665" s="110">
        <f t="shared" si="282"/>
        <v>0</v>
      </c>
      <c r="N665" s="110">
        <f t="shared" si="282"/>
        <v>0</v>
      </c>
      <c r="O665" s="110">
        <f t="shared" si="282"/>
        <v>0</v>
      </c>
      <c r="P665" s="110">
        <f t="shared" si="282"/>
        <v>0</v>
      </c>
      <c r="Q665" s="110">
        <f t="shared" si="282"/>
        <v>0</v>
      </c>
      <c r="R665" s="110">
        <f t="shared" si="282"/>
        <v>6.0835060559927122E-2</v>
      </c>
      <c r="S665" s="110">
        <f t="shared" si="282"/>
        <v>0</v>
      </c>
      <c r="T665" s="110">
        <f t="shared" si="282"/>
        <v>0.27464504016775193</v>
      </c>
      <c r="U665" s="110">
        <f t="shared" si="282"/>
        <v>0.41213682529811013</v>
      </c>
      <c r="V665" s="110">
        <f t="shared" si="282"/>
        <v>9.1692831736232633E-2</v>
      </c>
      <c r="W665" s="110">
        <f t="shared" si="282"/>
        <v>0.13485307232167992</v>
      </c>
      <c r="X665" s="110">
        <f t="shared" si="282"/>
        <v>1.3980846214830438E-2</v>
      </c>
      <c r="Y665" s="110">
        <f t="shared" si="282"/>
        <v>9.7775377124854224E-3</v>
      </c>
      <c r="Z665" s="110">
        <f t="shared" si="282"/>
        <v>0</v>
      </c>
      <c r="AA665" s="110">
        <f t="shared" si="282"/>
        <v>0</v>
      </c>
      <c r="AB665" s="110">
        <f t="shared" si="282"/>
        <v>2.0787859889824342E-3</v>
      </c>
      <c r="AC665" s="110">
        <f t="shared" si="282"/>
        <v>0</v>
      </c>
      <c r="AD665" s="110">
        <f t="shared" si="282"/>
        <v>0</v>
      </c>
      <c r="AE665" s="110">
        <f t="shared" si="282"/>
        <v>0</v>
      </c>
      <c r="AF665" s="229">
        <f t="shared" si="267"/>
        <v>1</v>
      </c>
      <c r="AG665" s="93" t="str">
        <f t="shared" si="268"/>
        <v>ok</v>
      </c>
    </row>
    <row r="666" spans="1:33" s="60" customFormat="1">
      <c r="A666" s="60" t="s">
        <v>846</v>
      </c>
      <c r="D666" s="60" t="s">
        <v>664</v>
      </c>
      <c r="F666" s="81">
        <v>1</v>
      </c>
      <c r="H666" s="110">
        <f>H516/$F$516</f>
        <v>0.11632789589502381</v>
      </c>
      <c r="I666" s="110">
        <f t="shared" ref="I666:AE666" si="283">I516/$F$516</f>
        <v>0.12186083384541734</v>
      </c>
      <c r="J666" s="110">
        <f t="shared" si="283"/>
        <v>0.10016919450368669</v>
      </c>
      <c r="K666" s="110">
        <f t="shared" si="283"/>
        <v>0.25272479827938532</v>
      </c>
      <c r="L666" s="110">
        <f t="shared" si="283"/>
        <v>0</v>
      </c>
      <c r="M666" s="110">
        <f t="shared" si="283"/>
        <v>0</v>
      </c>
      <c r="N666" s="110">
        <f t="shared" si="283"/>
        <v>5.9942509392452215E-2</v>
      </c>
      <c r="O666" s="110">
        <f t="shared" si="283"/>
        <v>0</v>
      </c>
      <c r="P666" s="110">
        <f t="shared" si="283"/>
        <v>0</v>
      </c>
      <c r="Q666" s="110">
        <f t="shared" si="283"/>
        <v>0</v>
      </c>
      <c r="R666" s="110">
        <f t="shared" si="283"/>
        <v>3.7538024885236762E-2</v>
      </c>
      <c r="S666" s="110">
        <f t="shared" si="283"/>
        <v>0</v>
      </c>
      <c r="T666" s="110">
        <f t="shared" si="283"/>
        <v>3.5502162101832983E-2</v>
      </c>
      <c r="U666" s="110">
        <f t="shared" si="283"/>
        <v>5.3630282693448238E-2</v>
      </c>
      <c r="V666" s="110">
        <f t="shared" si="283"/>
        <v>1.1622015641304991E-2</v>
      </c>
      <c r="W666" s="110">
        <f t="shared" si="283"/>
        <v>1.7145214201999007E-2</v>
      </c>
      <c r="X666" s="110">
        <f t="shared" si="283"/>
        <v>3.2407646065037688E-3</v>
      </c>
      <c r="Y666" s="110">
        <f t="shared" si="283"/>
        <v>2.2664363566038182E-3</v>
      </c>
      <c r="Z666" s="110">
        <f t="shared" si="283"/>
        <v>8.2189206949956968E-4</v>
      </c>
      <c r="AA666" s="110">
        <f t="shared" si="283"/>
        <v>7.9835860721885032E-2</v>
      </c>
      <c r="AB666" s="110">
        <f t="shared" si="283"/>
        <v>2.7423108292161992E-3</v>
      </c>
      <c r="AC666" s="110">
        <f t="shared" si="283"/>
        <v>8.2092269507994184E-2</v>
      </c>
      <c r="AD666" s="110">
        <f t="shared" si="283"/>
        <v>2.253753446851009E-2</v>
      </c>
      <c r="AE666" s="110">
        <f t="shared" si="283"/>
        <v>0</v>
      </c>
      <c r="AF666" s="229">
        <f t="shared" si="267"/>
        <v>1</v>
      </c>
      <c r="AG666" s="93" t="str">
        <f t="shared" si="268"/>
        <v>ok</v>
      </c>
    </row>
    <row r="667" spans="1:33" s="60" customFormat="1">
      <c r="A667" s="60" t="s">
        <v>957</v>
      </c>
      <c r="D667" s="60" t="s">
        <v>958</v>
      </c>
      <c r="F667" s="81">
        <v>1</v>
      </c>
      <c r="H667" s="110">
        <f>H60/$F$60</f>
        <v>0.19283906465573769</v>
      </c>
      <c r="I667" s="110">
        <f t="shared" ref="I667:AE667" si="284">I60/$F$60</f>
        <v>0.20201112584486958</v>
      </c>
      <c r="J667" s="110">
        <f t="shared" si="284"/>
        <v>0.16605246425879791</v>
      </c>
      <c r="K667" s="110">
        <f t="shared" si="284"/>
        <v>0</v>
      </c>
      <c r="L667" s="110">
        <f t="shared" si="284"/>
        <v>0</v>
      </c>
      <c r="M667" s="110">
        <f t="shared" si="284"/>
        <v>0</v>
      </c>
      <c r="N667" s="110">
        <f t="shared" si="284"/>
        <v>0.10758568985889098</v>
      </c>
      <c r="O667" s="110">
        <f t="shared" si="284"/>
        <v>0</v>
      </c>
      <c r="P667" s="110">
        <f t="shared" si="284"/>
        <v>0</v>
      </c>
      <c r="Q667" s="110">
        <f t="shared" si="284"/>
        <v>0</v>
      </c>
      <c r="R667" s="110">
        <f t="shared" si="284"/>
        <v>3.7143345726016942E-2</v>
      </c>
      <c r="S667" s="110">
        <f t="shared" si="284"/>
        <v>0</v>
      </c>
      <c r="T667" s="110">
        <f t="shared" si="284"/>
        <v>6.3518941758240924E-2</v>
      </c>
      <c r="U667" s="110">
        <f t="shared" si="284"/>
        <v>0.10108224427068532</v>
      </c>
      <c r="V667" s="110">
        <f t="shared" si="284"/>
        <v>1.7461595794508913E-2</v>
      </c>
      <c r="W667" s="110">
        <f t="shared" si="284"/>
        <v>2.6535619961911242E-2</v>
      </c>
      <c r="X667" s="110">
        <f t="shared" si="284"/>
        <v>2.4137193656131796E-2</v>
      </c>
      <c r="Y667" s="110">
        <f t="shared" si="284"/>
        <v>1.6880403204496217E-2</v>
      </c>
      <c r="Z667" s="110">
        <f t="shared" si="284"/>
        <v>8.383123855135349E-3</v>
      </c>
      <c r="AA667" s="110">
        <f t="shared" si="284"/>
        <v>9.7241895151196339E-3</v>
      </c>
      <c r="AB667" s="110">
        <f t="shared" si="284"/>
        <v>2.6644997639457487E-2</v>
      </c>
      <c r="AC667" s="110">
        <f t="shared" si="284"/>
        <v>0</v>
      </c>
      <c r="AD667" s="110">
        <f t="shared" si="284"/>
        <v>0</v>
      </c>
      <c r="AE667" s="110">
        <f t="shared" si="284"/>
        <v>0</v>
      </c>
      <c r="AF667" s="229">
        <f t="shared" si="267"/>
        <v>1</v>
      </c>
      <c r="AG667" s="93" t="str">
        <f t="shared" si="268"/>
        <v>ok</v>
      </c>
    </row>
    <row r="668" spans="1:33" s="60" customFormat="1">
      <c r="A668" s="60" t="s">
        <v>200</v>
      </c>
      <c r="D668" s="60" t="s">
        <v>201</v>
      </c>
      <c r="F668" s="81">
        <v>1</v>
      </c>
      <c r="H668" s="110">
        <f>H29/$F$29</f>
        <v>0.34380130494917083</v>
      </c>
      <c r="I668" s="110">
        <f t="shared" ref="I668:AE668" si="285">I29/$F$29</f>
        <v>0.36015362760499087</v>
      </c>
      <c r="J668" s="110">
        <f t="shared" si="285"/>
        <v>0.29604506744583842</v>
      </c>
      <c r="K668" s="110">
        <f t="shared" si="285"/>
        <v>0</v>
      </c>
      <c r="L668" s="110">
        <f t="shared" si="285"/>
        <v>0</v>
      </c>
      <c r="M668" s="110">
        <f t="shared" si="285"/>
        <v>0</v>
      </c>
      <c r="N668" s="110">
        <f t="shared" si="285"/>
        <v>0</v>
      </c>
      <c r="O668" s="110">
        <f t="shared" si="285"/>
        <v>0</v>
      </c>
      <c r="P668" s="110">
        <f t="shared" si="285"/>
        <v>0</v>
      </c>
      <c r="Q668" s="110">
        <f t="shared" si="285"/>
        <v>0</v>
      </c>
      <c r="R668" s="110">
        <f t="shared" si="285"/>
        <v>0</v>
      </c>
      <c r="S668" s="110">
        <f t="shared" si="285"/>
        <v>0</v>
      </c>
      <c r="T668" s="110">
        <f t="shared" si="285"/>
        <v>0</v>
      </c>
      <c r="U668" s="110">
        <f t="shared" si="285"/>
        <v>0</v>
      </c>
      <c r="V668" s="110">
        <f t="shared" si="285"/>
        <v>0</v>
      </c>
      <c r="W668" s="110">
        <f t="shared" si="285"/>
        <v>0</v>
      </c>
      <c r="X668" s="110">
        <f t="shared" si="285"/>
        <v>0</v>
      </c>
      <c r="Y668" s="110">
        <f t="shared" si="285"/>
        <v>0</v>
      </c>
      <c r="Z668" s="110">
        <f t="shared" si="285"/>
        <v>0</v>
      </c>
      <c r="AA668" s="110">
        <f t="shared" si="285"/>
        <v>0</v>
      </c>
      <c r="AB668" s="110">
        <f t="shared" si="285"/>
        <v>0</v>
      </c>
      <c r="AC668" s="110">
        <f t="shared" si="285"/>
        <v>0</v>
      </c>
      <c r="AD668" s="110">
        <f t="shared" si="285"/>
        <v>0</v>
      </c>
      <c r="AE668" s="110">
        <f t="shared" si="285"/>
        <v>0</v>
      </c>
      <c r="AF668" s="229">
        <f t="shared" si="267"/>
        <v>1</v>
      </c>
      <c r="AG668" s="93" t="str">
        <f t="shared" si="268"/>
        <v>ok</v>
      </c>
    </row>
    <row r="669" spans="1:33" s="60" customFormat="1">
      <c r="A669" s="60" t="s">
        <v>936</v>
      </c>
      <c r="D669" s="60" t="s">
        <v>937</v>
      </c>
      <c r="F669" s="81">
        <v>1</v>
      </c>
      <c r="H669" s="110">
        <f>H15/$F$15</f>
        <v>0.19283906465573772</v>
      </c>
      <c r="I669" s="110">
        <f t="shared" ref="I669:AE669" si="286">I15/$F$15</f>
        <v>0.20201112584486958</v>
      </c>
      <c r="J669" s="110">
        <f t="shared" si="286"/>
        <v>0.16605246425879791</v>
      </c>
      <c r="K669" s="110">
        <f t="shared" si="286"/>
        <v>0</v>
      </c>
      <c r="L669" s="110">
        <f t="shared" si="286"/>
        <v>0</v>
      </c>
      <c r="M669" s="110">
        <f t="shared" si="286"/>
        <v>0</v>
      </c>
      <c r="N669" s="110">
        <f t="shared" si="286"/>
        <v>0.10758568985889098</v>
      </c>
      <c r="O669" s="110">
        <f t="shared" si="286"/>
        <v>0</v>
      </c>
      <c r="P669" s="110">
        <f t="shared" si="286"/>
        <v>0</v>
      </c>
      <c r="Q669" s="110">
        <f t="shared" si="286"/>
        <v>0</v>
      </c>
      <c r="R669" s="110">
        <f t="shared" si="286"/>
        <v>3.7143345726016942E-2</v>
      </c>
      <c r="S669" s="110">
        <f t="shared" si="286"/>
        <v>0</v>
      </c>
      <c r="T669" s="110">
        <f t="shared" si="286"/>
        <v>6.3518941758240924E-2</v>
      </c>
      <c r="U669" s="110">
        <f t="shared" si="286"/>
        <v>0.10108224427068532</v>
      </c>
      <c r="V669" s="110">
        <f t="shared" si="286"/>
        <v>1.7461595794508913E-2</v>
      </c>
      <c r="W669" s="110">
        <f t="shared" si="286"/>
        <v>2.6535619961911242E-2</v>
      </c>
      <c r="X669" s="110">
        <f t="shared" si="286"/>
        <v>2.4137193656131796E-2</v>
      </c>
      <c r="Y669" s="110">
        <f t="shared" si="286"/>
        <v>1.6880403204496217E-2</v>
      </c>
      <c r="Z669" s="110">
        <f t="shared" si="286"/>
        <v>8.3831238551353472E-3</v>
      </c>
      <c r="AA669" s="110">
        <f t="shared" si="286"/>
        <v>9.7241895151196339E-3</v>
      </c>
      <c r="AB669" s="110">
        <f t="shared" si="286"/>
        <v>2.6644997639457487E-2</v>
      </c>
      <c r="AC669" s="110">
        <f t="shared" si="286"/>
        <v>0</v>
      </c>
      <c r="AD669" s="110">
        <f t="shared" si="286"/>
        <v>0</v>
      </c>
      <c r="AE669" s="110">
        <f t="shared" si="286"/>
        <v>0</v>
      </c>
      <c r="AF669" s="229">
        <f t="shared" si="267"/>
        <v>1</v>
      </c>
      <c r="AG669" s="93" t="str">
        <f t="shared" si="268"/>
        <v>ok</v>
      </c>
    </row>
    <row r="670" spans="1:33" s="60" customFormat="1">
      <c r="W670" s="77"/>
    </row>
  </sheetData>
  <autoFilter ref="C2:D669"/>
  <mergeCells count="4">
    <mergeCell ref="V3:W3"/>
    <mergeCell ref="X3:Y3"/>
    <mergeCell ref="H3:J3"/>
    <mergeCell ref="S3:U3"/>
  </mergeCells>
  <phoneticPr fontId="0" type="noConversion"/>
  <printOptions headings="1"/>
  <pageMargins left="0.25" right="0.25" top="1.25" bottom="0.5" header="0.5" footer="0.3"/>
  <pageSetup scale="38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2018
&amp;R&amp;"Times New Roman,Bold"&amp;12Exhibit WSS-21
Page &amp;P of &amp;N</oddHeader>
  </headerFooter>
  <rowBreaks count="14" manualBreakCount="14">
    <brk id="54" max="16383" man="1"/>
    <brk id="90" max="16383" man="1"/>
    <brk id="141" max="16383" man="1"/>
    <brk id="196" max="16383" man="1"/>
    <brk id="241" max="16383" man="1"/>
    <brk id="280" max="16383" man="1"/>
    <brk id="312" max="30" man="1"/>
    <brk id="360" max="16383" man="1"/>
    <brk id="404" max="16383" man="1"/>
    <brk id="435" max="16383" man="1"/>
    <brk id="469" max="16383" man="1"/>
    <brk id="520" max="16383" man="1"/>
    <brk id="566" max="16383" man="1"/>
    <brk id="612" max="16383" man="1"/>
  </rowBreaks>
  <colBreaks count="2" manualBreakCount="2">
    <brk id="17" max="666" man="1"/>
    <brk id="23" max="6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B1244"/>
  <sheetViews>
    <sheetView tabSelected="1" view="pageBreakPreview" zoomScale="75" zoomScaleNormal="80" zoomScaleSheetLayoutView="75" workbookViewId="0">
      <pane xSplit="6" ySplit="4" topLeftCell="G837" activePane="bottomRight" state="frozen"/>
      <selection pane="topRight" activeCell="G1" sqref="G1"/>
      <selection pane="bottomLeft" activeCell="A5" sqref="A5"/>
      <selection pane="bottomRight" activeCell="G963" sqref="G963"/>
    </sheetView>
  </sheetViews>
  <sheetFormatPr defaultColWidth="9.140625" defaultRowHeight="14.25"/>
  <cols>
    <col min="1" max="1" width="7.7109375" style="60" customWidth="1"/>
    <col min="2" max="2" width="33" style="60" customWidth="1"/>
    <col min="3" max="3" width="12.5703125" style="60" customWidth="1"/>
    <col min="4" max="4" width="11.85546875" style="60" customWidth="1"/>
    <col min="5" max="5" width="17.28515625" style="60" bestFit="1" customWidth="1"/>
    <col min="6" max="6" width="18.28515625" style="60" bestFit="1" customWidth="1"/>
    <col min="7" max="7" width="18.28515625" style="60" customWidth="1"/>
    <col min="8" max="8" width="22" style="60" bestFit="1" customWidth="1"/>
    <col min="9" max="9" width="18.28515625" style="60" hidden="1" customWidth="1"/>
    <col min="10" max="11" width="18.28515625" style="60" customWidth="1"/>
    <col min="12" max="13" width="18.28515625" style="60" hidden="1" customWidth="1"/>
    <col min="14" max="14" width="18.28515625" style="60" customWidth="1"/>
    <col min="15" max="15" width="19" style="60" customWidth="1"/>
    <col min="16" max="16" width="19" style="60" bestFit="1" customWidth="1"/>
    <col min="17" max="17" width="23.28515625" style="60" customWidth="1"/>
    <col min="18" max="18" width="23.140625" style="60" bestFit="1" customWidth="1"/>
    <col min="19" max="20" width="20.28515625" style="60" bestFit="1" customWidth="1"/>
    <col min="21" max="21" width="18.28515625" style="60" customWidth="1"/>
    <col min="22" max="23" width="18.28515625" style="60" hidden="1" customWidth="1"/>
    <col min="24" max="24" width="15" style="44" hidden="1" customWidth="1"/>
    <col min="25" max="25" width="15.28515625" style="44" hidden="1" customWidth="1"/>
    <col min="26" max="26" width="15.7109375" style="44" hidden="1" customWidth="1"/>
    <col min="27" max="27" width="22.7109375" style="44" customWidth="1"/>
    <col min="28" max="28" width="10.7109375" style="44" customWidth="1"/>
    <col min="29" max="29" width="15.42578125" style="44" bestFit="1" customWidth="1"/>
    <col min="30" max="32" width="9.140625" style="44"/>
    <col min="33" max="33" width="7.42578125" style="44" customWidth="1"/>
    <col min="34" max="36" width="20.7109375" style="44" customWidth="1"/>
    <col min="37" max="16384" width="9.140625" style="44"/>
  </cols>
  <sheetData>
    <row r="2" spans="1:28" s="93" customFormat="1" hidden="1">
      <c r="D2" s="93">
        <v>1</v>
      </c>
      <c r="E2" s="93">
        <f t="shared" ref="E2:AB2" si="0">+D2+1</f>
        <v>2</v>
      </c>
      <c r="F2" s="93">
        <f t="shared" si="0"/>
        <v>3</v>
      </c>
      <c r="G2" s="93">
        <f t="shared" si="0"/>
        <v>4</v>
      </c>
      <c r="H2" s="93">
        <f t="shared" si="0"/>
        <v>5</v>
      </c>
      <c r="I2" s="93">
        <f t="shared" si="0"/>
        <v>6</v>
      </c>
      <c r="J2" s="93">
        <f t="shared" si="0"/>
        <v>7</v>
      </c>
      <c r="K2" s="93">
        <f>+J2+1</f>
        <v>8</v>
      </c>
      <c r="L2" s="93">
        <f t="shared" si="0"/>
        <v>9</v>
      </c>
      <c r="M2" s="93">
        <f t="shared" si="0"/>
        <v>10</v>
      </c>
      <c r="N2" s="93">
        <f t="shared" si="0"/>
        <v>11</v>
      </c>
      <c r="O2" s="93">
        <f t="shared" si="0"/>
        <v>12</v>
      </c>
      <c r="P2" s="93">
        <f t="shared" si="0"/>
        <v>13</v>
      </c>
      <c r="Q2" s="93">
        <f t="shared" si="0"/>
        <v>14</v>
      </c>
      <c r="R2" s="93">
        <f t="shared" si="0"/>
        <v>15</v>
      </c>
      <c r="S2" s="93">
        <f>R2+1</f>
        <v>16</v>
      </c>
      <c r="T2" s="93">
        <f t="shared" si="0"/>
        <v>17</v>
      </c>
      <c r="U2" s="93">
        <f>+T2+1</f>
        <v>18</v>
      </c>
      <c r="V2" s="93">
        <f t="shared" si="0"/>
        <v>19</v>
      </c>
      <c r="W2" s="93">
        <f>+V2+1</f>
        <v>20</v>
      </c>
      <c r="X2" s="93">
        <f t="shared" si="0"/>
        <v>21</v>
      </c>
      <c r="Y2" s="93">
        <f t="shared" si="0"/>
        <v>22</v>
      </c>
      <c r="Z2" s="93">
        <f t="shared" si="0"/>
        <v>23</v>
      </c>
      <c r="AA2" s="93">
        <f t="shared" si="0"/>
        <v>24</v>
      </c>
      <c r="AB2" s="93">
        <f t="shared" si="0"/>
        <v>25</v>
      </c>
    </row>
    <row r="3" spans="1:28" s="60" customFormat="1" ht="29.25" customHeight="1">
      <c r="A3" s="65"/>
      <c r="B3" s="65"/>
      <c r="C3" s="65"/>
      <c r="D3" s="72"/>
      <c r="E3" s="137" t="s">
        <v>1089</v>
      </c>
      <c r="F3" s="138" t="s">
        <v>922</v>
      </c>
      <c r="G3" s="71" t="s">
        <v>204</v>
      </c>
      <c r="H3" s="71" t="s">
        <v>1342</v>
      </c>
      <c r="I3" s="71" t="s">
        <v>185</v>
      </c>
      <c r="J3" s="72" t="s">
        <v>1175</v>
      </c>
      <c r="K3" s="72" t="s">
        <v>1175</v>
      </c>
      <c r="L3" s="71" t="s">
        <v>185</v>
      </c>
      <c r="M3" s="72" t="s">
        <v>185</v>
      </c>
      <c r="N3" s="71" t="s">
        <v>1326</v>
      </c>
      <c r="O3" s="72" t="s">
        <v>1326</v>
      </c>
      <c r="P3" s="72" t="s">
        <v>1176</v>
      </c>
      <c r="Q3" s="71" t="s">
        <v>592</v>
      </c>
      <c r="R3" s="71" t="s">
        <v>592</v>
      </c>
      <c r="S3" s="71" t="s">
        <v>1086</v>
      </c>
      <c r="T3" s="72" t="s">
        <v>1086</v>
      </c>
      <c r="U3" s="71" t="s">
        <v>918</v>
      </c>
      <c r="V3" s="71" t="s">
        <v>185</v>
      </c>
      <c r="W3" s="71" t="s">
        <v>185</v>
      </c>
      <c r="X3" s="72" t="s">
        <v>185</v>
      </c>
      <c r="Y3" s="72" t="s">
        <v>185</v>
      </c>
      <c r="Z3" s="72" t="s">
        <v>185</v>
      </c>
      <c r="AA3" s="139"/>
      <c r="AB3" s="65"/>
    </row>
    <row r="4" spans="1:28" s="60" customFormat="1" ht="15.75" thickBot="1">
      <c r="A4" s="140" t="s">
        <v>925</v>
      </c>
      <c r="B4" s="140"/>
      <c r="C4" s="141" t="s">
        <v>344</v>
      </c>
      <c r="D4" s="142" t="s">
        <v>926</v>
      </c>
      <c r="E4" s="142" t="s">
        <v>927</v>
      </c>
      <c r="F4" s="73" t="s">
        <v>928</v>
      </c>
      <c r="G4" s="73" t="s">
        <v>1189</v>
      </c>
      <c r="H4" s="73" t="s">
        <v>589</v>
      </c>
      <c r="I4" s="73"/>
      <c r="J4" s="73" t="s">
        <v>590</v>
      </c>
      <c r="K4" s="73" t="s">
        <v>591</v>
      </c>
      <c r="L4" s="73"/>
      <c r="M4" s="73"/>
      <c r="N4" s="73" t="s">
        <v>590</v>
      </c>
      <c r="O4" s="73" t="s">
        <v>591</v>
      </c>
      <c r="P4" s="73" t="s">
        <v>1130</v>
      </c>
      <c r="Q4" s="73" t="s">
        <v>1346</v>
      </c>
      <c r="R4" s="73" t="s">
        <v>1347</v>
      </c>
      <c r="S4" s="73" t="s">
        <v>1293</v>
      </c>
      <c r="T4" s="73" t="s">
        <v>1177</v>
      </c>
      <c r="U4" s="73" t="s">
        <v>593</v>
      </c>
      <c r="V4" s="73"/>
      <c r="W4" s="73"/>
      <c r="X4" s="73"/>
      <c r="Y4" s="73"/>
      <c r="Z4" s="73"/>
      <c r="AA4" s="73" t="s">
        <v>932</v>
      </c>
      <c r="AB4" s="73" t="s">
        <v>933</v>
      </c>
    </row>
    <row r="6" spans="1:28" ht="15">
      <c r="A6" s="65" t="s">
        <v>934</v>
      </c>
    </row>
    <row r="8" spans="1:28" ht="15">
      <c r="A8" s="65" t="s">
        <v>364</v>
      </c>
    </row>
    <row r="9" spans="1:28">
      <c r="A9" s="68" t="s">
        <v>359</v>
      </c>
      <c r="C9" s="60" t="s">
        <v>960</v>
      </c>
      <c r="D9" s="60" t="s">
        <v>365</v>
      </c>
      <c r="E9" s="60" t="s">
        <v>869</v>
      </c>
      <c r="F9" s="76">
        <f>VLOOKUP(C9,'Functional Assignment'!$C$2:$AP$780,'Functional Assignment'!$H$2,)</f>
        <v>834776532.70339584</v>
      </c>
      <c r="G9" s="76">
        <f t="shared" ref="G9:P14" si="1">IF(VLOOKUP($E9,$D$6:$AN$1131,3,)=0,0,(VLOOKUP($E9,$D$6:$AN$1131,G$2,)/VLOOKUP($E9,$D$6:$AN$1131,3,))*$F9)</f>
        <v>302003811.76222789</v>
      </c>
      <c r="H9" s="76">
        <f t="shared" si="1"/>
        <v>98140428.046033695</v>
      </c>
      <c r="I9" s="76">
        <f t="shared" si="1"/>
        <v>0</v>
      </c>
      <c r="J9" s="76">
        <f t="shared" si="1"/>
        <v>11688691.846248744</v>
      </c>
      <c r="K9" s="76">
        <f t="shared" si="1"/>
        <v>135428654.09927532</v>
      </c>
      <c r="L9" s="76">
        <f t="shared" si="1"/>
        <v>0</v>
      </c>
      <c r="M9" s="76">
        <f t="shared" si="1"/>
        <v>0</v>
      </c>
      <c r="N9" s="76">
        <f t="shared" si="1"/>
        <v>130726251.42103043</v>
      </c>
      <c r="O9" s="76">
        <f t="shared" si="1"/>
        <v>57495181.342699356</v>
      </c>
      <c r="P9" s="76">
        <f t="shared" si="1"/>
        <v>79602275.008907408</v>
      </c>
      <c r="Q9" s="76">
        <f t="shared" ref="Q9:Z14" si="2">IF(VLOOKUP($E9,$D$6:$AN$1131,3,)=0,0,(VLOOKUP($E9,$D$6:$AN$1131,Q$2,)/VLOOKUP($E9,$D$6:$AN$1131,3,))*$F9)</f>
        <v>7769583.292031466</v>
      </c>
      <c r="R9" s="76">
        <f t="shared" si="2"/>
        <v>4104643.251121338</v>
      </c>
      <c r="S9" s="76">
        <f t="shared" si="2"/>
        <v>7352742.1771733621</v>
      </c>
      <c r="T9" s="76">
        <f t="shared" si="2"/>
        <v>239671.75845746684</v>
      </c>
      <c r="U9" s="76">
        <f t="shared" si="2"/>
        <v>224598.69818957904</v>
      </c>
      <c r="V9" s="76">
        <f t="shared" si="2"/>
        <v>0</v>
      </c>
      <c r="W9" s="76">
        <f t="shared" si="2"/>
        <v>0</v>
      </c>
      <c r="X9" s="62">
        <f t="shared" si="2"/>
        <v>0</v>
      </c>
      <c r="Y9" s="62">
        <f t="shared" si="2"/>
        <v>0</v>
      </c>
      <c r="Z9" s="62">
        <f t="shared" si="2"/>
        <v>0</v>
      </c>
      <c r="AA9" s="64">
        <f t="shared" ref="AA9:AA15" si="3">SUM(G9:Z9)</f>
        <v>834776532.70339596</v>
      </c>
      <c r="AB9" s="58" t="str">
        <f t="shared" ref="AB9:AB15" si="4">IF(ABS(F9-AA9)&lt;0.01,"ok","err")</f>
        <v>ok</v>
      </c>
    </row>
    <row r="10" spans="1:28">
      <c r="A10" s="68" t="s">
        <v>1255</v>
      </c>
      <c r="C10" s="60" t="s">
        <v>960</v>
      </c>
      <c r="D10" s="60" t="s">
        <v>366</v>
      </c>
      <c r="E10" s="60" t="s">
        <v>188</v>
      </c>
      <c r="F10" s="79">
        <f>VLOOKUP(C10,'Functional Assignment'!$C$2:$AP$780,'Functional Assignment'!$I$2,)</f>
        <v>874481254.62203681</v>
      </c>
      <c r="G10" s="79">
        <f t="shared" si="1"/>
        <v>373681741.60701299</v>
      </c>
      <c r="H10" s="79">
        <f t="shared" si="1"/>
        <v>122277054.94573589</v>
      </c>
      <c r="I10" s="79">
        <f t="shared" si="1"/>
        <v>0</v>
      </c>
      <c r="J10" s="79">
        <f t="shared" si="1"/>
        <v>9508764.9398822486</v>
      </c>
      <c r="K10" s="79">
        <f t="shared" si="1"/>
        <v>127951296.87319207</v>
      </c>
      <c r="L10" s="79">
        <f t="shared" si="1"/>
        <v>0</v>
      </c>
      <c r="M10" s="79">
        <f t="shared" si="1"/>
        <v>0</v>
      </c>
      <c r="N10" s="79">
        <f t="shared" si="1"/>
        <v>101893377.59386589</v>
      </c>
      <c r="O10" s="79">
        <f t="shared" si="1"/>
        <v>68331135.216474876</v>
      </c>
      <c r="P10" s="79">
        <f t="shared" si="1"/>
        <v>60945823.276395164</v>
      </c>
      <c r="Q10" s="79">
        <f t="shared" si="2"/>
        <v>7036581.8245300762</v>
      </c>
      <c r="R10" s="79">
        <f t="shared" si="2"/>
        <v>2674632.0889747618</v>
      </c>
      <c r="S10" s="79">
        <f t="shared" si="2"/>
        <v>0</v>
      </c>
      <c r="T10" s="79">
        <f t="shared" si="2"/>
        <v>0</v>
      </c>
      <c r="U10" s="79">
        <f t="shared" si="2"/>
        <v>180846.25597287799</v>
      </c>
      <c r="V10" s="79">
        <f t="shared" si="2"/>
        <v>0</v>
      </c>
      <c r="W10" s="79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>
        <f t="shared" si="3"/>
        <v>874481254.62203681</v>
      </c>
      <c r="AB10" s="58" t="str">
        <f t="shared" si="4"/>
        <v>ok</v>
      </c>
    </row>
    <row r="11" spans="1:28">
      <c r="A11" s="68" t="s">
        <v>1256</v>
      </c>
      <c r="C11" s="60" t="s">
        <v>960</v>
      </c>
      <c r="D11" s="60" t="s">
        <v>367</v>
      </c>
      <c r="E11" s="60" t="s">
        <v>191</v>
      </c>
      <c r="F11" s="79">
        <f>VLOOKUP(C11,'Functional Assignment'!$C$2:$AP$780,'Functional Assignment'!$J$2,)</f>
        <v>718820642.53047872</v>
      </c>
      <c r="G11" s="79">
        <f t="shared" si="1"/>
        <v>281094821.79396081</v>
      </c>
      <c r="H11" s="79">
        <f t="shared" si="1"/>
        <v>101580706.24064969</v>
      </c>
      <c r="I11" s="79">
        <f t="shared" si="1"/>
        <v>0</v>
      </c>
      <c r="J11" s="79">
        <f t="shared" si="1"/>
        <v>8377545.205064117</v>
      </c>
      <c r="K11" s="79">
        <f t="shared" si="1"/>
        <v>118251070.79385504</v>
      </c>
      <c r="L11" s="79">
        <f t="shared" si="1"/>
        <v>0</v>
      </c>
      <c r="M11" s="79">
        <f t="shared" si="1"/>
        <v>0</v>
      </c>
      <c r="N11" s="79">
        <f t="shared" si="1"/>
        <v>89436342.026382759</v>
      </c>
      <c r="O11" s="79">
        <f t="shared" si="1"/>
        <v>60407075.4142593</v>
      </c>
      <c r="P11" s="79">
        <f t="shared" si="1"/>
        <v>51725640.156809069</v>
      </c>
      <c r="Q11" s="79">
        <f t="shared" si="2"/>
        <v>5585172.5530713191</v>
      </c>
      <c r="R11" s="79">
        <f t="shared" si="2"/>
        <v>2260913.9256575489</v>
      </c>
      <c r="S11" s="79">
        <f t="shared" si="2"/>
        <v>0</v>
      </c>
      <c r="T11" s="79">
        <f t="shared" si="2"/>
        <v>0</v>
      </c>
      <c r="U11" s="79">
        <f t="shared" si="2"/>
        <v>101354.42076899772</v>
      </c>
      <c r="V11" s="79">
        <f t="shared" si="2"/>
        <v>0</v>
      </c>
      <c r="W11" s="79">
        <f t="shared" si="2"/>
        <v>0</v>
      </c>
      <c r="X11" s="63">
        <f t="shared" si="2"/>
        <v>0</v>
      </c>
      <c r="Y11" s="63">
        <f t="shared" si="2"/>
        <v>0</v>
      </c>
      <c r="Z11" s="63">
        <f t="shared" si="2"/>
        <v>0</v>
      </c>
      <c r="AA11" s="63">
        <f t="shared" si="3"/>
        <v>718820642.5304786</v>
      </c>
      <c r="AB11" s="58" t="str">
        <f t="shared" si="4"/>
        <v>ok</v>
      </c>
    </row>
    <row r="12" spans="1:28">
      <c r="A12" s="68" t="s">
        <v>1257</v>
      </c>
      <c r="C12" s="60" t="s">
        <v>960</v>
      </c>
      <c r="D12" s="60" t="s">
        <v>368</v>
      </c>
      <c r="E12" s="60" t="s">
        <v>1091</v>
      </c>
      <c r="F12" s="79">
        <f>VLOOKUP(C12,'Functional Assignment'!$C$2:$AP$780,'Functional Assignment'!$K$2,)</f>
        <v>0</v>
      </c>
      <c r="G12" s="79">
        <f t="shared" si="1"/>
        <v>0</v>
      </c>
      <c r="H12" s="79">
        <f t="shared" si="1"/>
        <v>0</v>
      </c>
      <c r="I12" s="79">
        <f t="shared" si="1"/>
        <v>0</v>
      </c>
      <c r="J12" s="79">
        <f t="shared" si="1"/>
        <v>0</v>
      </c>
      <c r="K12" s="79">
        <f t="shared" si="1"/>
        <v>0</v>
      </c>
      <c r="L12" s="79">
        <f t="shared" si="1"/>
        <v>0</v>
      </c>
      <c r="M12" s="79">
        <f t="shared" si="1"/>
        <v>0</v>
      </c>
      <c r="N12" s="79">
        <f t="shared" si="1"/>
        <v>0</v>
      </c>
      <c r="O12" s="79">
        <f t="shared" si="1"/>
        <v>0</v>
      </c>
      <c r="P12" s="79">
        <f t="shared" si="1"/>
        <v>0</v>
      </c>
      <c r="Q12" s="79">
        <f t="shared" si="2"/>
        <v>0</v>
      </c>
      <c r="R12" s="79">
        <f t="shared" si="2"/>
        <v>0</v>
      </c>
      <c r="S12" s="79">
        <f t="shared" si="2"/>
        <v>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79">
        <f t="shared" si="2"/>
        <v>0</v>
      </c>
      <c r="X12" s="63">
        <f t="shared" si="2"/>
        <v>0</v>
      </c>
      <c r="Y12" s="63">
        <f t="shared" si="2"/>
        <v>0</v>
      </c>
      <c r="Z12" s="63">
        <f t="shared" si="2"/>
        <v>0</v>
      </c>
      <c r="AA12" s="63">
        <f t="shared" si="3"/>
        <v>0</v>
      </c>
      <c r="AB12" s="58" t="str">
        <f t="shared" si="4"/>
        <v>ok</v>
      </c>
    </row>
    <row r="13" spans="1:28" hidden="1">
      <c r="A13" s="68" t="s">
        <v>1258</v>
      </c>
      <c r="C13" s="60" t="s">
        <v>960</v>
      </c>
      <c r="D13" s="60" t="s">
        <v>369</v>
      </c>
      <c r="E13" s="60" t="s">
        <v>1091</v>
      </c>
      <c r="F13" s="79">
        <f>VLOOKUP(C13,'Functional Assignment'!$C$2:$AP$780,'Functional Assignment'!$L$2,)</f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0</v>
      </c>
      <c r="Q13" s="79">
        <f t="shared" si="2"/>
        <v>0</v>
      </c>
      <c r="R13" s="79">
        <f t="shared" si="2"/>
        <v>0</v>
      </c>
      <c r="S13" s="79">
        <f t="shared" si="2"/>
        <v>0</v>
      </c>
      <c r="T13" s="79">
        <f t="shared" si="2"/>
        <v>0</v>
      </c>
      <c r="U13" s="79">
        <f t="shared" si="2"/>
        <v>0</v>
      </c>
      <c r="V13" s="79">
        <f t="shared" si="2"/>
        <v>0</v>
      </c>
      <c r="W13" s="79">
        <f t="shared" si="2"/>
        <v>0</v>
      </c>
      <c r="X13" s="63">
        <f t="shared" si="2"/>
        <v>0</v>
      </c>
      <c r="Y13" s="63">
        <f t="shared" si="2"/>
        <v>0</v>
      </c>
      <c r="Z13" s="63">
        <f t="shared" si="2"/>
        <v>0</v>
      </c>
      <c r="AA13" s="63">
        <f t="shared" si="3"/>
        <v>0</v>
      </c>
      <c r="AB13" s="58" t="str">
        <f t="shared" si="4"/>
        <v>ok</v>
      </c>
    </row>
    <row r="14" spans="1:28" hidden="1">
      <c r="A14" s="68" t="s">
        <v>1258</v>
      </c>
      <c r="C14" s="60" t="s">
        <v>960</v>
      </c>
      <c r="D14" s="60" t="s">
        <v>370</v>
      </c>
      <c r="E14" s="60" t="s">
        <v>1091</v>
      </c>
      <c r="F14" s="79">
        <f>VLOOKUP(C14,'Functional Assignment'!$C$2:$AP$780,'Functional Assignment'!$M$2,)</f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 t="shared" si="1"/>
        <v>0</v>
      </c>
      <c r="Q14" s="79">
        <f t="shared" si="2"/>
        <v>0</v>
      </c>
      <c r="R14" s="79">
        <f t="shared" si="2"/>
        <v>0</v>
      </c>
      <c r="S14" s="79">
        <f t="shared" si="2"/>
        <v>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79">
        <f t="shared" si="2"/>
        <v>0</v>
      </c>
      <c r="X14" s="63">
        <f t="shared" si="2"/>
        <v>0</v>
      </c>
      <c r="Y14" s="63">
        <f t="shared" si="2"/>
        <v>0</v>
      </c>
      <c r="Z14" s="63">
        <f t="shared" si="2"/>
        <v>0</v>
      </c>
      <c r="AA14" s="63">
        <f t="shared" si="3"/>
        <v>0</v>
      </c>
      <c r="AB14" s="58" t="str">
        <f t="shared" si="4"/>
        <v>ok</v>
      </c>
    </row>
    <row r="15" spans="1:28">
      <c r="A15" s="60" t="s">
        <v>387</v>
      </c>
      <c r="D15" s="60" t="s">
        <v>1092</v>
      </c>
      <c r="F15" s="76">
        <f>SUM(F9:F14)</f>
        <v>2428078429.8559113</v>
      </c>
      <c r="G15" s="76">
        <f t="shared" ref="G15:P15" si="5">SUM(G9:G14)</f>
        <v>956780375.16320169</v>
      </c>
      <c r="H15" s="76">
        <f t="shared" si="5"/>
        <v>321998189.23241925</v>
      </c>
      <c r="I15" s="76">
        <f t="shared" si="5"/>
        <v>0</v>
      </c>
      <c r="J15" s="76">
        <f t="shared" si="5"/>
        <v>29575001.991195112</v>
      </c>
      <c r="K15" s="76">
        <f t="shared" si="5"/>
        <v>381631021.76632243</v>
      </c>
      <c r="L15" s="76">
        <f t="shared" si="5"/>
        <v>0</v>
      </c>
      <c r="M15" s="76">
        <f t="shared" si="5"/>
        <v>0</v>
      </c>
      <c r="N15" s="76">
        <f t="shared" si="5"/>
        <v>322055971.04127908</v>
      </c>
      <c r="O15" s="76">
        <f>SUM(O9:O14)</f>
        <v>186233391.97343355</v>
      </c>
      <c r="P15" s="76">
        <f t="shared" si="5"/>
        <v>192273738.44211164</v>
      </c>
      <c r="Q15" s="76">
        <f t="shared" ref="Q15:Z15" si="6">SUM(Q9:Q14)</f>
        <v>20391337.669632863</v>
      </c>
      <c r="R15" s="76">
        <f t="shared" si="6"/>
        <v>9040189.2657536492</v>
      </c>
      <c r="S15" s="76">
        <f t="shared" si="6"/>
        <v>7352742.1771733621</v>
      </c>
      <c r="T15" s="76">
        <f t="shared" si="6"/>
        <v>239671.75845746684</v>
      </c>
      <c r="U15" s="76">
        <f t="shared" si="6"/>
        <v>506799.37493145477</v>
      </c>
      <c r="V15" s="76">
        <f t="shared" si="6"/>
        <v>0</v>
      </c>
      <c r="W15" s="76">
        <f t="shared" si="6"/>
        <v>0</v>
      </c>
      <c r="X15" s="62">
        <f t="shared" si="6"/>
        <v>0</v>
      </c>
      <c r="Y15" s="62">
        <f t="shared" si="6"/>
        <v>0</v>
      </c>
      <c r="Z15" s="62">
        <f t="shared" si="6"/>
        <v>0</v>
      </c>
      <c r="AA15" s="64">
        <f t="shared" si="3"/>
        <v>2428078429.8559113</v>
      </c>
      <c r="AB15" s="58" t="str">
        <f t="shared" si="4"/>
        <v>ok</v>
      </c>
    </row>
    <row r="16" spans="1:28">
      <c r="F16" s="79"/>
      <c r="G16" s="79"/>
    </row>
    <row r="17" spans="1:28" ht="15">
      <c r="A17" s="65" t="s">
        <v>1131</v>
      </c>
      <c r="F17" s="79"/>
      <c r="G17" s="79"/>
    </row>
    <row r="18" spans="1:28">
      <c r="A18" s="68" t="s">
        <v>1363</v>
      </c>
      <c r="C18" s="60" t="s">
        <v>960</v>
      </c>
      <c r="D18" s="60" t="s">
        <v>360</v>
      </c>
      <c r="E18" s="60" t="s">
        <v>1367</v>
      </c>
      <c r="F18" s="76">
        <f>VLOOKUP(C18,'Functional Assignment'!$C$2:$AP$780,'Functional Assignment'!$N$2,)</f>
        <v>465684635.2936042</v>
      </c>
      <c r="G18" s="76">
        <f t="shared" ref="G18:P20" si="7">IF(VLOOKUP($E18,$D$6:$AN$1131,3,)=0,0,(VLOOKUP($E18,$D$6:$AN$1131,G$2,)/VLOOKUP($E18,$D$6:$AN$1131,3,))*$F18)</f>
        <v>206944618.61384949</v>
      </c>
      <c r="H18" s="76">
        <f t="shared" si="7"/>
        <v>59568432.414921001</v>
      </c>
      <c r="I18" s="76">
        <f t="shared" si="7"/>
        <v>0</v>
      </c>
      <c r="J18" s="76">
        <f t="shared" si="7"/>
        <v>5292707.3815755583</v>
      </c>
      <c r="K18" s="76">
        <f t="shared" si="7"/>
        <v>61430380.790279523</v>
      </c>
      <c r="L18" s="76">
        <f t="shared" si="7"/>
        <v>0</v>
      </c>
      <c r="M18" s="76">
        <f t="shared" si="7"/>
        <v>0</v>
      </c>
      <c r="N18" s="76">
        <f t="shared" si="7"/>
        <v>55882901.121297717</v>
      </c>
      <c r="O18" s="76">
        <f t="shared" si="7"/>
        <v>33180333.805065773</v>
      </c>
      <c r="P18" s="76">
        <f t="shared" si="7"/>
        <v>34368775.929895379</v>
      </c>
      <c r="Q18" s="76">
        <f t="shared" ref="Q18:Z20" si="8">IF(VLOOKUP($E18,$D$6:$AN$1131,3,)=0,0,(VLOOKUP($E18,$D$6:$AN$1131,Q$2,)/VLOOKUP($E18,$D$6:$AN$1131,3,))*$F18)</f>
        <v>3464523.9369553626</v>
      </c>
      <c r="R18" s="76">
        <f t="shared" si="8"/>
        <v>1813381.6732500023</v>
      </c>
      <c r="S18" s="76">
        <f t="shared" si="8"/>
        <v>3572282.1783979638</v>
      </c>
      <c r="T18" s="76">
        <f t="shared" si="8"/>
        <v>114251.89598414062</v>
      </c>
      <c r="U18" s="76">
        <f t="shared" si="8"/>
        <v>52045.552132363286</v>
      </c>
      <c r="V18" s="76">
        <f t="shared" si="8"/>
        <v>0</v>
      </c>
      <c r="W18" s="76">
        <f t="shared" si="8"/>
        <v>0</v>
      </c>
      <c r="X18" s="62">
        <f t="shared" si="8"/>
        <v>0</v>
      </c>
      <c r="Y18" s="62">
        <f t="shared" si="8"/>
        <v>0</v>
      </c>
      <c r="Z18" s="62">
        <f t="shared" si="8"/>
        <v>0</v>
      </c>
      <c r="AA18" s="64">
        <f>SUM(G18:Z18)</f>
        <v>465684635.29360431</v>
      </c>
      <c r="AB18" s="58" t="str">
        <f>IF(ABS(F18-AA18)&lt;0.01,"ok","err")</f>
        <v>ok</v>
      </c>
    </row>
    <row r="19" spans="1:28" hidden="1">
      <c r="A19" s="68" t="s">
        <v>1364</v>
      </c>
      <c r="C19" s="60" t="s">
        <v>960</v>
      </c>
      <c r="D19" s="60" t="s">
        <v>361</v>
      </c>
      <c r="E19" s="60" t="s">
        <v>188</v>
      </c>
      <c r="F19" s="79">
        <f>VLOOKUP(C19,'Functional Assignment'!$C$2:$AP$780,'Functional Assignment'!$O$2,)</f>
        <v>0</v>
      </c>
      <c r="G19" s="79">
        <f t="shared" si="7"/>
        <v>0</v>
      </c>
      <c r="H19" s="79">
        <f t="shared" si="7"/>
        <v>0</v>
      </c>
      <c r="I19" s="79">
        <f t="shared" si="7"/>
        <v>0</v>
      </c>
      <c r="J19" s="79">
        <f t="shared" si="7"/>
        <v>0</v>
      </c>
      <c r="K19" s="79">
        <f t="shared" si="7"/>
        <v>0</v>
      </c>
      <c r="L19" s="79">
        <f t="shared" si="7"/>
        <v>0</v>
      </c>
      <c r="M19" s="79">
        <f t="shared" si="7"/>
        <v>0</v>
      </c>
      <c r="N19" s="79">
        <f t="shared" si="7"/>
        <v>0</v>
      </c>
      <c r="O19" s="79">
        <f t="shared" si="7"/>
        <v>0</v>
      </c>
      <c r="P19" s="79">
        <f t="shared" si="7"/>
        <v>0</v>
      </c>
      <c r="Q19" s="79">
        <f t="shared" si="8"/>
        <v>0</v>
      </c>
      <c r="R19" s="79">
        <f t="shared" si="8"/>
        <v>0</v>
      </c>
      <c r="S19" s="79">
        <f t="shared" si="8"/>
        <v>0</v>
      </c>
      <c r="T19" s="79">
        <f t="shared" si="8"/>
        <v>0</v>
      </c>
      <c r="U19" s="79">
        <f t="shared" si="8"/>
        <v>0</v>
      </c>
      <c r="V19" s="79">
        <f t="shared" si="8"/>
        <v>0</v>
      </c>
      <c r="W19" s="79">
        <f t="shared" si="8"/>
        <v>0</v>
      </c>
      <c r="X19" s="63">
        <f t="shared" si="8"/>
        <v>0</v>
      </c>
      <c r="Y19" s="63">
        <f t="shared" si="8"/>
        <v>0</v>
      </c>
      <c r="Z19" s="63">
        <f t="shared" si="8"/>
        <v>0</v>
      </c>
      <c r="AA19" s="63">
        <f>SUM(G19:Z19)</f>
        <v>0</v>
      </c>
      <c r="AB19" s="58" t="str">
        <f>IF(ABS(F19-AA19)&lt;0.01,"ok","err")</f>
        <v>ok</v>
      </c>
    </row>
    <row r="20" spans="1:28" hidden="1">
      <c r="A20" s="68" t="s">
        <v>1364</v>
      </c>
      <c r="C20" s="60" t="s">
        <v>960</v>
      </c>
      <c r="D20" s="60" t="s">
        <v>362</v>
      </c>
      <c r="E20" s="60" t="s">
        <v>191</v>
      </c>
      <c r="F20" s="79">
        <f>VLOOKUP(C20,'Functional Assignment'!$C$2:$AP$780,'Functional Assignment'!$P$2,)</f>
        <v>0</v>
      </c>
      <c r="G20" s="79">
        <f t="shared" si="7"/>
        <v>0</v>
      </c>
      <c r="H20" s="79">
        <f t="shared" si="7"/>
        <v>0</v>
      </c>
      <c r="I20" s="79">
        <f t="shared" si="7"/>
        <v>0</v>
      </c>
      <c r="J20" s="79">
        <f t="shared" si="7"/>
        <v>0</v>
      </c>
      <c r="K20" s="79">
        <f t="shared" si="7"/>
        <v>0</v>
      </c>
      <c r="L20" s="79">
        <f t="shared" si="7"/>
        <v>0</v>
      </c>
      <c r="M20" s="79">
        <f t="shared" si="7"/>
        <v>0</v>
      </c>
      <c r="N20" s="79">
        <f t="shared" si="7"/>
        <v>0</v>
      </c>
      <c r="O20" s="79">
        <f t="shared" si="7"/>
        <v>0</v>
      </c>
      <c r="P20" s="79">
        <f t="shared" si="7"/>
        <v>0</v>
      </c>
      <c r="Q20" s="79">
        <f t="shared" si="8"/>
        <v>0</v>
      </c>
      <c r="R20" s="79">
        <f t="shared" si="8"/>
        <v>0</v>
      </c>
      <c r="S20" s="79">
        <f t="shared" si="8"/>
        <v>0</v>
      </c>
      <c r="T20" s="79">
        <f t="shared" si="8"/>
        <v>0</v>
      </c>
      <c r="U20" s="79">
        <f t="shared" si="8"/>
        <v>0</v>
      </c>
      <c r="V20" s="79">
        <f t="shared" si="8"/>
        <v>0</v>
      </c>
      <c r="W20" s="79">
        <f t="shared" si="8"/>
        <v>0</v>
      </c>
      <c r="X20" s="63">
        <f t="shared" si="8"/>
        <v>0</v>
      </c>
      <c r="Y20" s="63">
        <f t="shared" si="8"/>
        <v>0</v>
      </c>
      <c r="Z20" s="63">
        <f t="shared" si="8"/>
        <v>0</v>
      </c>
      <c r="AA20" s="63">
        <f>SUM(G20:Z20)</f>
        <v>0</v>
      </c>
      <c r="AB20" s="58" t="str">
        <f>IF(ABS(F20-AA20)&lt;0.01,"ok","err")</f>
        <v>ok</v>
      </c>
    </row>
    <row r="21" spans="1:28" ht="14.25" hidden="1" customHeight="1">
      <c r="A21" s="60" t="s">
        <v>1133</v>
      </c>
      <c r="D21" s="60" t="s">
        <v>363</v>
      </c>
      <c r="F21" s="76">
        <f t="shared" ref="F21:Y21" si="9">SUM(F18:F20)</f>
        <v>465684635.2936042</v>
      </c>
      <c r="G21" s="76">
        <f t="shared" si="9"/>
        <v>206944618.61384949</v>
      </c>
      <c r="H21" s="76">
        <f t="shared" si="9"/>
        <v>59568432.414921001</v>
      </c>
      <c r="I21" s="76">
        <f t="shared" si="9"/>
        <v>0</v>
      </c>
      <c r="J21" s="76">
        <f t="shared" si="9"/>
        <v>5292707.3815755583</v>
      </c>
      <c r="K21" s="76">
        <f t="shared" si="9"/>
        <v>61430380.790279523</v>
      </c>
      <c r="L21" s="76">
        <f t="shared" si="9"/>
        <v>0</v>
      </c>
      <c r="M21" s="76">
        <f t="shared" si="9"/>
        <v>0</v>
      </c>
      <c r="N21" s="76">
        <f t="shared" si="9"/>
        <v>55882901.121297717</v>
      </c>
      <c r="O21" s="76">
        <f>SUM(O18:O20)</f>
        <v>33180333.805065773</v>
      </c>
      <c r="P21" s="76">
        <f t="shared" si="9"/>
        <v>34368775.929895379</v>
      </c>
      <c r="Q21" s="76">
        <f t="shared" si="9"/>
        <v>3464523.9369553626</v>
      </c>
      <c r="R21" s="76">
        <f t="shared" si="9"/>
        <v>1813381.6732500023</v>
      </c>
      <c r="S21" s="76">
        <f t="shared" si="9"/>
        <v>3572282.1783979638</v>
      </c>
      <c r="T21" s="76">
        <f t="shared" si="9"/>
        <v>114251.89598414062</v>
      </c>
      <c r="U21" s="76">
        <f t="shared" si="9"/>
        <v>52045.552132363286</v>
      </c>
      <c r="V21" s="76">
        <f t="shared" si="9"/>
        <v>0</v>
      </c>
      <c r="W21" s="76">
        <f t="shared" si="9"/>
        <v>0</v>
      </c>
      <c r="X21" s="62">
        <f t="shared" si="9"/>
        <v>0</v>
      </c>
      <c r="Y21" s="62">
        <f t="shared" si="9"/>
        <v>0</v>
      </c>
      <c r="Z21" s="62">
        <f>SUM(Z18:Z20)</f>
        <v>0</v>
      </c>
      <c r="AA21" s="64">
        <f>SUM(G21:Z21)</f>
        <v>465684635.29360431</v>
      </c>
      <c r="AB21" s="58" t="str">
        <f>IF(ABS(F21-AA21)&lt;0.01,"ok","err")</f>
        <v>ok</v>
      </c>
    </row>
    <row r="22" spans="1:28">
      <c r="F22" s="79"/>
      <c r="G22" s="79"/>
    </row>
    <row r="23" spans="1:28" ht="15">
      <c r="A23" s="65" t="s">
        <v>348</v>
      </c>
      <c r="F23" s="79"/>
      <c r="G23" s="79"/>
    </row>
    <row r="24" spans="1:28">
      <c r="A24" s="68" t="s">
        <v>372</v>
      </c>
      <c r="C24" s="60" t="s">
        <v>960</v>
      </c>
      <c r="D24" s="60" t="s">
        <v>375</v>
      </c>
      <c r="E24" s="60" t="s">
        <v>1368</v>
      </c>
      <c r="F24" s="76">
        <f>VLOOKUP(C24,'Functional Assignment'!$C$2:$AP$780,'Functional Assignment'!$Q$2,)</f>
        <v>0</v>
      </c>
      <c r="G24" s="76">
        <f t="shared" ref="G24:Z24" si="10">IF(VLOOKUP($E24,$D$6:$AN$1131,3,)=0,0,(VLOOKUP($E24,$D$6:$AN$1131,G$2,)/VLOOKUP($E24,$D$6:$AN$1131,3,))*$F24)</f>
        <v>0</v>
      </c>
      <c r="H24" s="76">
        <f t="shared" si="10"/>
        <v>0</v>
      </c>
      <c r="I24" s="76">
        <f t="shared" si="10"/>
        <v>0</v>
      </c>
      <c r="J24" s="76">
        <f t="shared" si="10"/>
        <v>0</v>
      </c>
      <c r="K24" s="76">
        <f t="shared" si="10"/>
        <v>0</v>
      </c>
      <c r="L24" s="76">
        <f t="shared" si="10"/>
        <v>0</v>
      </c>
      <c r="M24" s="76">
        <f t="shared" si="10"/>
        <v>0</v>
      </c>
      <c r="N24" s="76">
        <f t="shared" si="10"/>
        <v>0</v>
      </c>
      <c r="O24" s="76">
        <f t="shared" si="10"/>
        <v>0</v>
      </c>
      <c r="P24" s="76">
        <f t="shared" si="10"/>
        <v>0</v>
      </c>
      <c r="Q24" s="76">
        <f t="shared" si="10"/>
        <v>0</v>
      </c>
      <c r="R24" s="76">
        <f t="shared" si="10"/>
        <v>0</v>
      </c>
      <c r="S24" s="76">
        <f t="shared" si="10"/>
        <v>0</v>
      </c>
      <c r="T24" s="76">
        <f t="shared" si="10"/>
        <v>0</v>
      </c>
      <c r="U24" s="76">
        <f t="shared" si="10"/>
        <v>0</v>
      </c>
      <c r="V24" s="76">
        <f t="shared" si="10"/>
        <v>0</v>
      </c>
      <c r="W24" s="76">
        <f t="shared" si="10"/>
        <v>0</v>
      </c>
      <c r="X24" s="62">
        <f t="shared" si="10"/>
        <v>0</v>
      </c>
      <c r="Y24" s="62">
        <f t="shared" si="10"/>
        <v>0</v>
      </c>
      <c r="Z24" s="62">
        <f t="shared" si="10"/>
        <v>0</v>
      </c>
      <c r="AA24" s="64">
        <f>SUM(G24:Z24)</f>
        <v>0</v>
      </c>
      <c r="AB24" s="58" t="str">
        <f>IF(ABS(F24-AA24)&lt;0.01,"ok","err")</f>
        <v>ok</v>
      </c>
    </row>
    <row r="25" spans="1:28">
      <c r="F25" s="79"/>
    </row>
    <row r="26" spans="1:28" ht="15">
      <c r="A26" s="65" t="s">
        <v>349</v>
      </c>
      <c r="F26" s="79"/>
      <c r="G26" s="79"/>
    </row>
    <row r="27" spans="1:28">
      <c r="A27" s="68" t="s">
        <v>374</v>
      </c>
      <c r="C27" s="60" t="s">
        <v>960</v>
      </c>
      <c r="D27" s="60" t="s">
        <v>376</v>
      </c>
      <c r="E27" s="60" t="s">
        <v>1368</v>
      </c>
      <c r="F27" s="76">
        <f>VLOOKUP(C27,'Functional Assignment'!$C$2:$AP$780,'Functional Assignment'!$R$2,)</f>
        <v>161101605.49619821</v>
      </c>
      <c r="G27" s="76">
        <f t="shared" ref="G27:Z27" si="11">IF(VLOOKUP($E27,$D$6:$AN$1131,3,)=0,0,(VLOOKUP($E27,$D$6:$AN$1131,G$2,)/VLOOKUP($E27,$D$6:$AN$1131,3,))*$F27)</f>
        <v>77296277.388623074</v>
      </c>
      <c r="H27" s="76">
        <f t="shared" si="11"/>
        <v>22249518.283637244</v>
      </c>
      <c r="I27" s="76">
        <f t="shared" si="11"/>
        <v>0</v>
      </c>
      <c r="J27" s="76">
        <f t="shared" si="11"/>
        <v>1976889.1824457345</v>
      </c>
      <c r="K27" s="76">
        <f t="shared" si="11"/>
        <v>22944978.156278629</v>
      </c>
      <c r="L27" s="76">
        <f t="shared" si="11"/>
        <v>0</v>
      </c>
      <c r="M27" s="76">
        <f t="shared" si="11"/>
        <v>0</v>
      </c>
      <c r="N27" s="76">
        <f t="shared" si="11"/>
        <v>20872928.493071448</v>
      </c>
      <c r="O27" s="76">
        <f t="shared" si="11"/>
        <v>12393249.473324699</v>
      </c>
      <c r="P27" s="76">
        <f t="shared" si="11"/>
        <v>0</v>
      </c>
      <c r="Q27" s="76">
        <f t="shared" si="11"/>
        <v>1294040.9131880871</v>
      </c>
      <c r="R27" s="76">
        <f t="shared" si="11"/>
        <v>677319.63153158838</v>
      </c>
      <c r="S27" s="76">
        <f t="shared" si="11"/>
        <v>1334289.8985313573</v>
      </c>
      <c r="T27" s="76">
        <f t="shared" si="11"/>
        <v>42674.442579466158</v>
      </c>
      <c r="U27" s="76">
        <f t="shared" si="11"/>
        <v>19439.63298689984</v>
      </c>
      <c r="V27" s="76">
        <f t="shared" si="11"/>
        <v>0</v>
      </c>
      <c r="W27" s="76">
        <f t="shared" si="11"/>
        <v>0</v>
      </c>
      <c r="X27" s="62">
        <f t="shared" si="11"/>
        <v>0</v>
      </c>
      <c r="Y27" s="62">
        <f t="shared" si="11"/>
        <v>0</v>
      </c>
      <c r="Z27" s="62">
        <f t="shared" si="11"/>
        <v>0</v>
      </c>
      <c r="AA27" s="64">
        <f>SUM(G27:Z27)</f>
        <v>161101605.49619824</v>
      </c>
      <c r="AB27" s="58" t="str">
        <f>IF(ABS(F27-AA27)&lt;0.01,"ok","err")</f>
        <v>ok</v>
      </c>
    </row>
    <row r="28" spans="1:28">
      <c r="F28" s="79"/>
    </row>
    <row r="29" spans="1:28" ht="15">
      <c r="A29" s="65" t="s">
        <v>373</v>
      </c>
      <c r="F29" s="79"/>
    </row>
    <row r="30" spans="1:28">
      <c r="A30" s="68" t="s">
        <v>623</v>
      </c>
      <c r="C30" s="60" t="s">
        <v>960</v>
      </c>
      <c r="D30" s="60" t="s">
        <v>379</v>
      </c>
      <c r="E30" s="60" t="s">
        <v>1368</v>
      </c>
      <c r="F30" s="76">
        <f>VLOOKUP(C30,'Functional Assignment'!$C$2:$AP$780,'Functional Assignment'!$S$2,)</f>
        <v>0</v>
      </c>
      <c r="G30" s="76">
        <f t="shared" ref="G30:P34" si="12">IF(VLOOKUP($E30,$D$6:$AN$1131,3,)=0,0,(VLOOKUP($E30,$D$6:$AN$1131,G$2,)/VLOOKUP($E30,$D$6:$AN$1131,3,))*$F30)</f>
        <v>0</v>
      </c>
      <c r="H30" s="76">
        <f t="shared" si="12"/>
        <v>0</v>
      </c>
      <c r="I30" s="76">
        <f t="shared" si="12"/>
        <v>0</v>
      </c>
      <c r="J30" s="76">
        <f t="shared" si="12"/>
        <v>0</v>
      </c>
      <c r="K30" s="76">
        <f t="shared" si="12"/>
        <v>0</v>
      </c>
      <c r="L30" s="76">
        <f t="shared" si="12"/>
        <v>0</v>
      </c>
      <c r="M30" s="76">
        <f t="shared" si="12"/>
        <v>0</v>
      </c>
      <c r="N30" s="76">
        <f t="shared" si="12"/>
        <v>0</v>
      </c>
      <c r="O30" s="76">
        <f t="shared" si="12"/>
        <v>0</v>
      </c>
      <c r="P30" s="76">
        <f t="shared" si="12"/>
        <v>0</v>
      </c>
      <c r="Q30" s="76">
        <f t="shared" ref="Q30:Z34" si="13">IF(VLOOKUP($E30,$D$6:$AN$1131,3,)=0,0,(VLOOKUP($E30,$D$6:$AN$1131,Q$2,)/VLOOKUP($E30,$D$6:$AN$1131,3,))*$F30)</f>
        <v>0</v>
      </c>
      <c r="R30" s="76">
        <f t="shared" si="13"/>
        <v>0</v>
      </c>
      <c r="S30" s="76">
        <f t="shared" si="13"/>
        <v>0</v>
      </c>
      <c r="T30" s="76">
        <f t="shared" si="13"/>
        <v>0</v>
      </c>
      <c r="U30" s="76">
        <f t="shared" si="13"/>
        <v>0</v>
      </c>
      <c r="V30" s="76">
        <f t="shared" si="13"/>
        <v>0</v>
      </c>
      <c r="W30" s="76">
        <f t="shared" si="13"/>
        <v>0</v>
      </c>
      <c r="X30" s="62">
        <f t="shared" si="13"/>
        <v>0</v>
      </c>
      <c r="Y30" s="62">
        <f t="shared" si="13"/>
        <v>0</v>
      </c>
      <c r="Z30" s="62">
        <f t="shared" si="13"/>
        <v>0</v>
      </c>
      <c r="AA30" s="64">
        <f t="shared" ref="AA30:AA35" si="14">SUM(G30:Z30)</f>
        <v>0</v>
      </c>
      <c r="AB30" s="58" t="str">
        <f t="shared" ref="AB30:AB35" si="15">IF(ABS(F30-AA30)&lt;0.01,"ok","err")</f>
        <v>ok</v>
      </c>
    </row>
    <row r="31" spans="1:28">
      <c r="A31" s="68" t="s">
        <v>624</v>
      </c>
      <c r="C31" s="60" t="s">
        <v>960</v>
      </c>
      <c r="D31" s="60" t="s">
        <v>380</v>
      </c>
      <c r="E31" s="60" t="s">
        <v>1368</v>
      </c>
      <c r="F31" s="79">
        <f>VLOOKUP(C31,'Functional Assignment'!$C$2:$AP$780,'Functional Assignment'!$T$2,)</f>
        <v>275500316.31922829</v>
      </c>
      <c r="G31" s="79">
        <f t="shared" si="12"/>
        <v>132184585.03423795</v>
      </c>
      <c r="H31" s="79">
        <f t="shared" si="12"/>
        <v>38048964.851794526</v>
      </c>
      <c r="I31" s="79">
        <f t="shared" si="12"/>
        <v>0</v>
      </c>
      <c r="J31" s="79">
        <f t="shared" si="12"/>
        <v>3380683.8449211679</v>
      </c>
      <c r="K31" s="79">
        <f t="shared" si="12"/>
        <v>39238272.769055188</v>
      </c>
      <c r="L31" s="79">
        <f t="shared" si="12"/>
        <v>0</v>
      </c>
      <c r="M31" s="79">
        <f t="shared" si="12"/>
        <v>0</v>
      </c>
      <c r="N31" s="79">
        <f t="shared" si="12"/>
        <v>35694854.713819236</v>
      </c>
      <c r="O31" s="79">
        <f t="shared" si="12"/>
        <v>21193731.36976365</v>
      </c>
      <c r="P31" s="79">
        <f t="shared" si="12"/>
        <v>0</v>
      </c>
      <c r="Q31" s="79">
        <f t="shared" si="13"/>
        <v>2212943.0666769748</v>
      </c>
      <c r="R31" s="79">
        <f t="shared" si="13"/>
        <v>1158286.2390566263</v>
      </c>
      <c r="S31" s="79">
        <f t="shared" si="13"/>
        <v>2281772.9716269947</v>
      </c>
      <c r="T31" s="79">
        <f t="shared" si="13"/>
        <v>72977.686306590636</v>
      </c>
      <c r="U31" s="79">
        <f t="shared" si="13"/>
        <v>33243.771969404719</v>
      </c>
      <c r="V31" s="79">
        <f t="shared" si="13"/>
        <v>0</v>
      </c>
      <c r="W31" s="79">
        <f t="shared" si="13"/>
        <v>0</v>
      </c>
      <c r="X31" s="63">
        <f t="shared" si="13"/>
        <v>0</v>
      </c>
      <c r="Y31" s="63">
        <f t="shared" si="13"/>
        <v>0</v>
      </c>
      <c r="Z31" s="63">
        <f t="shared" si="13"/>
        <v>0</v>
      </c>
      <c r="AA31" s="63">
        <f t="shared" si="14"/>
        <v>275500316.31922829</v>
      </c>
      <c r="AB31" s="58" t="str">
        <f t="shared" si="15"/>
        <v>ok</v>
      </c>
    </row>
    <row r="32" spans="1:28">
      <c r="A32" s="68" t="s">
        <v>625</v>
      </c>
      <c r="C32" s="60" t="s">
        <v>960</v>
      </c>
      <c r="D32" s="60" t="s">
        <v>381</v>
      </c>
      <c r="E32" s="60" t="s">
        <v>698</v>
      </c>
      <c r="F32" s="79">
        <f>VLOOKUP(C32,'Functional Assignment'!$C$2:$AP$780,'Functional Assignment'!$U$2,)</f>
        <v>438423397.80823392</v>
      </c>
      <c r="G32" s="79">
        <f t="shared" si="12"/>
        <v>377970614.12232178</v>
      </c>
      <c r="H32" s="79">
        <f t="shared" si="12"/>
        <v>46959149.168316647</v>
      </c>
      <c r="I32" s="79">
        <f t="shared" si="12"/>
        <v>0</v>
      </c>
      <c r="J32" s="79">
        <f t="shared" si="12"/>
        <v>74741.002721639336</v>
      </c>
      <c r="K32" s="79">
        <f t="shared" si="12"/>
        <v>2931681.2294402281</v>
      </c>
      <c r="L32" s="79">
        <f t="shared" si="12"/>
        <v>0</v>
      </c>
      <c r="M32" s="79">
        <f t="shared" si="12"/>
        <v>0</v>
      </c>
      <c r="N32" s="79">
        <f t="shared" si="12"/>
        <v>109516.33037684654</v>
      </c>
      <c r="O32" s="79">
        <f t="shared" si="12"/>
        <v>286507.17709961749</v>
      </c>
      <c r="P32" s="79">
        <f t="shared" si="12"/>
        <v>0</v>
      </c>
      <c r="Q32" s="79">
        <f t="shared" si="13"/>
        <v>1038.0694822449909</v>
      </c>
      <c r="R32" s="79">
        <f t="shared" si="13"/>
        <v>1038.0694822449909</v>
      </c>
      <c r="S32" s="79">
        <f t="shared" si="13"/>
        <v>9965697.7116590776</v>
      </c>
      <c r="T32" s="79">
        <f t="shared" si="13"/>
        <v>19031.273841158163</v>
      </c>
      <c r="U32" s="79">
        <f t="shared" si="13"/>
        <v>104383.65349241297</v>
      </c>
      <c r="V32" s="79">
        <f t="shared" si="13"/>
        <v>0</v>
      </c>
      <c r="W32" s="79">
        <f t="shared" si="13"/>
        <v>0</v>
      </c>
      <c r="X32" s="63">
        <f t="shared" si="13"/>
        <v>0</v>
      </c>
      <c r="Y32" s="63">
        <f t="shared" si="13"/>
        <v>0</v>
      </c>
      <c r="Z32" s="63">
        <f t="shared" si="13"/>
        <v>0</v>
      </c>
      <c r="AA32" s="63">
        <f t="shared" si="14"/>
        <v>438423397.80823398</v>
      </c>
      <c r="AB32" s="58" t="str">
        <f t="shared" si="15"/>
        <v>ok</v>
      </c>
    </row>
    <row r="33" spans="1:28">
      <c r="A33" s="68" t="s">
        <v>626</v>
      </c>
      <c r="C33" s="60" t="s">
        <v>960</v>
      </c>
      <c r="D33" s="60" t="s">
        <v>382</v>
      </c>
      <c r="E33" s="60" t="s">
        <v>678</v>
      </c>
      <c r="F33" s="79">
        <f>VLOOKUP(C33,'Functional Assignment'!$C$2:$AP$780,'Functional Assignment'!$V$2,)</f>
        <v>75736072.29061836</v>
      </c>
      <c r="G33" s="79">
        <f t="shared" si="12"/>
        <v>63558319.173293732</v>
      </c>
      <c r="H33" s="79">
        <f t="shared" si="12"/>
        <v>11630885.740016388</v>
      </c>
      <c r="I33" s="79">
        <f t="shared" si="12"/>
        <v>0</v>
      </c>
      <c r="J33" s="79">
        <f t="shared" si="12"/>
        <v>0</v>
      </c>
      <c r="K33" s="79">
        <f t="shared" si="12"/>
        <v>0</v>
      </c>
      <c r="L33" s="79">
        <f t="shared" si="12"/>
        <v>0</v>
      </c>
      <c r="M33" s="79">
        <f t="shared" si="12"/>
        <v>0</v>
      </c>
      <c r="N33" s="79">
        <f t="shared" si="12"/>
        <v>0</v>
      </c>
      <c r="O33" s="79">
        <f t="shared" si="12"/>
        <v>0</v>
      </c>
      <c r="P33" s="79">
        <f t="shared" si="12"/>
        <v>0</v>
      </c>
      <c r="Q33" s="79">
        <f t="shared" si="13"/>
        <v>0</v>
      </c>
      <c r="R33" s="79">
        <f t="shared" si="13"/>
        <v>0</v>
      </c>
      <c r="S33" s="79">
        <f t="shared" si="13"/>
        <v>522541.92261963681</v>
      </c>
      <c r="T33" s="79">
        <f t="shared" si="13"/>
        <v>16712.399079645347</v>
      </c>
      <c r="U33" s="79">
        <f t="shared" si="13"/>
        <v>7613.0556089614511</v>
      </c>
      <c r="V33" s="79">
        <f t="shared" si="13"/>
        <v>0</v>
      </c>
      <c r="W33" s="79">
        <f t="shared" si="13"/>
        <v>0</v>
      </c>
      <c r="X33" s="63">
        <f t="shared" si="13"/>
        <v>0</v>
      </c>
      <c r="Y33" s="63">
        <f t="shared" si="13"/>
        <v>0</v>
      </c>
      <c r="Z33" s="63">
        <f t="shared" si="13"/>
        <v>0</v>
      </c>
      <c r="AA33" s="63">
        <f t="shared" si="14"/>
        <v>75736072.290618375</v>
      </c>
      <c r="AB33" s="58" t="str">
        <f t="shared" si="15"/>
        <v>ok</v>
      </c>
    </row>
    <row r="34" spans="1:28">
      <c r="A34" s="68" t="s">
        <v>627</v>
      </c>
      <c r="C34" s="60" t="s">
        <v>960</v>
      </c>
      <c r="D34" s="60" t="s">
        <v>383</v>
      </c>
      <c r="E34" s="60" t="s">
        <v>697</v>
      </c>
      <c r="F34" s="79">
        <f>VLOOKUP(C34,'Functional Assignment'!$C$2:$AP$780,'Functional Assignment'!$W$2,)</f>
        <v>115092781.63131401</v>
      </c>
      <c r="G34" s="79">
        <f t="shared" si="12"/>
        <v>99999544.298557967</v>
      </c>
      <c r="H34" s="79">
        <f t="shared" si="12"/>
        <v>12423964.567679197</v>
      </c>
      <c r="I34" s="79">
        <f t="shared" si="12"/>
        <v>0</v>
      </c>
      <c r="J34" s="79">
        <f t="shared" si="12"/>
        <v>0</v>
      </c>
      <c r="K34" s="79">
        <f t="shared" si="12"/>
        <v>0</v>
      </c>
      <c r="L34" s="79">
        <f t="shared" si="12"/>
        <v>0</v>
      </c>
      <c r="M34" s="79">
        <f t="shared" si="12"/>
        <v>0</v>
      </c>
      <c r="N34" s="79">
        <f t="shared" si="12"/>
        <v>0</v>
      </c>
      <c r="O34" s="79">
        <f t="shared" si="12"/>
        <v>0</v>
      </c>
      <c r="P34" s="79">
        <f t="shared" si="12"/>
        <v>0</v>
      </c>
      <c r="Q34" s="79">
        <f t="shared" si="13"/>
        <v>0</v>
      </c>
      <c r="R34" s="79">
        <f t="shared" si="13"/>
        <v>0</v>
      </c>
      <c r="S34" s="79">
        <f t="shared" si="13"/>
        <v>2636620.923817568</v>
      </c>
      <c r="T34" s="79">
        <f t="shared" si="13"/>
        <v>5035.0970166188135</v>
      </c>
      <c r="U34" s="79">
        <f t="shared" si="13"/>
        <v>27616.744242666828</v>
      </c>
      <c r="V34" s="79">
        <f t="shared" si="13"/>
        <v>0</v>
      </c>
      <c r="W34" s="79">
        <f t="shared" si="13"/>
        <v>0</v>
      </c>
      <c r="X34" s="63">
        <f t="shared" si="13"/>
        <v>0</v>
      </c>
      <c r="Y34" s="63">
        <f t="shared" si="13"/>
        <v>0</v>
      </c>
      <c r="Z34" s="63">
        <f t="shared" si="13"/>
        <v>0</v>
      </c>
      <c r="AA34" s="63">
        <f t="shared" si="14"/>
        <v>115092781.63131402</v>
      </c>
      <c r="AB34" s="58" t="str">
        <f t="shared" si="15"/>
        <v>ok</v>
      </c>
    </row>
    <row r="35" spans="1:28">
      <c r="A35" s="60" t="s">
        <v>378</v>
      </c>
      <c r="D35" s="60" t="s">
        <v>384</v>
      </c>
      <c r="F35" s="76">
        <f>SUM(F30:F34)</f>
        <v>904752568.04939461</v>
      </c>
      <c r="G35" s="76">
        <f t="shared" ref="G35:Z35" si="16">SUM(G30:G34)</f>
        <v>673713062.62841141</v>
      </c>
      <c r="H35" s="76">
        <f t="shared" si="16"/>
        <v>109062964.32780676</v>
      </c>
      <c r="I35" s="76">
        <f t="shared" si="16"/>
        <v>0</v>
      </c>
      <c r="J35" s="76">
        <f t="shared" si="16"/>
        <v>3455424.8476428073</v>
      </c>
      <c r="K35" s="76">
        <f t="shared" si="16"/>
        <v>42169953.998495415</v>
      </c>
      <c r="L35" s="76">
        <f t="shared" si="16"/>
        <v>0</v>
      </c>
      <c r="M35" s="76">
        <f t="shared" si="16"/>
        <v>0</v>
      </c>
      <c r="N35" s="76">
        <f t="shared" si="16"/>
        <v>35804371.044196084</v>
      </c>
      <c r="O35" s="76">
        <f>SUM(O30:O34)</f>
        <v>21480238.546863269</v>
      </c>
      <c r="P35" s="76">
        <f t="shared" si="16"/>
        <v>0</v>
      </c>
      <c r="Q35" s="76">
        <f t="shared" si="16"/>
        <v>2213981.1361592198</v>
      </c>
      <c r="R35" s="76">
        <f t="shared" si="16"/>
        <v>1159324.3085388714</v>
      </c>
      <c r="S35" s="76">
        <f t="shared" si="16"/>
        <v>15406633.529723277</v>
      </c>
      <c r="T35" s="76">
        <f t="shared" si="16"/>
        <v>113756.45624401297</v>
      </c>
      <c r="U35" s="76">
        <f t="shared" si="16"/>
        <v>172857.22531344596</v>
      </c>
      <c r="V35" s="76">
        <f t="shared" si="16"/>
        <v>0</v>
      </c>
      <c r="W35" s="76">
        <f t="shared" si="16"/>
        <v>0</v>
      </c>
      <c r="X35" s="62">
        <f t="shared" si="16"/>
        <v>0</v>
      </c>
      <c r="Y35" s="62">
        <f t="shared" si="16"/>
        <v>0</v>
      </c>
      <c r="Z35" s="62">
        <f t="shared" si="16"/>
        <v>0</v>
      </c>
      <c r="AA35" s="64">
        <f t="shared" si="14"/>
        <v>904752568.04939461</v>
      </c>
      <c r="AB35" s="58" t="str">
        <f t="shared" si="15"/>
        <v>ok</v>
      </c>
    </row>
    <row r="36" spans="1:28">
      <c r="F36" s="79"/>
    </row>
    <row r="37" spans="1:28" ht="15">
      <c r="A37" s="65" t="s">
        <v>634</v>
      </c>
      <c r="F37" s="79"/>
    </row>
    <row r="38" spans="1:28">
      <c r="A38" s="68" t="s">
        <v>1090</v>
      </c>
      <c r="C38" s="60" t="s">
        <v>960</v>
      </c>
      <c r="D38" s="60" t="s">
        <v>385</v>
      </c>
      <c r="E38" s="60" t="s">
        <v>1336</v>
      </c>
      <c r="F38" s="76">
        <f>VLOOKUP(C38,'Functional Assignment'!$C$2:$AP$780,'Functional Assignment'!$X$2,)</f>
        <v>104690101.93262604</v>
      </c>
      <c r="G38" s="76">
        <f t="shared" ref="G38:P39" si="17">IF(VLOOKUP($E38,$D$6:$AN$1131,3,)=0,0,(VLOOKUP($E38,$D$6:$AN$1131,G$2,)/VLOOKUP($E38,$D$6:$AN$1131,3,))*$F38)</f>
        <v>72634069.293179259</v>
      </c>
      <c r="H38" s="76">
        <f t="shared" si="17"/>
        <v>13291707.077369861</v>
      </c>
      <c r="I38" s="76">
        <f t="shared" si="17"/>
        <v>0</v>
      </c>
      <c r="J38" s="76">
        <f t="shared" si="17"/>
        <v>0</v>
      </c>
      <c r="K38" s="76">
        <f t="shared" si="17"/>
        <v>11706100.559042342</v>
      </c>
      <c r="L38" s="76">
        <f t="shared" si="17"/>
        <v>0</v>
      </c>
      <c r="M38" s="76">
        <f t="shared" si="17"/>
        <v>0</v>
      </c>
      <c r="N38" s="76">
        <f t="shared" si="17"/>
        <v>0</v>
      </c>
      <c r="O38" s="76">
        <f t="shared" si="17"/>
        <v>6433268.2154064439</v>
      </c>
      <c r="P38" s="76">
        <f t="shared" si="17"/>
        <v>0</v>
      </c>
      <c r="Q38" s="76">
        <f t="shared" ref="Q38:Z39" si="18">IF(VLOOKUP($E38,$D$6:$AN$1131,3,)=0,0,(VLOOKUP($E38,$D$6:$AN$1131,Q$2,)/VLOOKUP($E38,$D$6:$AN$1131,3,))*$F38)</f>
        <v>0</v>
      </c>
      <c r="R38" s="76">
        <f t="shared" si="18"/>
        <v>0</v>
      </c>
      <c r="S38" s="76">
        <f t="shared" si="18"/>
        <v>597157.80262631096</v>
      </c>
      <c r="T38" s="76">
        <f t="shared" si="18"/>
        <v>19098.830311992955</v>
      </c>
      <c r="U38" s="76">
        <f t="shared" si="18"/>
        <v>8700.1546898439956</v>
      </c>
      <c r="V38" s="76">
        <f t="shared" si="18"/>
        <v>0</v>
      </c>
      <c r="W38" s="76">
        <f t="shared" si="18"/>
        <v>0</v>
      </c>
      <c r="X38" s="62">
        <f t="shared" si="18"/>
        <v>0</v>
      </c>
      <c r="Y38" s="62">
        <f t="shared" si="18"/>
        <v>0</v>
      </c>
      <c r="Z38" s="62">
        <f t="shared" si="18"/>
        <v>0</v>
      </c>
      <c r="AA38" s="64">
        <f>SUM(G38:Z38)</f>
        <v>104690101.93262605</v>
      </c>
      <c r="AB38" s="58" t="str">
        <f>IF(ABS(F38-AA38)&lt;0.01,"ok","err")</f>
        <v>ok</v>
      </c>
    </row>
    <row r="39" spans="1:28">
      <c r="A39" s="68" t="s">
        <v>1093</v>
      </c>
      <c r="C39" s="60" t="s">
        <v>960</v>
      </c>
      <c r="D39" s="60" t="s">
        <v>386</v>
      </c>
      <c r="E39" s="60" t="s">
        <v>1334</v>
      </c>
      <c r="F39" s="79">
        <f>VLOOKUP(C39,'Functional Assignment'!$C$2:$AP$780,'Functional Assignment'!$Y$2,)</f>
        <v>73215269.23630555</v>
      </c>
      <c r="G39" s="79">
        <f t="shared" si="17"/>
        <v>63146690.520794146</v>
      </c>
      <c r="H39" s="79">
        <f t="shared" si="17"/>
        <v>7845358.2073759874</v>
      </c>
      <c r="I39" s="79">
        <f t="shared" si="17"/>
        <v>0</v>
      </c>
      <c r="J39" s="79">
        <f t="shared" si="17"/>
        <v>0</v>
      </c>
      <c r="K39" s="79">
        <f t="shared" si="17"/>
        <v>489789.31267172925</v>
      </c>
      <c r="L39" s="79">
        <f t="shared" si="17"/>
        <v>0</v>
      </c>
      <c r="M39" s="79">
        <f t="shared" si="17"/>
        <v>0</v>
      </c>
      <c r="N39" s="79">
        <f t="shared" si="17"/>
        <v>0</v>
      </c>
      <c r="O39" s="79">
        <f t="shared" si="17"/>
        <v>47866.10220031772</v>
      </c>
      <c r="P39" s="79">
        <f t="shared" si="17"/>
        <v>0</v>
      </c>
      <c r="Q39" s="79">
        <f t="shared" si="18"/>
        <v>0</v>
      </c>
      <c r="R39" s="79">
        <f t="shared" si="18"/>
        <v>0</v>
      </c>
      <c r="S39" s="79">
        <f t="shared" si="18"/>
        <v>1664946.4421545297</v>
      </c>
      <c r="T39" s="79">
        <f t="shared" si="18"/>
        <v>3179.5116195863216</v>
      </c>
      <c r="U39" s="79">
        <f t="shared" si="18"/>
        <v>17439.13948924619</v>
      </c>
      <c r="V39" s="79">
        <f t="shared" si="18"/>
        <v>0</v>
      </c>
      <c r="W39" s="79">
        <f t="shared" si="18"/>
        <v>0</v>
      </c>
      <c r="X39" s="63">
        <f t="shared" si="18"/>
        <v>0</v>
      </c>
      <c r="Y39" s="63">
        <f t="shared" si="18"/>
        <v>0</v>
      </c>
      <c r="Z39" s="63">
        <f t="shared" si="18"/>
        <v>0</v>
      </c>
      <c r="AA39" s="63">
        <f>SUM(G39:Z39)</f>
        <v>73215269.236305535</v>
      </c>
      <c r="AB39" s="58" t="str">
        <f>IF(ABS(F39-AA39)&lt;0.01,"ok","err")</f>
        <v>ok</v>
      </c>
    </row>
    <row r="40" spans="1:28">
      <c r="A40" s="60" t="s">
        <v>712</v>
      </c>
      <c r="D40" s="60" t="s">
        <v>389</v>
      </c>
      <c r="F40" s="76">
        <f t="shared" ref="F40:Q40" si="19">F38+F39</f>
        <v>177905371.1689316</v>
      </c>
      <c r="G40" s="76">
        <f t="shared" si="19"/>
        <v>135780759.8139734</v>
      </c>
      <c r="H40" s="76">
        <f t="shared" si="19"/>
        <v>21137065.28474585</v>
      </c>
      <c r="I40" s="76">
        <f t="shared" si="19"/>
        <v>0</v>
      </c>
      <c r="J40" s="76">
        <f t="shared" si="19"/>
        <v>0</v>
      </c>
      <c r="K40" s="76">
        <f t="shared" si="19"/>
        <v>12195889.87171407</v>
      </c>
      <c r="L40" s="76">
        <f t="shared" si="19"/>
        <v>0</v>
      </c>
      <c r="M40" s="76">
        <f t="shared" si="19"/>
        <v>0</v>
      </c>
      <c r="N40" s="76">
        <f t="shared" si="19"/>
        <v>0</v>
      </c>
      <c r="O40" s="76">
        <f>O38+O39</f>
        <v>6481134.3176067621</v>
      </c>
      <c r="P40" s="76">
        <f t="shared" si="19"/>
        <v>0</v>
      </c>
      <c r="Q40" s="76">
        <f t="shared" si="19"/>
        <v>0</v>
      </c>
      <c r="R40" s="76">
        <f t="shared" ref="R40:Z40" si="20">R38+R39</f>
        <v>0</v>
      </c>
      <c r="S40" s="76">
        <f t="shared" si="20"/>
        <v>2262104.2447808408</v>
      </c>
      <c r="T40" s="76">
        <f t="shared" si="20"/>
        <v>22278.341931579278</v>
      </c>
      <c r="U40" s="76">
        <f t="shared" si="20"/>
        <v>26139.294179090186</v>
      </c>
      <c r="V40" s="76">
        <f t="shared" si="20"/>
        <v>0</v>
      </c>
      <c r="W40" s="76">
        <f t="shared" si="20"/>
        <v>0</v>
      </c>
      <c r="X40" s="62">
        <f t="shared" si="20"/>
        <v>0</v>
      </c>
      <c r="Y40" s="62">
        <f t="shared" si="20"/>
        <v>0</v>
      </c>
      <c r="Z40" s="62">
        <f t="shared" si="20"/>
        <v>0</v>
      </c>
      <c r="AA40" s="64">
        <f>SUM(G40:Z40)</f>
        <v>177905371.16893154</v>
      </c>
      <c r="AB40" s="58" t="str">
        <f>IF(ABS(F40-AA40)&lt;0.01,"ok","err")</f>
        <v>ok</v>
      </c>
    </row>
    <row r="41" spans="1:28">
      <c r="F41" s="79"/>
    </row>
    <row r="42" spans="1:28" ht="15">
      <c r="A42" s="65" t="s">
        <v>354</v>
      </c>
      <c r="F42" s="79"/>
    </row>
    <row r="43" spans="1:28">
      <c r="A43" s="68" t="s">
        <v>1093</v>
      </c>
      <c r="C43" s="60" t="s">
        <v>960</v>
      </c>
      <c r="D43" s="60" t="s">
        <v>377</v>
      </c>
      <c r="E43" s="60" t="s">
        <v>1095</v>
      </c>
      <c r="F43" s="76">
        <f>VLOOKUP(C43,'Functional Assignment'!$C$2:$AP$780,'Functional Assignment'!$Z$2,)</f>
        <v>36360071.655844547</v>
      </c>
      <c r="G43" s="76">
        <f t="shared" ref="G43:Z43" si="21">IF(VLOOKUP($E43,$D$6:$AN$1131,3,)=0,0,(VLOOKUP($E43,$D$6:$AN$1131,G$2,)/VLOOKUP($E43,$D$6:$AN$1131,3,))*$F43)</f>
        <v>27946947.403324068</v>
      </c>
      <c r="H43" s="76">
        <f t="shared" si="21"/>
        <v>7033359.6870304905</v>
      </c>
      <c r="I43" s="76">
        <f t="shared" si="21"/>
        <v>0</v>
      </c>
      <c r="J43" s="76">
        <f t="shared" si="21"/>
        <v>0</v>
      </c>
      <c r="K43" s="76">
        <f t="shared" si="21"/>
        <v>1227014.662493892</v>
      </c>
      <c r="L43" s="76">
        <f t="shared" si="21"/>
        <v>0</v>
      </c>
      <c r="M43" s="76">
        <f t="shared" si="21"/>
        <v>0</v>
      </c>
      <c r="N43" s="76">
        <f t="shared" si="21"/>
        <v>0</v>
      </c>
      <c r="O43" s="76">
        <f t="shared" si="21"/>
        <v>152749.90299609301</v>
      </c>
      <c r="P43" s="76">
        <f t="shared" si="21"/>
        <v>0</v>
      </c>
      <c r="Q43" s="76">
        <f t="shared" si="21"/>
        <v>0</v>
      </c>
      <c r="R43" s="76">
        <f t="shared" si="21"/>
        <v>0</v>
      </c>
      <c r="S43" s="76">
        <f t="shared" si="21"/>
        <v>0</v>
      </c>
      <c r="T43" s="76">
        <f t="shared" si="21"/>
        <v>0</v>
      </c>
      <c r="U43" s="76">
        <f t="shared" si="21"/>
        <v>0</v>
      </c>
      <c r="V43" s="76">
        <f t="shared" si="21"/>
        <v>0</v>
      </c>
      <c r="W43" s="76">
        <f t="shared" si="21"/>
        <v>0</v>
      </c>
      <c r="X43" s="62">
        <f t="shared" si="21"/>
        <v>0</v>
      </c>
      <c r="Y43" s="62">
        <f t="shared" si="21"/>
        <v>0</v>
      </c>
      <c r="Z43" s="62">
        <f t="shared" si="21"/>
        <v>0</v>
      </c>
      <c r="AA43" s="64">
        <f>SUM(G43:Z43)</f>
        <v>36360071.655844547</v>
      </c>
      <c r="AB43" s="58" t="str">
        <f>IF(ABS(F43-AA43)&lt;0.01,"ok","err")</f>
        <v>ok</v>
      </c>
    </row>
    <row r="44" spans="1:28">
      <c r="F44" s="79"/>
    </row>
    <row r="45" spans="1:28" ht="15">
      <c r="A45" s="65" t="s">
        <v>353</v>
      </c>
      <c r="F45" s="79"/>
    </row>
    <row r="46" spans="1:28">
      <c r="A46" s="68" t="s">
        <v>1093</v>
      </c>
      <c r="C46" s="60" t="s">
        <v>960</v>
      </c>
      <c r="D46" s="60" t="s">
        <v>388</v>
      </c>
      <c r="E46" s="60" t="s">
        <v>1096</v>
      </c>
      <c r="F46" s="76">
        <f>VLOOKUP(C46,'Functional Assignment'!$C$2:$AP$780,'Functional Assignment'!$AA$2,)</f>
        <v>42176667.513765797</v>
      </c>
      <c r="G46" s="76">
        <f t="shared" ref="G46:Z46" si="22">IF(VLOOKUP($E46,$D$6:$AN$1131,3,)=0,0,(VLOOKUP($E46,$D$6:$AN$1131,G$2,)/VLOOKUP($E46,$D$6:$AN$1131,3,))*$F46)</f>
        <v>29520291.53314314</v>
      </c>
      <c r="H46" s="76">
        <f t="shared" si="22"/>
        <v>8679135.1573968995</v>
      </c>
      <c r="I46" s="76">
        <f t="shared" si="22"/>
        <v>0</v>
      </c>
      <c r="J46" s="76">
        <f t="shared" si="22"/>
        <v>337864.59483946633</v>
      </c>
      <c r="K46" s="76">
        <f t="shared" si="22"/>
        <v>2334770.0996709722</v>
      </c>
      <c r="L46" s="76">
        <f t="shared" si="22"/>
        <v>0</v>
      </c>
      <c r="M46" s="76">
        <f t="shared" si="22"/>
        <v>0</v>
      </c>
      <c r="N46" s="76">
        <f t="shared" si="22"/>
        <v>529063.87969147123</v>
      </c>
      <c r="O46" s="76">
        <f t="shared" si="22"/>
        <v>245966.33013183833</v>
      </c>
      <c r="P46" s="76">
        <f t="shared" si="22"/>
        <v>432795.6079834975</v>
      </c>
      <c r="Q46" s="76">
        <f t="shared" si="22"/>
        <v>5014.823504184561</v>
      </c>
      <c r="R46" s="76">
        <f t="shared" si="22"/>
        <v>5014.823504184561</v>
      </c>
      <c r="S46" s="76">
        <f t="shared" si="22"/>
        <v>0</v>
      </c>
      <c r="T46" s="76">
        <f t="shared" si="22"/>
        <v>13377.438825723835</v>
      </c>
      <c r="U46" s="76">
        <f t="shared" si="22"/>
        <v>73373.225074424685</v>
      </c>
      <c r="V46" s="76">
        <f t="shared" si="22"/>
        <v>0</v>
      </c>
      <c r="W46" s="76">
        <f t="shared" si="22"/>
        <v>0</v>
      </c>
      <c r="X46" s="62">
        <f t="shared" si="22"/>
        <v>0</v>
      </c>
      <c r="Y46" s="62">
        <f t="shared" si="22"/>
        <v>0</v>
      </c>
      <c r="Z46" s="62">
        <f t="shared" si="22"/>
        <v>0</v>
      </c>
      <c r="AA46" s="64">
        <f>SUM(G46:Z46)</f>
        <v>42176667.513765812</v>
      </c>
      <c r="AB46" s="58" t="str">
        <f>IF(ABS(F46-AA46)&lt;0.01,"ok","err")</f>
        <v>ok</v>
      </c>
    </row>
    <row r="47" spans="1:28">
      <c r="F47" s="79"/>
    </row>
    <row r="48" spans="1:28" ht="15">
      <c r="A48" s="65" t="s">
        <v>371</v>
      </c>
      <c r="F48" s="79"/>
    </row>
    <row r="49" spans="1:28">
      <c r="A49" s="68" t="s">
        <v>1093</v>
      </c>
      <c r="C49" s="60" t="s">
        <v>960</v>
      </c>
      <c r="D49" s="60" t="s">
        <v>390</v>
      </c>
      <c r="E49" s="60" t="s">
        <v>1097</v>
      </c>
      <c r="F49" s="76">
        <f>VLOOKUP(C49,'Functional Assignment'!$C$2:$AP$780,'Functional Assignment'!$AB$2,)</f>
        <v>115567184.76096536</v>
      </c>
      <c r="G49" s="76">
        <f t="shared" ref="G49:Z49" si="23">IF(VLOOKUP($E49,$D$6:$AN$1131,3,)=0,0,(VLOOKUP($E49,$D$6:$AN$1131,G$2,)/VLOOKUP($E49,$D$6:$AN$1131,3,))*$F49)</f>
        <v>0</v>
      </c>
      <c r="H49" s="76">
        <f t="shared" si="23"/>
        <v>0</v>
      </c>
      <c r="I49" s="76">
        <f t="shared" si="23"/>
        <v>0</v>
      </c>
      <c r="J49" s="76">
        <f t="shared" si="23"/>
        <v>0</v>
      </c>
      <c r="K49" s="76">
        <f t="shared" si="23"/>
        <v>0</v>
      </c>
      <c r="L49" s="76">
        <f t="shared" si="23"/>
        <v>0</v>
      </c>
      <c r="M49" s="76">
        <f t="shared" si="23"/>
        <v>0</v>
      </c>
      <c r="N49" s="76">
        <f t="shared" si="23"/>
        <v>0</v>
      </c>
      <c r="O49" s="76">
        <f t="shared" si="23"/>
        <v>0</v>
      </c>
      <c r="P49" s="76">
        <f t="shared" si="23"/>
        <v>0</v>
      </c>
      <c r="Q49" s="76">
        <f t="shared" si="23"/>
        <v>0</v>
      </c>
      <c r="R49" s="76">
        <f t="shared" si="23"/>
        <v>0</v>
      </c>
      <c r="S49" s="76">
        <f t="shared" si="23"/>
        <v>115567184.76096536</v>
      </c>
      <c r="T49" s="76">
        <f t="shared" si="23"/>
        <v>0</v>
      </c>
      <c r="U49" s="76">
        <f t="shared" si="23"/>
        <v>0</v>
      </c>
      <c r="V49" s="76">
        <f t="shared" si="23"/>
        <v>0</v>
      </c>
      <c r="W49" s="76">
        <f t="shared" si="23"/>
        <v>0</v>
      </c>
      <c r="X49" s="62">
        <f t="shared" si="23"/>
        <v>0</v>
      </c>
      <c r="Y49" s="62">
        <f t="shared" si="23"/>
        <v>0</v>
      </c>
      <c r="Z49" s="62">
        <f t="shared" si="23"/>
        <v>0</v>
      </c>
      <c r="AA49" s="64">
        <f>SUM(G49:Z49)</f>
        <v>115567184.76096536</v>
      </c>
      <c r="AB49" s="58" t="str">
        <f>IF(ABS(F49-AA49)&lt;0.01,"ok","err")</f>
        <v>ok</v>
      </c>
    </row>
    <row r="50" spans="1:28">
      <c r="F50" s="79"/>
    </row>
    <row r="51" spans="1:28" ht="15">
      <c r="A51" s="65" t="s">
        <v>1025</v>
      </c>
      <c r="F51" s="79"/>
    </row>
    <row r="52" spans="1:28">
      <c r="A52" s="68" t="s">
        <v>1093</v>
      </c>
      <c r="C52" s="60" t="s">
        <v>960</v>
      </c>
      <c r="D52" s="60" t="s">
        <v>391</v>
      </c>
      <c r="E52" s="60" t="s">
        <v>1098</v>
      </c>
      <c r="F52" s="76">
        <f>VLOOKUP(C52,'Functional Assignment'!$C$2:$AP$780,'Functional Assignment'!$AC$2,)</f>
        <v>0</v>
      </c>
      <c r="G52" s="76">
        <f t="shared" ref="G52:Z52" si="24">IF(VLOOKUP($E52,$D$6:$AN$1131,3,)=0,0,(VLOOKUP($E52,$D$6:$AN$1131,G$2,)/VLOOKUP($E52,$D$6:$AN$1131,3,))*$F52)</f>
        <v>0</v>
      </c>
      <c r="H52" s="76">
        <f t="shared" si="24"/>
        <v>0</v>
      </c>
      <c r="I52" s="76">
        <f t="shared" si="24"/>
        <v>0</v>
      </c>
      <c r="J52" s="76">
        <f t="shared" si="24"/>
        <v>0</v>
      </c>
      <c r="K52" s="76">
        <f t="shared" si="24"/>
        <v>0</v>
      </c>
      <c r="L52" s="76">
        <f t="shared" si="24"/>
        <v>0</v>
      </c>
      <c r="M52" s="76">
        <f t="shared" si="24"/>
        <v>0</v>
      </c>
      <c r="N52" s="76">
        <f t="shared" si="24"/>
        <v>0</v>
      </c>
      <c r="O52" s="76">
        <f t="shared" si="24"/>
        <v>0</v>
      </c>
      <c r="P52" s="76">
        <f t="shared" si="24"/>
        <v>0</v>
      </c>
      <c r="Q52" s="76">
        <f t="shared" si="24"/>
        <v>0</v>
      </c>
      <c r="R52" s="76">
        <f t="shared" si="24"/>
        <v>0</v>
      </c>
      <c r="S52" s="76">
        <f t="shared" si="24"/>
        <v>0</v>
      </c>
      <c r="T52" s="76">
        <f t="shared" si="24"/>
        <v>0</v>
      </c>
      <c r="U52" s="76">
        <f t="shared" si="24"/>
        <v>0</v>
      </c>
      <c r="V52" s="76">
        <f t="shared" si="24"/>
        <v>0</v>
      </c>
      <c r="W52" s="76">
        <f t="shared" si="24"/>
        <v>0</v>
      </c>
      <c r="X52" s="62">
        <f t="shared" si="24"/>
        <v>0</v>
      </c>
      <c r="Y52" s="62">
        <f t="shared" si="24"/>
        <v>0</v>
      </c>
      <c r="Z52" s="62">
        <f t="shared" si="24"/>
        <v>0</v>
      </c>
      <c r="AA52" s="64">
        <f>SUM(G52:Z52)</f>
        <v>0</v>
      </c>
      <c r="AB52" s="58" t="str">
        <f>IF(ABS(F52-AA52)&lt;0.01,"ok","err")</f>
        <v>ok</v>
      </c>
    </row>
    <row r="53" spans="1:28">
      <c r="F53" s="79"/>
    </row>
    <row r="54" spans="1:28" ht="15">
      <c r="A54" s="65" t="s">
        <v>351</v>
      </c>
      <c r="F54" s="79"/>
    </row>
    <row r="55" spans="1:28">
      <c r="A55" s="68" t="s">
        <v>1093</v>
      </c>
      <c r="C55" s="60" t="s">
        <v>960</v>
      </c>
      <c r="D55" s="60" t="s">
        <v>392</v>
      </c>
      <c r="E55" s="60" t="s">
        <v>1099</v>
      </c>
      <c r="F55" s="76">
        <f>VLOOKUP(C55,'Functional Assignment'!$C$2:$AP$780,'Functional Assignment'!$AD$2,)</f>
        <v>0</v>
      </c>
      <c r="G55" s="76">
        <f t="shared" ref="G55:Z55" si="25">IF(VLOOKUP($E55,$D$6:$AN$1131,3,)=0,0,(VLOOKUP($E55,$D$6:$AN$1131,G$2,)/VLOOKUP($E55,$D$6:$AN$1131,3,))*$F55)</f>
        <v>0</v>
      </c>
      <c r="H55" s="76">
        <f t="shared" si="25"/>
        <v>0</v>
      </c>
      <c r="I55" s="76">
        <f t="shared" si="25"/>
        <v>0</v>
      </c>
      <c r="J55" s="76">
        <f t="shared" si="25"/>
        <v>0</v>
      </c>
      <c r="K55" s="76">
        <f t="shared" si="25"/>
        <v>0</v>
      </c>
      <c r="L55" s="76">
        <f t="shared" si="25"/>
        <v>0</v>
      </c>
      <c r="M55" s="76">
        <f t="shared" si="25"/>
        <v>0</v>
      </c>
      <c r="N55" s="76">
        <f t="shared" si="25"/>
        <v>0</v>
      </c>
      <c r="O55" s="76">
        <f t="shared" si="25"/>
        <v>0</v>
      </c>
      <c r="P55" s="76">
        <f t="shared" si="25"/>
        <v>0</v>
      </c>
      <c r="Q55" s="76">
        <f t="shared" si="25"/>
        <v>0</v>
      </c>
      <c r="R55" s="76">
        <f t="shared" si="25"/>
        <v>0</v>
      </c>
      <c r="S55" s="76">
        <f t="shared" si="25"/>
        <v>0</v>
      </c>
      <c r="T55" s="76">
        <f t="shared" si="25"/>
        <v>0</v>
      </c>
      <c r="U55" s="76">
        <f t="shared" si="25"/>
        <v>0</v>
      </c>
      <c r="V55" s="76">
        <f t="shared" si="25"/>
        <v>0</v>
      </c>
      <c r="W55" s="76">
        <f t="shared" si="25"/>
        <v>0</v>
      </c>
      <c r="X55" s="62">
        <f t="shared" si="25"/>
        <v>0</v>
      </c>
      <c r="Y55" s="62">
        <f t="shared" si="25"/>
        <v>0</v>
      </c>
      <c r="Z55" s="62">
        <f t="shared" si="25"/>
        <v>0</v>
      </c>
      <c r="AA55" s="64">
        <f>SUM(G55:Z55)</f>
        <v>0</v>
      </c>
      <c r="AB55" s="58" t="str">
        <f>IF(ABS(F55-AA55)&lt;0.01,"ok","err")</f>
        <v>ok</v>
      </c>
    </row>
    <row r="56" spans="1:28">
      <c r="F56" s="79"/>
    </row>
    <row r="57" spans="1:28" ht="15">
      <c r="A57" s="65" t="s">
        <v>350</v>
      </c>
      <c r="F57" s="79"/>
    </row>
    <row r="58" spans="1:28">
      <c r="A58" s="68" t="s">
        <v>1093</v>
      </c>
      <c r="C58" s="60" t="s">
        <v>960</v>
      </c>
      <c r="D58" s="60" t="s">
        <v>393</v>
      </c>
      <c r="E58" s="60" t="s">
        <v>1099</v>
      </c>
      <c r="F58" s="76">
        <f>VLOOKUP(C58,'Functional Assignment'!$C$2:$AP$780,'Functional Assignment'!$AE$2,)</f>
        <v>0</v>
      </c>
      <c r="G58" s="76">
        <f t="shared" ref="G58:Z58" si="26">IF(VLOOKUP($E58,$D$6:$AN$1131,3,)=0,0,(VLOOKUP($E58,$D$6:$AN$1131,G$2,)/VLOOKUP($E58,$D$6:$AN$1131,3,))*$F58)</f>
        <v>0</v>
      </c>
      <c r="H58" s="76">
        <f t="shared" si="26"/>
        <v>0</v>
      </c>
      <c r="I58" s="76">
        <f t="shared" si="26"/>
        <v>0</v>
      </c>
      <c r="J58" s="76">
        <f t="shared" si="26"/>
        <v>0</v>
      </c>
      <c r="K58" s="76">
        <f t="shared" si="26"/>
        <v>0</v>
      </c>
      <c r="L58" s="76">
        <f t="shared" si="26"/>
        <v>0</v>
      </c>
      <c r="M58" s="76">
        <f t="shared" si="26"/>
        <v>0</v>
      </c>
      <c r="N58" s="76">
        <f t="shared" si="26"/>
        <v>0</v>
      </c>
      <c r="O58" s="76">
        <f t="shared" si="26"/>
        <v>0</v>
      </c>
      <c r="P58" s="76">
        <f t="shared" si="26"/>
        <v>0</v>
      </c>
      <c r="Q58" s="76">
        <f t="shared" si="26"/>
        <v>0</v>
      </c>
      <c r="R58" s="76">
        <f t="shared" si="26"/>
        <v>0</v>
      </c>
      <c r="S58" s="76">
        <f t="shared" si="26"/>
        <v>0</v>
      </c>
      <c r="T58" s="76">
        <f t="shared" si="26"/>
        <v>0</v>
      </c>
      <c r="U58" s="76">
        <f t="shared" si="26"/>
        <v>0</v>
      </c>
      <c r="V58" s="76">
        <f t="shared" si="26"/>
        <v>0</v>
      </c>
      <c r="W58" s="76">
        <f t="shared" si="26"/>
        <v>0</v>
      </c>
      <c r="X58" s="62">
        <f t="shared" si="26"/>
        <v>0</v>
      </c>
      <c r="Y58" s="62">
        <f t="shared" si="26"/>
        <v>0</v>
      </c>
      <c r="Z58" s="62">
        <f t="shared" si="26"/>
        <v>0</v>
      </c>
      <c r="AA58" s="64">
        <f>SUM(G58:Z58)</f>
        <v>0</v>
      </c>
      <c r="AB58" s="58" t="str">
        <f>IF(ABS(F58-AA58)&lt;0.01,"ok","err")</f>
        <v>ok</v>
      </c>
    </row>
    <row r="59" spans="1:28">
      <c r="F59" s="79"/>
    </row>
    <row r="60" spans="1:28">
      <c r="A60" s="60" t="s">
        <v>922</v>
      </c>
      <c r="D60" s="60" t="s">
        <v>1100</v>
      </c>
      <c r="F60" s="76">
        <f t="shared" ref="F60:Z60" si="27">F15+F21+F24+F27+F35+F40+F43+F46+F49+F52+F55+F58</f>
        <v>4331626533.7946157</v>
      </c>
      <c r="G60" s="76">
        <f t="shared" si="27"/>
        <v>2107982332.5445261</v>
      </c>
      <c r="H60" s="76">
        <f t="shared" si="27"/>
        <v>549728664.38795745</v>
      </c>
      <c r="I60" s="76">
        <f t="shared" si="27"/>
        <v>0</v>
      </c>
      <c r="J60" s="76">
        <f t="shared" si="27"/>
        <v>40637887.99769868</v>
      </c>
      <c r="K60" s="76">
        <f t="shared" si="27"/>
        <v>523934009.34525484</v>
      </c>
      <c r="L60" s="76">
        <f t="shared" si="27"/>
        <v>0</v>
      </c>
      <c r="M60" s="76">
        <f t="shared" si="27"/>
        <v>0</v>
      </c>
      <c r="N60" s="76">
        <f t="shared" si="27"/>
        <v>435145235.57953578</v>
      </c>
      <c r="O60" s="76">
        <f t="shared" si="27"/>
        <v>260167064.34942195</v>
      </c>
      <c r="P60" s="76">
        <f t="shared" si="27"/>
        <v>227075309.97999051</v>
      </c>
      <c r="Q60" s="76">
        <f t="shared" si="27"/>
        <v>27368898.479439717</v>
      </c>
      <c r="R60" s="76">
        <f t="shared" si="27"/>
        <v>12695229.702578297</v>
      </c>
      <c r="S60" s="76">
        <f t="shared" si="27"/>
        <v>145495236.78957218</v>
      </c>
      <c r="T60" s="76">
        <f t="shared" si="27"/>
        <v>546010.33402238972</v>
      </c>
      <c r="U60" s="76">
        <f t="shared" si="27"/>
        <v>850654.30461767863</v>
      </c>
      <c r="V60" s="76">
        <f t="shared" si="27"/>
        <v>0</v>
      </c>
      <c r="W60" s="76">
        <f t="shared" si="27"/>
        <v>0</v>
      </c>
      <c r="X60" s="62">
        <f t="shared" si="27"/>
        <v>0</v>
      </c>
      <c r="Y60" s="62">
        <f t="shared" si="27"/>
        <v>0</v>
      </c>
      <c r="Z60" s="62">
        <f t="shared" si="27"/>
        <v>0</v>
      </c>
      <c r="AA60" s="64">
        <f>SUM(G60:Z60)</f>
        <v>4331626533.7946157</v>
      </c>
      <c r="AB60" s="58" t="str">
        <f>IF(ABS(F60-AA60)&lt;0.01,"ok","err")</f>
        <v>ok</v>
      </c>
    </row>
    <row r="65" spans="1:28" ht="15">
      <c r="A65" s="65" t="s">
        <v>972</v>
      </c>
    </row>
    <row r="67" spans="1:28" ht="15">
      <c r="A67" s="65" t="s">
        <v>364</v>
      </c>
    </row>
    <row r="68" spans="1:28">
      <c r="A68" s="68" t="s">
        <v>359</v>
      </c>
      <c r="C68" s="60" t="s">
        <v>973</v>
      </c>
      <c r="D68" s="60" t="s">
        <v>394</v>
      </c>
      <c r="E68" s="60" t="s">
        <v>869</v>
      </c>
      <c r="F68" s="76">
        <f>VLOOKUP(C68,'Functional Assignment'!$C$2:$AP$780,'Functional Assignment'!$H$2,)</f>
        <v>529045728.57886356</v>
      </c>
      <c r="G68" s="76">
        <f t="shared" ref="G68:P73" si="28">IF(VLOOKUP($E68,$D$6:$AN$1131,3,)=0,0,(VLOOKUP($E68,$D$6:$AN$1131,G$2,)/VLOOKUP($E68,$D$6:$AN$1131,3,))*$F68)</f>
        <v>191397122.90416172</v>
      </c>
      <c r="H68" s="76">
        <f t="shared" si="28"/>
        <v>62197213.535114296</v>
      </c>
      <c r="I68" s="76">
        <f t="shared" si="28"/>
        <v>0</v>
      </c>
      <c r="J68" s="76">
        <f t="shared" si="28"/>
        <v>7407793.8845576905</v>
      </c>
      <c r="K68" s="76">
        <f t="shared" si="28"/>
        <v>85828899.317972586</v>
      </c>
      <c r="L68" s="76">
        <f t="shared" si="28"/>
        <v>0</v>
      </c>
      <c r="M68" s="76">
        <f t="shared" si="28"/>
        <v>0</v>
      </c>
      <c r="N68" s="76">
        <f t="shared" si="28"/>
        <v>82848717.253047198</v>
      </c>
      <c r="O68" s="76">
        <f t="shared" si="28"/>
        <v>36437991.380418837</v>
      </c>
      <c r="P68" s="76">
        <f t="shared" si="28"/>
        <v>50448523.561437637</v>
      </c>
      <c r="Q68" s="76">
        <f t="shared" ref="Q68:Z73" si="29">IF(VLOOKUP($E68,$D$6:$AN$1131,3,)=0,0,(VLOOKUP($E68,$D$6:$AN$1131,Q$2,)/VLOOKUP($E68,$D$6:$AN$1131,3,))*$F68)</f>
        <v>4924030.1954528466</v>
      </c>
      <c r="R68" s="76">
        <f t="shared" si="29"/>
        <v>2601347.6592511903</v>
      </c>
      <c r="S68" s="76">
        <f t="shared" si="29"/>
        <v>4659854.0924213463</v>
      </c>
      <c r="T68" s="76">
        <f t="shared" si="29"/>
        <v>151893.72856742758</v>
      </c>
      <c r="U68" s="76">
        <f t="shared" si="29"/>
        <v>142341.06646094361</v>
      </c>
      <c r="V68" s="76">
        <f t="shared" si="29"/>
        <v>0</v>
      </c>
      <c r="W68" s="76">
        <f t="shared" si="29"/>
        <v>0</v>
      </c>
      <c r="X68" s="62">
        <f t="shared" si="29"/>
        <v>0</v>
      </c>
      <c r="Y68" s="62">
        <f t="shared" si="29"/>
        <v>0</v>
      </c>
      <c r="Z68" s="62">
        <f t="shared" si="29"/>
        <v>0</v>
      </c>
      <c r="AA68" s="64">
        <f t="shared" ref="AA68:AA74" si="30">SUM(G68:Z68)</f>
        <v>529045728.5788638</v>
      </c>
      <c r="AB68" s="58" t="str">
        <f t="shared" ref="AB68:AB74" si="31">IF(ABS(F68-AA68)&lt;0.01,"ok","err")</f>
        <v>ok</v>
      </c>
    </row>
    <row r="69" spans="1:28">
      <c r="A69" s="68" t="s">
        <v>1255</v>
      </c>
      <c r="C69" s="60" t="s">
        <v>973</v>
      </c>
      <c r="D69" s="60" t="s">
        <v>395</v>
      </c>
      <c r="E69" s="60" t="s">
        <v>188</v>
      </c>
      <c r="F69" s="79">
        <f>VLOOKUP(C69,'Functional Assignment'!$C$2:$AP$780,'Functional Assignment'!$I$2,)</f>
        <v>554208886.27741861</v>
      </c>
      <c r="G69" s="79">
        <f t="shared" si="28"/>
        <v>236823534.8026292</v>
      </c>
      <c r="H69" s="79">
        <f t="shared" si="28"/>
        <v>77493977.235737175</v>
      </c>
      <c r="I69" s="79">
        <f t="shared" si="28"/>
        <v>0</v>
      </c>
      <c r="J69" s="79">
        <f t="shared" si="28"/>
        <v>6026249.2756160991</v>
      </c>
      <c r="K69" s="79">
        <f t="shared" si="28"/>
        <v>81090069.527553439</v>
      </c>
      <c r="L69" s="79">
        <f t="shared" si="28"/>
        <v>0</v>
      </c>
      <c r="M69" s="79">
        <f t="shared" si="28"/>
        <v>0</v>
      </c>
      <c r="N69" s="79">
        <f t="shared" si="28"/>
        <v>64575672.739546739</v>
      </c>
      <c r="O69" s="79">
        <f t="shared" si="28"/>
        <v>43305356.34267205</v>
      </c>
      <c r="P69" s="79">
        <f t="shared" si="28"/>
        <v>38624860.924972154</v>
      </c>
      <c r="Q69" s="79">
        <f t="shared" si="29"/>
        <v>4459485.1582705006</v>
      </c>
      <c r="R69" s="79">
        <f t="shared" si="29"/>
        <v>1695067.6339805839</v>
      </c>
      <c r="S69" s="79">
        <f t="shared" si="29"/>
        <v>0</v>
      </c>
      <c r="T69" s="79">
        <f t="shared" si="29"/>
        <v>0</v>
      </c>
      <c r="U69" s="79">
        <f t="shared" si="29"/>
        <v>114612.63644066222</v>
      </c>
      <c r="V69" s="79">
        <f t="shared" si="29"/>
        <v>0</v>
      </c>
      <c r="W69" s="79">
        <f t="shared" si="29"/>
        <v>0</v>
      </c>
      <c r="X69" s="63">
        <f t="shared" si="29"/>
        <v>0</v>
      </c>
      <c r="Y69" s="63">
        <f t="shared" si="29"/>
        <v>0</v>
      </c>
      <c r="Z69" s="63">
        <f t="shared" si="29"/>
        <v>0</v>
      </c>
      <c r="AA69" s="63">
        <f t="shared" si="30"/>
        <v>554208886.27741861</v>
      </c>
      <c r="AB69" s="58" t="str">
        <f t="shared" si="31"/>
        <v>ok</v>
      </c>
    </row>
    <row r="70" spans="1:28">
      <c r="A70" s="68" t="s">
        <v>1256</v>
      </c>
      <c r="C70" s="60" t="s">
        <v>973</v>
      </c>
      <c r="D70" s="60" t="s">
        <v>396</v>
      </c>
      <c r="E70" s="60" t="s">
        <v>191</v>
      </c>
      <c r="F70" s="79">
        <f>VLOOKUP(C70,'Functional Assignment'!$C$2:$AP$780,'Functional Assignment'!$J$2,)</f>
        <v>455557835.71623755</v>
      </c>
      <c r="G70" s="79">
        <f t="shared" si="28"/>
        <v>178145897.69807371</v>
      </c>
      <c r="H70" s="79">
        <f t="shared" si="28"/>
        <v>64377514.984282233</v>
      </c>
      <c r="I70" s="79">
        <f t="shared" si="28"/>
        <v>0</v>
      </c>
      <c r="J70" s="79">
        <f t="shared" si="28"/>
        <v>5309330.50113698</v>
      </c>
      <c r="K70" s="79">
        <f t="shared" si="28"/>
        <v>74942480.355510995</v>
      </c>
      <c r="L70" s="79">
        <f t="shared" si="28"/>
        <v>0</v>
      </c>
      <c r="M70" s="79">
        <f t="shared" si="28"/>
        <v>0</v>
      </c>
      <c r="N70" s="79">
        <f t="shared" si="28"/>
        <v>56680935.406203978</v>
      </c>
      <c r="O70" s="79">
        <f t="shared" si="28"/>
        <v>38283425.529895909</v>
      </c>
      <c r="P70" s="79">
        <f t="shared" si="28"/>
        <v>32781502.48707376</v>
      </c>
      <c r="Q70" s="79">
        <f t="shared" si="29"/>
        <v>3539643.9248348647</v>
      </c>
      <c r="R70" s="79">
        <f t="shared" si="29"/>
        <v>1432870.7243122659</v>
      </c>
      <c r="S70" s="79">
        <f t="shared" si="29"/>
        <v>0</v>
      </c>
      <c r="T70" s="79">
        <f t="shared" si="29"/>
        <v>0</v>
      </c>
      <c r="U70" s="79">
        <f t="shared" si="29"/>
        <v>64234.104912811694</v>
      </c>
      <c r="V70" s="79">
        <f t="shared" si="29"/>
        <v>0</v>
      </c>
      <c r="W70" s="79">
        <f t="shared" si="29"/>
        <v>0</v>
      </c>
      <c r="X70" s="63">
        <f t="shared" si="29"/>
        <v>0</v>
      </c>
      <c r="Y70" s="63">
        <f t="shared" si="29"/>
        <v>0</v>
      </c>
      <c r="Z70" s="63">
        <f t="shared" si="29"/>
        <v>0</v>
      </c>
      <c r="AA70" s="63">
        <f t="shared" si="30"/>
        <v>455557835.71623749</v>
      </c>
      <c r="AB70" s="58" t="str">
        <f t="shared" si="31"/>
        <v>ok</v>
      </c>
    </row>
    <row r="71" spans="1:28">
      <c r="A71" s="68" t="s">
        <v>1257</v>
      </c>
      <c r="C71" s="60" t="s">
        <v>973</v>
      </c>
      <c r="D71" s="60" t="s">
        <v>397</v>
      </c>
      <c r="E71" s="60" t="s">
        <v>1091</v>
      </c>
      <c r="F71" s="79">
        <f>VLOOKUP(C71,'Functional Assignment'!$C$2:$AP$780,'Functional Assignment'!$K$2,)</f>
        <v>0</v>
      </c>
      <c r="G71" s="79">
        <f t="shared" si="28"/>
        <v>0</v>
      </c>
      <c r="H71" s="79">
        <f t="shared" si="28"/>
        <v>0</v>
      </c>
      <c r="I71" s="79">
        <f t="shared" si="28"/>
        <v>0</v>
      </c>
      <c r="J71" s="79">
        <f t="shared" si="28"/>
        <v>0</v>
      </c>
      <c r="K71" s="79">
        <f t="shared" si="28"/>
        <v>0</v>
      </c>
      <c r="L71" s="79">
        <f t="shared" si="28"/>
        <v>0</v>
      </c>
      <c r="M71" s="79">
        <f t="shared" si="28"/>
        <v>0</v>
      </c>
      <c r="N71" s="79">
        <f t="shared" si="28"/>
        <v>0</v>
      </c>
      <c r="O71" s="79">
        <f t="shared" si="28"/>
        <v>0</v>
      </c>
      <c r="P71" s="79">
        <f t="shared" si="28"/>
        <v>0</v>
      </c>
      <c r="Q71" s="79">
        <f t="shared" si="29"/>
        <v>0</v>
      </c>
      <c r="R71" s="79">
        <f t="shared" si="29"/>
        <v>0</v>
      </c>
      <c r="S71" s="79">
        <f t="shared" si="29"/>
        <v>0</v>
      </c>
      <c r="T71" s="79">
        <f t="shared" si="29"/>
        <v>0</v>
      </c>
      <c r="U71" s="79">
        <f t="shared" si="29"/>
        <v>0</v>
      </c>
      <c r="V71" s="79">
        <f t="shared" si="29"/>
        <v>0</v>
      </c>
      <c r="W71" s="79">
        <f t="shared" si="29"/>
        <v>0</v>
      </c>
      <c r="X71" s="63">
        <f t="shared" si="29"/>
        <v>0</v>
      </c>
      <c r="Y71" s="63">
        <f t="shared" si="29"/>
        <v>0</v>
      </c>
      <c r="Z71" s="63">
        <f t="shared" si="29"/>
        <v>0</v>
      </c>
      <c r="AA71" s="63">
        <f t="shared" si="30"/>
        <v>0</v>
      </c>
      <c r="AB71" s="58" t="str">
        <f t="shared" si="31"/>
        <v>ok</v>
      </c>
    </row>
    <row r="72" spans="1:28" hidden="1">
      <c r="A72" s="68" t="s">
        <v>1258</v>
      </c>
      <c r="C72" s="60" t="s">
        <v>973</v>
      </c>
      <c r="D72" s="60" t="s">
        <v>398</v>
      </c>
      <c r="E72" s="60" t="s">
        <v>1091</v>
      </c>
      <c r="F72" s="79">
        <f>VLOOKUP(C72,'Functional Assignment'!$C$2:$AP$780,'Functional Assignment'!$L$2,)</f>
        <v>0</v>
      </c>
      <c r="G72" s="79">
        <f t="shared" si="28"/>
        <v>0</v>
      </c>
      <c r="H72" s="79">
        <f t="shared" si="28"/>
        <v>0</v>
      </c>
      <c r="I72" s="79">
        <f t="shared" si="28"/>
        <v>0</v>
      </c>
      <c r="J72" s="79">
        <f t="shared" si="28"/>
        <v>0</v>
      </c>
      <c r="K72" s="79">
        <f t="shared" si="28"/>
        <v>0</v>
      </c>
      <c r="L72" s="79">
        <f t="shared" si="28"/>
        <v>0</v>
      </c>
      <c r="M72" s="79">
        <f t="shared" si="28"/>
        <v>0</v>
      </c>
      <c r="N72" s="79">
        <f t="shared" si="28"/>
        <v>0</v>
      </c>
      <c r="O72" s="79">
        <f t="shared" si="28"/>
        <v>0</v>
      </c>
      <c r="P72" s="79">
        <f t="shared" si="28"/>
        <v>0</v>
      </c>
      <c r="Q72" s="79">
        <f t="shared" si="29"/>
        <v>0</v>
      </c>
      <c r="R72" s="79">
        <f t="shared" si="29"/>
        <v>0</v>
      </c>
      <c r="S72" s="79">
        <f t="shared" si="29"/>
        <v>0</v>
      </c>
      <c r="T72" s="79">
        <f t="shared" si="29"/>
        <v>0</v>
      </c>
      <c r="U72" s="79">
        <f t="shared" si="29"/>
        <v>0</v>
      </c>
      <c r="V72" s="79">
        <f t="shared" si="29"/>
        <v>0</v>
      </c>
      <c r="W72" s="79">
        <f t="shared" si="29"/>
        <v>0</v>
      </c>
      <c r="X72" s="63">
        <f t="shared" si="29"/>
        <v>0</v>
      </c>
      <c r="Y72" s="63">
        <f t="shared" si="29"/>
        <v>0</v>
      </c>
      <c r="Z72" s="63">
        <f t="shared" si="29"/>
        <v>0</v>
      </c>
      <c r="AA72" s="63">
        <f t="shared" si="30"/>
        <v>0</v>
      </c>
      <c r="AB72" s="58" t="str">
        <f t="shared" si="31"/>
        <v>ok</v>
      </c>
    </row>
    <row r="73" spans="1:28" hidden="1">
      <c r="A73" s="68" t="s">
        <v>1258</v>
      </c>
      <c r="C73" s="60" t="s">
        <v>973</v>
      </c>
      <c r="D73" s="60" t="s">
        <v>399</v>
      </c>
      <c r="E73" s="60" t="s">
        <v>1091</v>
      </c>
      <c r="F73" s="79">
        <f>VLOOKUP(C73,'Functional Assignment'!$C$2:$AP$780,'Functional Assignment'!$M$2,)</f>
        <v>0</v>
      </c>
      <c r="G73" s="79">
        <f t="shared" si="28"/>
        <v>0</v>
      </c>
      <c r="H73" s="79">
        <f t="shared" si="28"/>
        <v>0</v>
      </c>
      <c r="I73" s="79">
        <f t="shared" si="28"/>
        <v>0</v>
      </c>
      <c r="J73" s="79">
        <f t="shared" si="28"/>
        <v>0</v>
      </c>
      <c r="K73" s="79">
        <f t="shared" si="28"/>
        <v>0</v>
      </c>
      <c r="L73" s="79">
        <f t="shared" si="28"/>
        <v>0</v>
      </c>
      <c r="M73" s="79">
        <f t="shared" si="28"/>
        <v>0</v>
      </c>
      <c r="N73" s="79">
        <f t="shared" si="28"/>
        <v>0</v>
      </c>
      <c r="O73" s="79">
        <f t="shared" si="28"/>
        <v>0</v>
      </c>
      <c r="P73" s="79">
        <f t="shared" si="28"/>
        <v>0</v>
      </c>
      <c r="Q73" s="79">
        <f t="shared" si="29"/>
        <v>0</v>
      </c>
      <c r="R73" s="79">
        <f t="shared" si="29"/>
        <v>0</v>
      </c>
      <c r="S73" s="79">
        <f t="shared" si="29"/>
        <v>0</v>
      </c>
      <c r="T73" s="79">
        <f t="shared" si="29"/>
        <v>0</v>
      </c>
      <c r="U73" s="79">
        <f t="shared" si="29"/>
        <v>0</v>
      </c>
      <c r="V73" s="79">
        <f t="shared" si="29"/>
        <v>0</v>
      </c>
      <c r="W73" s="79">
        <f t="shared" si="29"/>
        <v>0</v>
      </c>
      <c r="X73" s="63">
        <f t="shared" si="29"/>
        <v>0</v>
      </c>
      <c r="Y73" s="63">
        <f t="shared" si="29"/>
        <v>0</v>
      </c>
      <c r="Z73" s="63">
        <f t="shared" si="29"/>
        <v>0</v>
      </c>
      <c r="AA73" s="63">
        <f t="shared" si="30"/>
        <v>0</v>
      </c>
      <c r="AB73" s="58" t="str">
        <f t="shared" si="31"/>
        <v>ok</v>
      </c>
    </row>
    <row r="74" spans="1:28">
      <c r="A74" s="60" t="s">
        <v>387</v>
      </c>
      <c r="D74" s="60" t="s">
        <v>400</v>
      </c>
      <c r="F74" s="76">
        <f>SUM(F68:F73)</f>
        <v>1538812450.5725198</v>
      </c>
      <c r="G74" s="76">
        <f t="shared" ref="G74:P74" si="32">SUM(G68:G73)</f>
        <v>606366555.40486467</v>
      </c>
      <c r="H74" s="76">
        <f t="shared" si="32"/>
        <v>204068705.75513369</v>
      </c>
      <c r="I74" s="76">
        <f t="shared" si="32"/>
        <v>0</v>
      </c>
      <c r="J74" s="76">
        <f t="shared" si="32"/>
        <v>18743373.66131077</v>
      </c>
      <c r="K74" s="76">
        <f t="shared" si="32"/>
        <v>241861449.20103705</v>
      </c>
      <c r="L74" s="76">
        <f t="shared" si="32"/>
        <v>0</v>
      </c>
      <c r="M74" s="76">
        <f t="shared" si="32"/>
        <v>0</v>
      </c>
      <c r="N74" s="76">
        <f t="shared" si="32"/>
        <v>204105325.39879793</v>
      </c>
      <c r="O74" s="76">
        <f>SUM(O68:O73)</f>
        <v>118026773.25298679</v>
      </c>
      <c r="P74" s="76">
        <f t="shared" si="32"/>
        <v>121854886.97348355</v>
      </c>
      <c r="Q74" s="76">
        <f t="shared" ref="Q74:W74" si="33">SUM(Q68:Q73)</f>
        <v>12923159.278558211</v>
      </c>
      <c r="R74" s="76">
        <f t="shared" si="33"/>
        <v>5729286.0175440405</v>
      </c>
      <c r="S74" s="76">
        <f t="shared" si="33"/>
        <v>4659854.0924213463</v>
      </c>
      <c r="T74" s="76">
        <f t="shared" si="33"/>
        <v>151893.72856742758</v>
      </c>
      <c r="U74" s="76">
        <f t="shared" si="33"/>
        <v>321187.80781441752</v>
      </c>
      <c r="V74" s="76">
        <f t="shared" si="33"/>
        <v>0</v>
      </c>
      <c r="W74" s="76">
        <f t="shared" si="33"/>
        <v>0</v>
      </c>
      <c r="X74" s="62">
        <f>SUM(X68:X73)</f>
        <v>0</v>
      </c>
      <c r="Y74" s="62">
        <f>SUM(Y68:Y73)</f>
        <v>0</v>
      </c>
      <c r="Z74" s="62">
        <f>SUM(Z68:Z73)</f>
        <v>0</v>
      </c>
      <c r="AA74" s="64">
        <f t="shared" si="30"/>
        <v>1538812450.5725198</v>
      </c>
      <c r="AB74" s="58" t="str">
        <f t="shared" si="31"/>
        <v>ok</v>
      </c>
    </row>
    <row r="75" spans="1:28">
      <c r="F75" s="79"/>
      <c r="G75" s="79"/>
    </row>
    <row r="76" spans="1:28" ht="15">
      <c r="A76" s="65" t="s">
        <v>1131</v>
      </c>
      <c r="F76" s="79"/>
      <c r="G76" s="79"/>
    </row>
    <row r="77" spans="1:28">
      <c r="A77" s="68" t="s">
        <v>1363</v>
      </c>
      <c r="C77" s="60" t="s">
        <v>973</v>
      </c>
      <c r="D77" s="60" t="s">
        <v>401</v>
      </c>
      <c r="E77" s="60" t="s">
        <v>1367</v>
      </c>
      <c r="F77" s="76">
        <f>VLOOKUP(C77,'Functional Assignment'!$C$2:$AP$780,'Functional Assignment'!$N$2,)</f>
        <v>302524467.33177245</v>
      </c>
      <c r="G77" s="76">
        <f t="shared" ref="G77:P79" si="34">IF(VLOOKUP($E77,$D$6:$AN$1131,3,)=0,0,(VLOOKUP($E77,$D$6:$AN$1131,G$2,)/VLOOKUP($E77,$D$6:$AN$1131,3,))*$F77)</f>
        <v>134438213.69339359</v>
      </c>
      <c r="H77" s="76">
        <f t="shared" si="34"/>
        <v>38697665.588109575</v>
      </c>
      <c r="I77" s="76">
        <f t="shared" si="34"/>
        <v>0</v>
      </c>
      <c r="J77" s="76">
        <f t="shared" si="34"/>
        <v>3438321.473382046</v>
      </c>
      <c r="K77" s="76">
        <f t="shared" si="34"/>
        <v>39907250.139035232</v>
      </c>
      <c r="L77" s="76">
        <f t="shared" si="34"/>
        <v>0</v>
      </c>
      <c r="M77" s="76">
        <f t="shared" si="34"/>
        <v>0</v>
      </c>
      <c r="N77" s="76">
        <f t="shared" si="34"/>
        <v>36303419.982958779</v>
      </c>
      <c r="O77" s="76">
        <f t="shared" si="34"/>
        <v>21555065.48748225</v>
      </c>
      <c r="P77" s="76">
        <f t="shared" si="34"/>
        <v>22327117.630757362</v>
      </c>
      <c r="Q77" s="76">
        <f t="shared" ref="Q77:Z79" si="35">IF(VLOOKUP($E77,$D$6:$AN$1131,3,)=0,0,(VLOOKUP($E77,$D$6:$AN$1131,Q$2,)/VLOOKUP($E77,$D$6:$AN$1131,3,))*$F77)</f>
        <v>2250671.7618561531</v>
      </c>
      <c r="R77" s="76">
        <f t="shared" si="35"/>
        <v>1178033.980922045</v>
      </c>
      <c r="S77" s="76">
        <f t="shared" si="35"/>
        <v>2320675.1549732098</v>
      </c>
      <c r="T77" s="76">
        <f t="shared" si="35"/>
        <v>74221.890426888043</v>
      </c>
      <c r="U77" s="76">
        <f t="shared" si="35"/>
        <v>33810.548475373849</v>
      </c>
      <c r="V77" s="76">
        <f t="shared" si="35"/>
        <v>0</v>
      </c>
      <c r="W77" s="76">
        <f t="shared" si="35"/>
        <v>0</v>
      </c>
      <c r="X77" s="62">
        <f t="shared" si="35"/>
        <v>0</v>
      </c>
      <c r="Y77" s="62">
        <f t="shared" si="35"/>
        <v>0</v>
      </c>
      <c r="Z77" s="62">
        <f t="shared" si="35"/>
        <v>0</v>
      </c>
      <c r="AA77" s="64">
        <f>SUM(G77:Z77)</f>
        <v>302524467.33177251</v>
      </c>
      <c r="AB77" s="58" t="str">
        <f>IF(ABS(F77-AA77)&lt;0.01,"ok","err")</f>
        <v>ok</v>
      </c>
    </row>
    <row r="78" spans="1:28" hidden="1">
      <c r="A78" s="68" t="s">
        <v>1364</v>
      </c>
      <c r="C78" s="60" t="s">
        <v>973</v>
      </c>
      <c r="D78" s="60" t="s">
        <v>402</v>
      </c>
      <c r="E78" s="60" t="s">
        <v>188</v>
      </c>
      <c r="F78" s="79">
        <f>VLOOKUP(C78,'Functional Assignment'!$C$2:$AP$780,'Functional Assignment'!$O$2,)</f>
        <v>0</v>
      </c>
      <c r="G78" s="79">
        <f t="shared" si="34"/>
        <v>0</v>
      </c>
      <c r="H78" s="79">
        <f t="shared" si="34"/>
        <v>0</v>
      </c>
      <c r="I78" s="79">
        <f t="shared" si="34"/>
        <v>0</v>
      </c>
      <c r="J78" s="79">
        <f t="shared" si="34"/>
        <v>0</v>
      </c>
      <c r="K78" s="79">
        <f t="shared" si="34"/>
        <v>0</v>
      </c>
      <c r="L78" s="79">
        <f t="shared" si="34"/>
        <v>0</v>
      </c>
      <c r="M78" s="79">
        <f t="shared" si="34"/>
        <v>0</v>
      </c>
      <c r="N78" s="79">
        <f t="shared" si="34"/>
        <v>0</v>
      </c>
      <c r="O78" s="79">
        <f t="shared" si="34"/>
        <v>0</v>
      </c>
      <c r="P78" s="79">
        <f t="shared" si="34"/>
        <v>0</v>
      </c>
      <c r="Q78" s="79">
        <f t="shared" si="35"/>
        <v>0</v>
      </c>
      <c r="R78" s="79">
        <f t="shared" si="35"/>
        <v>0</v>
      </c>
      <c r="S78" s="79">
        <f t="shared" si="35"/>
        <v>0</v>
      </c>
      <c r="T78" s="79">
        <f t="shared" si="35"/>
        <v>0</v>
      </c>
      <c r="U78" s="79">
        <f t="shared" si="35"/>
        <v>0</v>
      </c>
      <c r="V78" s="79">
        <f t="shared" si="35"/>
        <v>0</v>
      </c>
      <c r="W78" s="79">
        <f t="shared" si="35"/>
        <v>0</v>
      </c>
      <c r="X78" s="63">
        <f t="shared" si="35"/>
        <v>0</v>
      </c>
      <c r="Y78" s="63">
        <f t="shared" si="35"/>
        <v>0</v>
      </c>
      <c r="Z78" s="63">
        <f t="shared" si="35"/>
        <v>0</v>
      </c>
      <c r="AA78" s="63">
        <f>SUM(G78:Z78)</f>
        <v>0</v>
      </c>
      <c r="AB78" s="58" t="str">
        <f>IF(ABS(F78-AA78)&lt;0.01,"ok","err")</f>
        <v>ok</v>
      </c>
    </row>
    <row r="79" spans="1:28" hidden="1">
      <c r="A79" s="68" t="s">
        <v>1364</v>
      </c>
      <c r="C79" s="60" t="s">
        <v>973</v>
      </c>
      <c r="D79" s="60" t="s">
        <v>403</v>
      </c>
      <c r="E79" s="60" t="s">
        <v>191</v>
      </c>
      <c r="F79" s="79">
        <f>VLOOKUP(C79,'Functional Assignment'!$C$2:$AP$780,'Functional Assignment'!$P$2,)</f>
        <v>0</v>
      </c>
      <c r="G79" s="79">
        <f t="shared" si="34"/>
        <v>0</v>
      </c>
      <c r="H79" s="79">
        <f t="shared" si="34"/>
        <v>0</v>
      </c>
      <c r="I79" s="79">
        <f t="shared" si="34"/>
        <v>0</v>
      </c>
      <c r="J79" s="79">
        <f t="shared" si="34"/>
        <v>0</v>
      </c>
      <c r="K79" s="79">
        <f t="shared" si="34"/>
        <v>0</v>
      </c>
      <c r="L79" s="79">
        <f t="shared" si="34"/>
        <v>0</v>
      </c>
      <c r="M79" s="79">
        <f t="shared" si="34"/>
        <v>0</v>
      </c>
      <c r="N79" s="79">
        <f t="shared" si="34"/>
        <v>0</v>
      </c>
      <c r="O79" s="79">
        <f t="shared" si="34"/>
        <v>0</v>
      </c>
      <c r="P79" s="79">
        <f t="shared" si="34"/>
        <v>0</v>
      </c>
      <c r="Q79" s="79">
        <f t="shared" si="35"/>
        <v>0</v>
      </c>
      <c r="R79" s="79">
        <f t="shared" si="35"/>
        <v>0</v>
      </c>
      <c r="S79" s="79">
        <f t="shared" si="35"/>
        <v>0</v>
      </c>
      <c r="T79" s="79">
        <f t="shared" si="35"/>
        <v>0</v>
      </c>
      <c r="U79" s="79">
        <f t="shared" si="35"/>
        <v>0</v>
      </c>
      <c r="V79" s="79">
        <f t="shared" si="35"/>
        <v>0</v>
      </c>
      <c r="W79" s="79">
        <f t="shared" si="35"/>
        <v>0</v>
      </c>
      <c r="X79" s="63">
        <f t="shared" si="35"/>
        <v>0</v>
      </c>
      <c r="Y79" s="63">
        <f t="shared" si="35"/>
        <v>0</v>
      </c>
      <c r="Z79" s="63">
        <f t="shared" si="35"/>
        <v>0</v>
      </c>
      <c r="AA79" s="63">
        <f>SUM(G79:Z79)</f>
        <v>0</v>
      </c>
      <c r="AB79" s="58" t="str">
        <f>IF(ABS(F79-AA79)&lt;0.01,"ok","err")</f>
        <v>ok</v>
      </c>
    </row>
    <row r="80" spans="1:28" hidden="1">
      <c r="A80" s="60" t="s">
        <v>1133</v>
      </c>
      <c r="D80" s="60" t="s">
        <v>404</v>
      </c>
      <c r="F80" s="76">
        <f>SUM(F77:F79)</f>
        <v>302524467.33177245</v>
      </c>
      <c r="G80" s="76">
        <f t="shared" ref="G80:W80" si="36">SUM(G77:G79)</f>
        <v>134438213.69339359</v>
      </c>
      <c r="H80" s="76">
        <f t="shared" si="36"/>
        <v>38697665.588109575</v>
      </c>
      <c r="I80" s="76">
        <f t="shared" si="36"/>
        <v>0</v>
      </c>
      <c r="J80" s="76">
        <f t="shared" si="36"/>
        <v>3438321.473382046</v>
      </c>
      <c r="K80" s="76">
        <f t="shared" si="36"/>
        <v>39907250.139035232</v>
      </c>
      <c r="L80" s="76">
        <f t="shared" si="36"/>
        <v>0</v>
      </c>
      <c r="M80" s="76">
        <f t="shared" si="36"/>
        <v>0</v>
      </c>
      <c r="N80" s="76">
        <f t="shared" si="36"/>
        <v>36303419.982958779</v>
      </c>
      <c r="O80" s="76">
        <f>SUM(O77:O79)</f>
        <v>21555065.48748225</v>
      </c>
      <c r="P80" s="76">
        <f t="shared" si="36"/>
        <v>22327117.630757362</v>
      </c>
      <c r="Q80" s="76">
        <f t="shared" si="36"/>
        <v>2250671.7618561531</v>
      </c>
      <c r="R80" s="76">
        <f t="shared" si="36"/>
        <v>1178033.980922045</v>
      </c>
      <c r="S80" s="76">
        <f t="shared" si="36"/>
        <v>2320675.1549732098</v>
      </c>
      <c r="T80" s="76">
        <f t="shared" si="36"/>
        <v>74221.890426888043</v>
      </c>
      <c r="U80" s="76">
        <f t="shared" si="36"/>
        <v>33810.548475373849</v>
      </c>
      <c r="V80" s="76">
        <f t="shared" si="36"/>
        <v>0</v>
      </c>
      <c r="W80" s="76">
        <f t="shared" si="36"/>
        <v>0</v>
      </c>
      <c r="X80" s="62">
        <f>SUM(X77:X79)</f>
        <v>0</v>
      </c>
      <c r="Y80" s="62">
        <f>SUM(Y77:Y79)</f>
        <v>0</v>
      </c>
      <c r="Z80" s="62">
        <f>SUM(Z77:Z79)</f>
        <v>0</v>
      </c>
      <c r="AA80" s="64">
        <f>SUM(G80:Z80)</f>
        <v>302524467.33177251</v>
      </c>
      <c r="AB80" s="58" t="str">
        <f>IF(ABS(F80-AA80)&lt;0.01,"ok","err")</f>
        <v>ok</v>
      </c>
    </row>
    <row r="81" spans="1:28">
      <c r="F81" s="79"/>
      <c r="G81" s="79"/>
    </row>
    <row r="82" spans="1:28" ht="15">
      <c r="A82" s="65" t="s">
        <v>348</v>
      </c>
      <c r="F82" s="79"/>
      <c r="G82" s="79"/>
    </row>
    <row r="83" spans="1:28">
      <c r="A83" s="68" t="s">
        <v>372</v>
      </c>
      <c r="C83" s="60" t="s">
        <v>973</v>
      </c>
      <c r="D83" s="60" t="s">
        <v>405</v>
      </c>
      <c r="E83" s="60" t="s">
        <v>1368</v>
      </c>
      <c r="F83" s="76">
        <f>VLOOKUP(C83,'Functional Assignment'!$C$2:$AP$780,'Functional Assignment'!$Q$2,)</f>
        <v>0</v>
      </c>
      <c r="G83" s="76">
        <f t="shared" ref="G83:Z83" si="37">IF(VLOOKUP($E83,$D$6:$AN$1131,3,)=0,0,(VLOOKUP($E83,$D$6:$AN$1131,G$2,)/VLOOKUP($E83,$D$6:$AN$1131,3,))*$F83)</f>
        <v>0</v>
      </c>
      <c r="H83" s="76">
        <f t="shared" si="37"/>
        <v>0</v>
      </c>
      <c r="I83" s="76">
        <f t="shared" si="37"/>
        <v>0</v>
      </c>
      <c r="J83" s="76">
        <f t="shared" si="37"/>
        <v>0</v>
      </c>
      <c r="K83" s="76">
        <f t="shared" si="37"/>
        <v>0</v>
      </c>
      <c r="L83" s="76">
        <f t="shared" si="37"/>
        <v>0</v>
      </c>
      <c r="M83" s="76">
        <f t="shared" si="37"/>
        <v>0</v>
      </c>
      <c r="N83" s="76">
        <f t="shared" si="37"/>
        <v>0</v>
      </c>
      <c r="O83" s="76">
        <f t="shared" si="37"/>
        <v>0</v>
      </c>
      <c r="P83" s="76">
        <f t="shared" si="37"/>
        <v>0</v>
      </c>
      <c r="Q83" s="76">
        <f t="shared" si="37"/>
        <v>0</v>
      </c>
      <c r="R83" s="76">
        <f t="shared" si="37"/>
        <v>0</v>
      </c>
      <c r="S83" s="76">
        <f t="shared" si="37"/>
        <v>0</v>
      </c>
      <c r="T83" s="76">
        <f t="shared" si="37"/>
        <v>0</v>
      </c>
      <c r="U83" s="76">
        <f t="shared" si="37"/>
        <v>0</v>
      </c>
      <c r="V83" s="76">
        <f t="shared" si="37"/>
        <v>0</v>
      </c>
      <c r="W83" s="76">
        <f t="shared" si="37"/>
        <v>0</v>
      </c>
      <c r="X83" s="62">
        <f t="shared" si="37"/>
        <v>0</v>
      </c>
      <c r="Y83" s="62">
        <f t="shared" si="37"/>
        <v>0</v>
      </c>
      <c r="Z83" s="62">
        <f t="shared" si="37"/>
        <v>0</v>
      </c>
      <c r="AA83" s="64">
        <f>SUM(G83:Z83)</f>
        <v>0</v>
      </c>
      <c r="AB83" s="58" t="str">
        <f>IF(ABS(F83-AA83)&lt;0.01,"ok","err")</f>
        <v>ok</v>
      </c>
    </row>
    <row r="84" spans="1:28">
      <c r="F84" s="79"/>
    </row>
    <row r="85" spans="1:28" ht="15">
      <c r="A85" s="65" t="s">
        <v>349</v>
      </c>
      <c r="F85" s="79"/>
      <c r="G85" s="79"/>
    </row>
    <row r="86" spans="1:28">
      <c r="A86" s="68" t="s">
        <v>374</v>
      </c>
      <c r="C86" s="60" t="s">
        <v>973</v>
      </c>
      <c r="D86" s="60" t="s">
        <v>406</v>
      </c>
      <c r="E86" s="60" t="s">
        <v>1368</v>
      </c>
      <c r="F86" s="76">
        <f>VLOOKUP(C86,'Functional Assignment'!$C$2:$AP$780,'Functional Assignment'!$R$2,)</f>
        <v>104174581.44635636</v>
      </c>
      <c r="G86" s="76">
        <f t="shared" ref="G86:Z86" si="38">IF(VLOOKUP($E86,$D$6:$AN$1131,3,)=0,0,(VLOOKUP($E86,$D$6:$AN$1131,G$2,)/VLOOKUP($E86,$D$6:$AN$1131,3,))*$F86)</f>
        <v>49982787.691779345</v>
      </c>
      <c r="H86" s="76">
        <f t="shared" si="38"/>
        <v>14387406.304499311</v>
      </c>
      <c r="I86" s="76">
        <f t="shared" si="38"/>
        <v>0</v>
      </c>
      <c r="J86" s="76">
        <f t="shared" si="38"/>
        <v>1278333.6485865994</v>
      </c>
      <c r="K86" s="76">
        <f t="shared" si="38"/>
        <v>14837117.782681087</v>
      </c>
      <c r="L86" s="76">
        <f t="shared" si="38"/>
        <v>0</v>
      </c>
      <c r="M86" s="76">
        <f t="shared" si="38"/>
        <v>0</v>
      </c>
      <c r="N86" s="76">
        <f t="shared" si="38"/>
        <v>13497249.655756893</v>
      </c>
      <c r="O86" s="76">
        <f t="shared" si="38"/>
        <v>8013958.4746369543</v>
      </c>
      <c r="P86" s="76">
        <f t="shared" si="38"/>
        <v>0</v>
      </c>
      <c r="Q86" s="76">
        <f t="shared" si="38"/>
        <v>836777.32503423735</v>
      </c>
      <c r="R86" s="76">
        <f t="shared" si="38"/>
        <v>437981.29076912673</v>
      </c>
      <c r="S86" s="76">
        <f t="shared" si="38"/>
        <v>862803.88876003877</v>
      </c>
      <c r="T86" s="76">
        <f t="shared" si="38"/>
        <v>27594.958973126839</v>
      </c>
      <c r="U86" s="76">
        <f t="shared" si="38"/>
        <v>12570.424879650645</v>
      </c>
      <c r="V86" s="76">
        <f t="shared" si="38"/>
        <v>0</v>
      </c>
      <c r="W86" s="76">
        <f t="shared" si="38"/>
        <v>0</v>
      </c>
      <c r="X86" s="62">
        <f t="shared" si="38"/>
        <v>0</v>
      </c>
      <c r="Y86" s="62">
        <f t="shared" si="38"/>
        <v>0</v>
      </c>
      <c r="Z86" s="62">
        <f t="shared" si="38"/>
        <v>0</v>
      </c>
      <c r="AA86" s="64">
        <f>SUM(G86:Z86)</f>
        <v>104174581.44635639</v>
      </c>
      <c r="AB86" s="58" t="str">
        <f>IF(ABS(F86-AA86)&lt;0.01,"ok","err")</f>
        <v>ok</v>
      </c>
    </row>
    <row r="87" spans="1:28">
      <c r="F87" s="79"/>
    </row>
    <row r="88" spans="1:28" ht="15">
      <c r="A88" s="65" t="s">
        <v>373</v>
      </c>
      <c r="F88" s="79"/>
    </row>
    <row r="89" spans="1:28">
      <c r="A89" s="68" t="s">
        <v>623</v>
      </c>
      <c r="C89" s="60" t="s">
        <v>973</v>
      </c>
      <c r="D89" s="60" t="s">
        <v>407</v>
      </c>
      <c r="E89" s="60" t="s">
        <v>1368</v>
      </c>
      <c r="F89" s="76">
        <f>VLOOKUP(C89,'Functional Assignment'!$C$2:$AP$780,'Functional Assignment'!$S$2,)</f>
        <v>0</v>
      </c>
      <c r="G89" s="76">
        <f t="shared" ref="G89:P93" si="39">IF(VLOOKUP($E89,$D$6:$AN$1131,3,)=0,0,(VLOOKUP($E89,$D$6:$AN$1131,G$2,)/VLOOKUP($E89,$D$6:$AN$1131,3,))*$F89)</f>
        <v>0</v>
      </c>
      <c r="H89" s="76">
        <f t="shared" si="39"/>
        <v>0</v>
      </c>
      <c r="I89" s="76">
        <f t="shared" si="39"/>
        <v>0</v>
      </c>
      <c r="J89" s="76">
        <f t="shared" si="39"/>
        <v>0</v>
      </c>
      <c r="K89" s="76">
        <f t="shared" si="39"/>
        <v>0</v>
      </c>
      <c r="L89" s="76">
        <f t="shared" si="39"/>
        <v>0</v>
      </c>
      <c r="M89" s="76">
        <f t="shared" si="39"/>
        <v>0</v>
      </c>
      <c r="N89" s="76">
        <f t="shared" si="39"/>
        <v>0</v>
      </c>
      <c r="O89" s="76">
        <f t="shared" si="39"/>
        <v>0</v>
      </c>
      <c r="P89" s="76">
        <f t="shared" si="39"/>
        <v>0</v>
      </c>
      <c r="Q89" s="76">
        <f t="shared" ref="Q89:Z93" si="40">IF(VLOOKUP($E89,$D$6:$AN$1131,3,)=0,0,(VLOOKUP($E89,$D$6:$AN$1131,Q$2,)/VLOOKUP($E89,$D$6:$AN$1131,3,))*$F89)</f>
        <v>0</v>
      </c>
      <c r="R89" s="76">
        <f t="shared" si="40"/>
        <v>0</v>
      </c>
      <c r="S89" s="76">
        <f t="shared" si="40"/>
        <v>0</v>
      </c>
      <c r="T89" s="76">
        <f t="shared" si="40"/>
        <v>0</v>
      </c>
      <c r="U89" s="76">
        <f t="shared" si="40"/>
        <v>0</v>
      </c>
      <c r="V89" s="76">
        <f t="shared" si="40"/>
        <v>0</v>
      </c>
      <c r="W89" s="76">
        <f t="shared" si="40"/>
        <v>0</v>
      </c>
      <c r="X89" s="62">
        <f t="shared" si="40"/>
        <v>0</v>
      </c>
      <c r="Y89" s="62">
        <f t="shared" si="40"/>
        <v>0</v>
      </c>
      <c r="Z89" s="62">
        <f t="shared" si="40"/>
        <v>0</v>
      </c>
      <c r="AA89" s="64">
        <f t="shared" ref="AA89:AA94" si="41">SUM(G89:Z89)</f>
        <v>0</v>
      </c>
      <c r="AB89" s="58" t="str">
        <f t="shared" ref="AB89:AB94" si="42">IF(ABS(F89-AA89)&lt;0.01,"ok","err")</f>
        <v>ok</v>
      </c>
    </row>
    <row r="90" spans="1:28">
      <c r="A90" s="68" t="s">
        <v>624</v>
      </c>
      <c r="C90" s="60" t="s">
        <v>973</v>
      </c>
      <c r="D90" s="60" t="s">
        <v>408</v>
      </c>
      <c r="E90" s="60" t="s">
        <v>1368</v>
      </c>
      <c r="F90" s="79">
        <f>VLOOKUP(C90,'Functional Assignment'!$C$2:$AP$780,'Functional Assignment'!$T$2,)</f>
        <v>178149249.67691696</v>
      </c>
      <c r="G90" s="79">
        <f t="shared" si="39"/>
        <v>85475708.185459405</v>
      </c>
      <c r="H90" s="79">
        <f t="shared" si="39"/>
        <v>24603944.670162577</v>
      </c>
      <c r="I90" s="79">
        <f t="shared" si="39"/>
        <v>0</v>
      </c>
      <c r="J90" s="79">
        <f t="shared" si="39"/>
        <v>2186082.0285582594</v>
      </c>
      <c r="K90" s="79">
        <f t="shared" si="39"/>
        <v>25372997.555202827</v>
      </c>
      <c r="L90" s="79">
        <f t="shared" si="39"/>
        <v>0</v>
      </c>
      <c r="M90" s="79">
        <f t="shared" si="39"/>
        <v>0</v>
      </c>
      <c r="N90" s="79">
        <f t="shared" si="39"/>
        <v>23081685.239247173</v>
      </c>
      <c r="O90" s="79">
        <f t="shared" si="39"/>
        <v>13704693.307874849</v>
      </c>
      <c r="P90" s="79">
        <f t="shared" si="39"/>
        <v>0</v>
      </c>
      <c r="Q90" s="79">
        <f t="shared" si="40"/>
        <v>1430975.2967740002</v>
      </c>
      <c r="R90" s="79">
        <f t="shared" si="40"/>
        <v>748993.05799684196</v>
      </c>
      <c r="S90" s="79">
        <f t="shared" si="40"/>
        <v>1475483.3978390144</v>
      </c>
      <c r="T90" s="79">
        <f t="shared" si="40"/>
        <v>47190.218263169205</v>
      </c>
      <c r="U90" s="79">
        <f t="shared" si="40"/>
        <v>21496.71953885386</v>
      </c>
      <c r="V90" s="79">
        <f t="shared" si="40"/>
        <v>0</v>
      </c>
      <c r="W90" s="79">
        <f t="shared" si="40"/>
        <v>0</v>
      </c>
      <c r="X90" s="63">
        <f t="shared" si="40"/>
        <v>0</v>
      </c>
      <c r="Y90" s="63">
        <f t="shared" si="40"/>
        <v>0</v>
      </c>
      <c r="Z90" s="63">
        <f t="shared" si="40"/>
        <v>0</v>
      </c>
      <c r="AA90" s="63">
        <f t="shared" si="41"/>
        <v>178149249.67691699</v>
      </c>
      <c r="AB90" s="58" t="str">
        <f t="shared" si="42"/>
        <v>ok</v>
      </c>
    </row>
    <row r="91" spans="1:28">
      <c r="A91" s="68" t="s">
        <v>625</v>
      </c>
      <c r="C91" s="60" t="s">
        <v>973</v>
      </c>
      <c r="D91" s="60" t="s">
        <v>409</v>
      </c>
      <c r="E91" s="60" t="s">
        <v>698</v>
      </c>
      <c r="F91" s="79">
        <f>VLOOKUP(C91,'Functional Assignment'!$C$2:$AP$780,'Functional Assignment'!$U$2,)</f>
        <v>283501668.54196858</v>
      </c>
      <c r="G91" s="79">
        <f t="shared" si="39"/>
        <v>244410540.81329033</v>
      </c>
      <c r="H91" s="79">
        <f t="shared" si="39"/>
        <v>30365617.366872516</v>
      </c>
      <c r="I91" s="79">
        <f t="shared" si="39"/>
        <v>0</v>
      </c>
      <c r="J91" s="79">
        <f t="shared" si="39"/>
        <v>48330.447430528577</v>
      </c>
      <c r="K91" s="79">
        <f t="shared" si="39"/>
        <v>1895739.4252553396</v>
      </c>
      <c r="L91" s="79">
        <f t="shared" si="39"/>
        <v>0</v>
      </c>
      <c r="M91" s="79">
        <f t="shared" si="39"/>
        <v>0</v>
      </c>
      <c r="N91" s="79">
        <f t="shared" si="39"/>
        <v>70817.530610010625</v>
      </c>
      <c r="O91" s="79">
        <f t="shared" si="39"/>
        <v>185266.71515035955</v>
      </c>
      <c r="P91" s="79">
        <f t="shared" si="39"/>
        <v>0</v>
      </c>
      <c r="Q91" s="79">
        <f t="shared" si="40"/>
        <v>671.25621431289687</v>
      </c>
      <c r="R91" s="79">
        <f t="shared" si="40"/>
        <v>671.25621431289687</v>
      </c>
      <c r="S91" s="79">
        <f t="shared" si="40"/>
        <v>6444208.8254514355</v>
      </c>
      <c r="T91" s="79">
        <f t="shared" si="40"/>
        <v>12306.363929069776</v>
      </c>
      <c r="U91" s="79">
        <f t="shared" si="40"/>
        <v>67498.541550352413</v>
      </c>
      <c r="V91" s="79">
        <f t="shared" si="40"/>
        <v>0</v>
      </c>
      <c r="W91" s="79">
        <f t="shared" si="40"/>
        <v>0</v>
      </c>
      <c r="X91" s="63">
        <f t="shared" si="40"/>
        <v>0</v>
      </c>
      <c r="Y91" s="63">
        <f t="shared" si="40"/>
        <v>0</v>
      </c>
      <c r="Z91" s="63">
        <f t="shared" si="40"/>
        <v>0</v>
      </c>
      <c r="AA91" s="63">
        <f t="shared" si="41"/>
        <v>283501668.54196864</v>
      </c>
      <c r="AB91" s="58" t="str">
        <f t="shared" si="42"/>
        <v>ok</v>
      </c>
    </row>
    <row r="92" spans="1:28">
      <c r="A92" s="68" t="s">
        <v>626</v>
      </c>
      <c r="C92" s="60" t="s">
        <v>973</v>
      </c>
      <c r="D92" s="60" t="s">
        <v>410</v>
      </c>
      <c r="E92" s="60" t="s">
        <v>678</v>
      </c>
      <c r="F92" s="79">
        <f>VLOOKUP(C92,'Functional Assignment'!$C$2:$AP$780,'Functional Assignment'!$V$2,)</f>
        <v>48973898.223828338</v>
      </c>
      <c r="G92" s="79">
        <f t="shared" si="39"/>
        <v>41099288.097833708</v>
      </c>
      <c r="H92" s="79">
        <f t="shared" si="39"/>
        <v>7520984.3507437622</v>
      </c>
      <c r="I92" s="79">
        <f t="shared" si="39"/>
        <v>0</v>
      </c>
      <c r="J92" s="79">
        <f t="shared" si="39"/>
        <v>0</v>
      </c>
      <c r="K92" s="79">
        <f t="shared" si="39"/>
        <v>0</v>
      </c>
      <c r="L92" s="79">
        <f t="shared" si="39"/>
        <v>0</v>
      </c>
      <c r="M92" s="79">
        <f t="shared" si="39"/>
        <v>0</v>
      </c>
      <c r="N92" s="79">
        <f t="shared" si="39"/>
        <v>0</v>
      </c>
      <c r="O92" s="79">
        <f t="shared" si="39"/>
        <v>0</v>
      </c>
      <c r="P92" s="79">
        <f t="shared" si="39"/>
        <v>0</v>
      </c>
      <c r="Q92" s="79">
        <f t="shared" si="40"/>
        <v>0</v>
      </c>
      <c r="R92" s="79">
        <f t="shared" si="40"/>
        <v>0</v>
      </c>
      <c r="S92" s="79">
        <f t="shared" si="40"/>
        <v>337895.98750063113</v>
      </c>
      <c r="T92" s="79">
        <f t="shared" si="40"/>
        <v>10806.889066835593</v>
      </c>
      <c r="U92" s="79">
        <f t="shared" si="40"/>
        <v>4922.8986834033167</v>
      </c>
      <c r="V92" s="79">
        <f t="shared" si="40"/>
        <v>0</v>
      </c>
      <c r="W92" s="79">
        <f t="shared" si="40"/>
        <v>0</v>
      </c>
      <c r="X92" s="63">
        <f t="shared" si="40"/>
        <v>0</v>
      </c>
      <c r="Y92" s="63">
        <f t="shared" si="40"/>
        <v>0</v>
      </c>
      <c r="Z92" s="63">
        <f t="shared" si="40"/>
        <v>0</v>
      </c>
      <c r="AA92" s="63">
        <f t="shared" si="41"/>
        <v>48973898.223828346</v>
      </c>
      <c r="AB92" s="58" t="str">
        <f t="shared" si="42"/>
        <v>ok</v>
      </c>
    </row>
    <row r="93" spans="1:28">
      <c r="A93" s="68" t="s">
        <v>627</v>
      </c>
      <c r="C93" s="60" t="s">
        <v>973</v>
      </c>
      <c r="D93" s="60" t="s">
        <v>411</v>
      </c>
      <c r="E93" s="60" t="s">
        <v>697</v>
      </c>
      <c r="F93" s="79">
        <f>VLOOKUP(C93,'Functional Assignment'!$C$2:$AP$780,'Functional Assignment'!$W$2,)</f>
        <v>74423481.485552132</v>
      </c>
      <c r="G93" s="79">
        <f t="shared" si="39"/>
        <v>64663605.555280991</v>
      </c>
      <c r="H93" s="79">
        <f t="shared" si="39"/>
        <v>8033820.052605778</v>
      </c>
      <c r="I93" s="79">
        <f t="shared" si="39"/>
        <v>0</v>
      </c>
      <c r="J93" s="79">
        <f t="shared" si="39"/>
        <v>0</v>
      </c>
      <c r="K93" s="79">
        <f t="shared" si="39"/>
        <v>0</v>
      </c>
      <c r="L93" s="79">
        <f t="shared" si="39"/>
        <v>0</v>
      </c>
      <c r="M93" s="79">
        <f t="shared" si="39"/>
        <v>0</v>
      </c>
      <c r="N93" s="79">
        <f t="shared" si="39"/>
        <v>0</v>
      </c>
      <c r="O93" s="79">
        <f t="shared" si="39"/>
        <v>0</v>
      </c>
      <c r="P93" s="79">
        <f t="shared" si="39"/>
        <v>0</v>
      </c>
      <c r="Q93" s="79">
        <f t="shared" si="40"/>
        <v>0</v>
      </c>
      <c r="R93" s="79">
        <f t="shared" si="40"/>
        <v>0</v>
      </c>
      <c r="S93" s="79">
        <f t="shared" si="40"/>
        <v>1704941.9236103299</v>
      </c>
      <c r="T93" s="79">
        <f t="shared" si="40"/>
        <v>3255.890111290299</v>
      </c>
      <c r="U93" s="79">
        <f t="shared" si="40"/>
        <v>17858.06394374376</v>
      </c>
      <c r="V93" s="79">
        <f t="shared" si="40"/>
        <v>0</v>
      </c>
      <c r="W93" s="79">
        <f t="shared" si="40"/>
        <v>0</v>
      </c>
      <c r="X93" s="63">
        <f t="shared" si="40"/>
        <v>0</v>
      </c>
      <c r="Y93" s="63">
        <f t="shared" si="40"/>
        <v>0</v>
      </c>
      <c r="Z93" s="63">
        <f t="shared" si="40"/>
        <v>0</v>
      </c>
      <c r="AA93" s="63">
        <f t="shared" si="41"/>
        <v>74423481.485552132</v>
      </c>
      <c r="AB93" s="58" t="str">
        <f t="shared" si="42"/>
        <v>ok</v>
      </c>
    </row>
    <row r="94" spans="1:28">
      <c r="A94" s="60" t="s">
        <v>378</v>
      </c>
      <c r="D94" s="60" t="s">
        <v>412</v>
      </c>
      <c r="F94" s="76">
        <f>SUM(F89:F93)</f>
        <v>585048297.92826605</v>
      </c>
      <c r="G94" s="76">
        <f t="shared" ref="G94:W94" si="43">SUM(G89:G93)</f>
        <v>435649142.65186441</v>
      </c>
      <c r="H94" s="76">
        <f t="shared" si="43"/>
        <v>70524366.440384626</v>
      </c>
      <c r="I94" s="76">
        <f t="shared" si="43"/>
        <v>0</v>
      </c>
      <c r="J94" s="76">
        <f t="shared" si="43"/>
        <v>2234412.4759887881</v>
      </c>
      <c r="K94" s="76">
        <f t="shared" si="43"/>
        <v>27268736.980458166</v>
      </c>
      <c r="L94" s="76">
        <f t="shared" si="43"/>
        <v>0</v>
      </c>
      <c r="M94" s="76">
        <f t="shared" si="43"/>
        <v>0</v>
      </c>
      <c r="N94" s="76">
        <f t="shared" si="43"/>
        <v>23152502.769857183</v>
      </c>
      <c r="O94" s="76">
        <f>SUM(O89:O93)</f>
        <v>13889960.023025209</v>
      </c>
      <c r="P94" s="76">
        <f t="shared" si="43"/>
        <v>0</v>
      </c>
      <c r="Q94" s="76">
        <f t="shared" si="43"/>
        <v>1431646.5529883131</v>
      </c>
      <c r="R94" s="76">
        <f t="shared" si="43"/>
        <v>749664.31421115482</v>
      </c>
      <c r="S94" s="76">
        <f t="shared" si="43"/>
        <v>9962530.1344014108</v>
      </c>
      <c r="T94" s="76">
        <f t="shared" si="43"/>
        <v>73559.361370364873</v>
      </c>
      <c r="U94" s="76">
        <f t="shared" si="43"/>
        <v>111776.22371635334</v>
      </c>
      <c r="V94" s="76">
        <f t="shared" si="43"/>
        <v>0</v>
      </c>
      <c r="W94" s="76">
        <f t="shared" si="43"/>
        <v>0</v>
      </c>
      <c r="X94" s="62">
        <f>SUM(X89:X93)</f>
        <v>0</v>
      </c>
      <c r="Y94" s="62">
        <f>SUM(Y89:Y93)</f>
        <v>0</v>
      </c>
      <c r="Z94" s="62">
        <f>SUM(Z89:Z93)</f>
        <v>0</v>
      </c>
      <c r="AA94" s="64">
        <f t="shared" si="41"/>
        <v>585048297.92826593</v>
      </c>
      <c r="AB94" s="58" t="str">
        <f t="shared" si="42"/>
        <v>ok</v>
      </c>
    </row>
    <row r="95" spans="1:28">
      <c r="F95" s="79"/>
    </row>
    <row r="96" spans="1:28" ht="15">
      <c r="A96" s="65" t="s">
        <v>634</v>
      </c>
      <c r="F96" s="79"/>
    </row>
    <row r="97" spans="1:28">
      <c r="A97" s="68" t="s">
        <v>1090</v>
      </c>
      <c r="C97" s="60" t="s">
        <v>973</v>
      </c>
      <c r="D97" s="60" t="s">
        <v>413</v>
      </c>
      <c r="E97" s="60" t="s">
        <v>1336</v>
      </c>
      <c r="F97" s="76">
        <f>VLOOKUP(C97,'Functional Assignment'!$C$2:$AP$780,'Functional Assignment'!$X$2,)</f>
        <v>67696703.063986972</v>
      </c>
      <c r="G97" s="76">
        <f t="shared" ref="G97:P98" si="44">IF(VLOOKUP($E97,$D$6:$AN$1131,3,)=0,0,(VLOOKUP($E97,$D$6:$AN$1131,G$2,)/VLOOKUP($E97,$D$6:$AN$1131,3,))*$F97)</f>
        <v>46968022.100444913</v>
      </c>
      <c r="H97" s="76">
        <f t="shared" si="44"/>
        <v>8594936.2033220343</v>
      </c>
      <c r="I97" s="76">
        <f t="shared" si="44"/>
        <v>0</v>
      </c>
      <c r="J97" s="76">
        <f t="shared" si="44"/>
        <v>0</v>
      </c>
      <c r="K97" s="76">
        <f t="shared" si="44"/>
        <v>7569621.1862765858</v>
      </c>
      <c r="L97" s="76">
        <f t="shared" si="44"/>
        <v>0</v>
      </c>
      <c r="M97" s="76">
        <f t="shared" si="44"/>
        <v>0</v>
      </c>
      <c r="N97" s="76">
        <f t="shared" si="44"/>
        <v>0</v>
      </c>
      <c r="O97" s="76">
        <f t="shared" si="44"/>
        <v>4160002.1403134293</v>
      </c>
      <c r="P97" s="76">
        <f t="shared" si="44"/>
        <v>0</v>
      </c>
      <c r="Q97" s="76">
        <f t="shared" ref="Q97:Z98" si="45">IF(VLOOKUP($E97,$D$6:$AN$1131,3,)=0,0,(VLOOKUP($E97,$D$6:$AN$1131,Q$2,)/VLOOKUP($E97,$D$6:$AN$1131,3,))*$F97)</f>
        <v>0</v>
      </c>
      <c r="R97" s="76">
        <f t="shared" si="45"/>
        <v>0</v>
      </c>
      <c r="S97" s="76">
        <f t="shared" si="45"/>
        <v>386145.52570359007</v>
      </c>
      <c r="T97" s="76">
        <f t="shared" si="45"/>
        <v>12350.048577969026</v>
      </c>
      <c r="U97" s="76">
        <f t="shared" si="45"/>
        <v>5625.8593484621797</v>
      </c>
      <c r="V97" s="76">
        <f t="shared" si="45"/>
        <v>0</v>
      </c>
      <c r="W97" s="76">
        <f t="shared" si="45"/>
        <v>0</v>
      </c>
      <c r="X97" s="62">
        <f t="shared" si="45"/>
        <v>0</v>
      </c>
      <c r="Y97" s="62">
        <f t="shared" si="45"/>
        <v>0</v>
      </c>
      <c r="Z97" s="62">
        <f t="shared" si="45"/>
        <v>0</v>
      </c>
      <c r="AA97" s="64">
        <f>SUM(G97:Z97)</f>
        <v>67696703.063986987</v>
      </c>
      <c r="AB97" s="58" t="str">
        <f>IF(ABS(F97-AA97)&lt;0.01,"ok","err")</f>
        <v>ok</v>
      </c>
    </row>
    <row r="98" spans="1:28">
      <c r="A98" s="68" t="s">
        <v>1093</v>
      </c>
      <c r="C98" s="60" t="s">
        <v>973</v>
      </c>
      <c r="D98" s="60" t="s">
        <v>414</v>
      </c>
      <c r="E98" s="60" t="s">
        <v>1334</v>
      </c>
      <c r="F98" s="79">
        <f>VLOOKUP(C98,'Functional Assignment'!$C$2:$AP$780,'Functional Assignment'!$Y$2,)</f>
        <v>47343848.651802614</v>
      </c>
      <c r="G98" s="79">
        <f t="shared" si="44"/>
        <v>40833112.956664898</v>
      </c>
      <c r="H98" s="79">
        <f t="shared" si="44"/>
        <v>5073114.6038728766</v>
      </c>
      <c r="I98" s="79">
        <f t="shared" si="44"/>
        <v>0</v>
      </c>
      <c r="J98" s="79">
        <f t="shared" si="44"/>
        <v>0</v>
      </c>
      <c r="K98" s="79">
        <f t="shared" si="44"/>
        <v>316716.8724813239</v>
      </c>
      <c r="L98" s="79">
        <f t="shared" si="44"/>
        <v>0</v>
      </c>
      <c r="M98" s="79">
        <f t="shared" si="44"/>
        <v>0</v>
      </c>
      <c r="N98" s="79">
        <f t="shared" si="44"/>
        <v>0</v>
      </c>
      <c r="O98" s="79">
        <f t="shared" si="44"/>
        <v>30952.088570615073</v>
      </c>
      <c r="P98" s="79">
        <f t="shared" si="44"/>
        <v>0</v>
      </c>
      <c r="Q98" s="79">
        <f t="shared" si="45"/>
        <v>0</v>
      </c>
      <c r="R98" s="79">
        <f t="shared" si="45"/>
        <v>0</v>
      </c>
      <c r="S98" s="79">
        <f t="shared" si="45"/>
        <v>1076619.306231193</v>
      </c>
      <c r="T98" s="79">
        <f t="shared" si="45"/>
        <v>2055.9962214780539</v>
      </c>
      <c r="U98" s="79">
        <f t="shared" si="45"/>
        <v>11276.827760228116</v>
      </c>
      <c r="V98" s="79">
        <f t="shared" si="45"/>
        <v>0</v>
      </c>
      <c r="W98" s="79">
        <f t="shared" si="45"/>
        <v>0</v>
      </c>
      <c r="X98" s="63">
        <f t="shared" si="45"/>
        <v>0</v>
      </c>
      <c r="Y98" s="63">
        <f t="shared" si="45"/>
        <v>0</v>
      </c>
      <c r="Z98" s="63">
        <f t="shared" si="45"/>
        <v>0</v>
      </c>
      <c r="AA98" s="63">
        <f>SUM(G98:Z98)</f>
        <v>47343848.651802607</v>
      </c>
      <c r="AB98" s="58" t="str">
        <f>IF(ABS(F98-AA98)&lt;0.01,"ok","err")</f>
        <v>ok</v>
      </c>
    </row>
    <row r="99" spans="1:28">
      <c r="A99" s="60" t="s">
        <v>712</v>
      </c>
      <c r="D99" s="60" t="s">
        <v>415</v>
      </c>
      <c r="F99" s="76">
        <f>F97+F98</f>
        <v>115040551.71578959</v>
      </c>
      <c r="G99" s="76">
        <f t="shared" ref="G99:W99" si="46">G97+G98</f>
        <v>87801135.057109803</v>
      </c>
      <c r="H99" s="76">
        <f t="shared" si="46"/>
        <v>13668050.807194911</v>
      </c>
      <c r="I99" s="76">
        <f t="shared" si="46"/>
        <v>0</v>
      </c>
      <c r="J99" s="76">
        <f t="shared" si="46"/>
        <v>0</v>
      </c>
      <c r="K99" s="76">
        <f t="shared" si="46"/>
        <v>7886338.0587579096</v>
      </c>
      <c r="L99" s="76">
        <f t="shared" si="46"/>
        <v>0</v>
      </c>
      <c r="M99" s="76">
        <f t="shared" si="46"/>
        <v>0</v>
      </c>
      <c r="N99" s="76">
        <f t="shared" si="46"/>
        <v>0</v>
      </c>
      <c r="O99" s="76">
        <f>O97+O98</f>
        <v>4190954.2288840446</v>
      </c>
      <c r="P99" s="76">
        <f t="shared" si="46"/>
        <v>0</v>
      </c>
      <c r="Q99" s="76">
        <f t="shared" si="46"/>
        <v>0</v>
      </c>
      <c r="R99" s="76">
        <f t="shared" si="46"/>
        <v>0</v>
      </c>
      <c r="S99" s="76">
        <f t="shared" si="46"/>
        <v>1462764.8319347831</v>
      </c>
      <c r="T99" s="76">
        <f t="shared" si="46"/>
        <v>14406.04479944708</v>
      </c>
      <c r="U99" s="76">
        <f t="shared" si="46"/>
        <v>16902.687108690297</v>
      </c>
      <c r="V99" s="76">
        <f t="shared" si="46"/>
        <v>0</v>
      </c>
      <c r="W99" s="76">
        <f t="shared" si="46"/>
        <v>0</v>
      </c>
      <c r="X99" s="62">
        <f>X97+X98</f>
        <v>0</v>
      </c>
      <c r="Y99" s="62">
        <f>Y97+Y98</f>
        <v>0</v>
      </c>
      <c r="Z99" s="62">
        <f>Z97+Z98</f>
        <v>0</v>
      </c>
      <c r="AA99" s="64">
        <f>SUM(G99:Z99)</f>
        <v>115040551.7157896</v>
      </c>
      <c r="AB99" s="58" t="str">
        <f>IF(ABS(F99-AA99)&lt;0.01,"ok","err")</f>
        <v>ok</v>
      </c>
    </row>
    <row r="100" spans="1:28">
      <c r="F100" s="79"/>
    </row>
    <row r="101" spans="1:28" ht="15">
      <c r="A101" s="65" t="s">
        <v>354</v>
      </c>
      <c r="F101" s="79"/>
    </row>
    <row r="102" spans="1:28">
      <c r="A102" s="68" t="s">
        <v>1093</v>
      </c>
      <c r="C102" s="60" t="s">
        <v>973</v>
      </c>
      <c r="D102" s="60" t="s">
        <v>416</v>
      </c>
      <c r="E102" s="60" t="s">
        <v>1095</v>
      </c>
      <c r="F102" s="76">
        <f>VLOOKUP(C102,'Functional Assignment'!$C$2:$AP$780,'Functional Assignment'!$Z$2,)</f>
        <v>23511840.458948858</v>
      </c>
      <c r="G102" s="76">
        <f t="shared" ref="G102:Z102" si="47">IF(VLOOKUP($E102,$D$6:$AN$1131,3,)=0,0,(VLOOKUP($E102,$D$6:$AN$1131,G$2,)/VLOOKUP($E102,$D$6:$AN$1131,3,))*$F102)</f>
        <v>18071586.18610616</v>
      </c>
      <c r="H102" s="76">
        <f t="shared" si="47"/>
        <v>4548044.690810781</v>
      </c>
      <c r="I102" s="76">
        <f t="shared" si="47"/>
        <v>0</v>
      </c>
      <c r="J102" s="76">
        <f t="shared" si="47"/>
        <v>0</v>
      </c>
      <c r="K102" s="76">
        <f t="shared" si="47"/>
        <v>793435.5371576969</v>
      </c>
      <c r="L102" s="76">
        <f t="shared" si="47"/>
        <v>0</v>
      </c>
      <c r="M102" s="76">
        <f t="shared" si="47"/>
        <v>0</v>
      </c>
      <c r="N102" s="76">
        <f t="shared" si="47"/>
        <v>0</v>
      </c>
      <c r="O102" s="76">
        <f t="shared" si="47"/>
        <v>98774.044874214756</v>
      </c>
      <c r="P102" s="76">
        <f t="shared" si="47"/>
        <v>0</v>
      </c>
      <c r="Q102" s="76">
        <f t="shared" si="47"/>
        <v>0</v>
      </c>
      <c r="R102" s="76">
        <f t="shared" si="47"/>
        <v>0</v>
      </c>
      <c r="S102" s="76">
        <f t="shared" si="47"/>
        <v>0</v>
      </c>
      <c r="T102" s="76">
        <f t="shared" si="47"/>
        <v>0</v>
      </c>
      <c r="U102" s="76">
        <f t="shared" si="47"/>
        <v>0</v>
      </c>
      <c r="V102" s="76">
        <f t="shared" si="47"/>
        <v>0</v>
      </c>
      <c r="W102" s="76">
        <f t="shared" si="47"/>
        <v>0</v>
      </c>
      <c r="X102" s="62">
        <f t="shared" si="47"/>
        <v>0</v>
      </c>
      <c r="Y102" s="62">
        <f t="shared" si="47"/>
        <v>0</v>
      </c>
      <c r="Z102" s="62">
        <f t="shared" si="47"/>
        <v>0</v>
      </c>
      <c r="AA102" s="64">
        <f>SUM(G102:Z102)</f>
        <v>23511840.458948851</v>
      </c>
      <c r="AB102" s="58" t="str">
        <f>IF(ABS(F102-AA102)&lt;0.01,"ok","err")</f>
        <v>ok</v>
      </c>
    </row>
    <row r="103" spans="1:28">
      <c r="F103" s="79"/>
    </row>
    <row r="104" spans="1:28" ht="15">
      <c r="A104" s="65" t="s">
        <v>353</v>
      </c>
      <c r="F104" s="79"/>
    </row>
    <row r="105" spans="1:28">
      <c r="A105" s="68" t="s">
        <v>1093</v>
      </c>
      <c r="C105" s="60" t="s">
        <v>973</v>
      </c>
      <c r="D105" s="60" t="s">
        <v>417</v>
      </c>
      <c r="E105" s="60" t="s">
        <v>1096</v>
      </c>
      <c r="F105" s="76">
        <f>VLOOKUP(C105,'Functional Assignment'!$C$2:$AP$780,'Functional Assignment'!$AA$2,)</f>
        <v>27273078.201274503</v>
      </c>
      <c r="G105" s="76">
        <f t="shared" ref="G105:Z105" si="48">IF(VLOOKUP($E105,$D$6:$AN$1131,3,)=0,0,(VLOOKUP($E105,$D$6:$AN$1131,G$2,)/VLOOKUP($E105,$D$6:$AN$1131,3,))*$F105)</f>
        <v>19088971.864480749</v>
      </c>
      <c r="H105" s="76">
        <f t="shared" si="48"/>
        <v>5612267.2989718588</v>
      </c>
      <c r="I105" s="76">
        <f t="shared" si="48"/>
        <v>0</v>
      </c>
      <c r="J105" s="76">
        <f t="shared" si="48"/>
        <v>218476.42451815779</v>
      </c>
      <c r="K105" s="76">
        <f t="shared" si="48"/>
        <v>1509753.407841929</v>
      </c>
      <c r="L105" s="76">
        <f t="shared" si="48"/>
        <v>0</v>
      </c>
      <c r="M105" s="76">
        <f t="shared" si="48"/>
        <v>0</v>
      </c>
      <c r="N105" s="76">
        <f t="shared" si="48"/>
        <v>342113.33931457996</v>
      </c>
      <c r="O105" s="76">
        <f t="shared" si="48"/>
        <v>159051.42231487724</v>
      </c>
      <c r="P105" s="76">
        <f t="shared" si="48"/>
        <v>279862.52014456905</v>
      </c>
      <c r="Q105" s="76">
        <f t="shared" si="48"/>
        <v>3242.7804674367767</v>
      </c>
      <c r="R105" s="76">
        <f t="shared" si="48"/>
        <v>3242.7804674367767</v>
      </c>
      <c r="S105" s="76">
        <f t="shared" si="48"/>
        <v>0</v>
      </c>
      <c r="T105" s="76">
        <f t="shared" si="48"/>
        <v>8650.3736955427466</v>
      </c>
      <c r="U105" s="76">
        <f t="shared" si="48"/>
        <v>47445.989057370825</v>
      </c>
      <c r="V105" s="76">
        <f t="shared" si="48"/>
        <v>0</v>
      </c>
      <c r="W105" s="76">
        <f t="shared" si="48"/>
        <v>0</v>
      </c>
      <c r="X105" s="62">
        <f t="shared" si="48"/>
        <v>0</v>
      </c>
      <c r="Y105" s="62">
        <f t="shared" si="48"/>
        <v>0</v>
      </c>
      <c r="Z105" s="62">
        <f t="shared" si="48"/>
        <v>0</v>
      </c>
      <c r="AA105" s="64">
        <f>SUM(G105:Z105)</f>
        <v>27273078.201274503</v>
      </c>
      <c r="AB105" s="58" t="str">
        <f>IF(ABS(F105-AA105)&lt;0.01,"ok","err")</f>
        <v>ok</v>
      </c>
    </row>
    <row r="106" spans="1:28">
      <c r="F106" s="79"/>
    </row>
    <row r="107" spans="1:28" ht="15">
      <c r="A107" s="65" t="s">
        <v>371</v>
      </c>
      <c r="F107" s="79"/>
    </row>
    <row r="108" spans="1:28">
      <c r="A108" s="68" t="s">
        <v>1093</v>
      </c>
      <c r="C108" s="60" t="s">
        <v>973</v>
      </c>
      <c r="D108" s="60" t="s">
        <v>418</v>
      </c>
      <c r="E108" s="60" t="s">
        <v>1097</v>
      </c>
      <c r="F108" s="76">
        <f>VLOOKUP(C108,'Functional Assignment'!$C$2:$AP$780,'Functional Assignment'!$AB$2,)</f>
        <v>74730249.051996008</v>
      </c>
      <c r="G108" s="76">
        <f t="shared" ref="G108:Z108" si="49">IF(VLOOKUP($E108,$D$6:$AN$1131,3,)=0,0,(VLOOKUP($E108,$D$6:$AN$1131,G$2,)/VLOOKUP($E108,$D$6:$AN$1131,3,))*$F108)</f>
        <v>0</v>
      </c>
      <c r="H108" s="76">
        <f t="shared" si="49"/>
        <v>0</v>
      </c>
      <c r="I108" s="76">
        <f t="shared" si="49"/>
        <v>0</v>
      </c>
      <c r="J108" s="76">
        <f t="shared" si="49"/>
        <v>0</v>
      </c>
      <c r="K108" s="76">
        <f t="shared" si="49"/>
        <v>0</v>
      </c>
      <c r="L108" s="76">
        <f t="shared" si="49"/>
        <v>0</v>
      </c>
      <c r="M108" s="76">
        <f t="shared" si="49"/>
        <v>0</v>
      </c>
      <c r="N108" s="76">
        <f t="shared" si="49"/>
        <v>0</v>
      </c>
      <c r="O108" s="76">
        <f t="shared" si="49"/>
        <v>0</v>
      </c>
      <c r="P108" s="76">
        <f t="shared" si="49"/>
        <v>0</v>
      </c>
      <c r="Q108" s="76">
        <f t="shared" si="49"/>
        <v>0</v>
      </c>
      <c r="R108" s="76">
        <f t="shared" si="49"/>
        <v>0</v>
      </c>
      <c r="S108" s="76">
        <f t="shared" si="49"/>
        <v>74730249.051996008</v>
      </c>
      <c r="T108" s="76">
        <f t="shared" si="49"/>
        <v>0</v>
      </c>
      <c r="U108" s="76">
        <f t="shared" si="49"/>
        <v>0</v>
      </c>
      <c r="V108" s="76">
        <f t="shared" si="49"/>
        <v>0</v>
      </c>
      <c r="W108" s="76">
        <f t="shared" si="49"/>
        <v>0</v>
      </c>
      <c r="X108" s="62">
        <f t="shared" si="49"/>
        <v>0</v>
      </c>
      <c r="Y108" s="62">
        <f t="shared" si="49"/>
        <v>0</v>
      </c>
      <c r="Z108" s="62">
        <f t="shared" si="49"/>
        <v>0</v>
      </c>
      <c r="AA108" s="64">
        <f>SUM(G108:Z108)</f>
        <v>74730249.051996008</v>
      </c>
      <c r="AB108" s="58" t="str">
        <f>IF(ABS(F108-AA108)&lt;0.01,"ok","err")</f>
        <v>ok</v>
      </c>
    </row>
    <row r="109" spans="1:28">
      <c r="F109" s="79"/>
    </row>
    <row r="110" spans="1:28" ht="15">
      <c r="A110" s="65" t="s">
        <v>1025</v>
      </c>
      <c r="F110" s="79"/>
    </row>
    <row r="111" spans="1:28">
      <c r="A111" s="68" t="s">
        <v>1093</v>
      </c>
      <c r="C111" s="60" t="s">
        <v>973</v>
      </c>
      <c r="D111" s="60" t="s">
        <v>419</v>
      </c>
      <c r="E111" s="60" t="s">
        <v>1098</v>
      </c>
      <c r="F111" s="76">
        <f>VLOOKUP(C111,'Functional Assignment'!$C$2:$AP$780,'Functional Assignment'!$AC$2,)</f>
        <v>0</v>
      </c>
      <c r="G111" s="76">
        <f t="shared" ref="G111:Z111" si="50">IF(VLOOKUP($E111,$D$6:$AN$1131,3,)=0,0,(VLOOKUP($E111,$D$6:$AN$1131,G$2,)/VLOOKUP($E111,$D$6:$AN$1131,3,))*$F111)</f>
        <v>0</v>
      </c>
      <c r="H111" s="76">
        <f t="shared" si="50"/>
        <v>0</v>
      </c>
      <c r="I111" s="76">
        <f t="shared" si="50"/>
        <v>0</v>
      </c>
      <c r="J111" s="76">
        <f t="shared" si="50"/>
        <v>0</v>
      </c>
      <c r="K111" s="76">
        <f t="shared" si="50"/>
        <v>0</v>
      </c>
      <c r="L111" s="76">
        <f t="shared" si="50"/>
        <v>0</v>
      </c>
      <c r="M111" s="76">
        <f t="shared" si="50"/>
        <v>0</v>
      </c>
      <c r="N111" s="76">
        <f t="shared" si="50"/>
        <v>0</v>
      </c>
      <c r="O111" s="76">
        <f t="shared" si="50"/>
        <v>0</v>
      </c>
      <c r="P111" s="76">
        <f t="shared" si="50"/>
        <v>0</v>
      </c>
      <c r="Q111" s="76">
        <f t="shared" si="50"/>
        <v>0</v>
      </c>
      <c r="R111" s="76">
        <f t="shared" si="50"/>
        <v>0</v>
      </c>
      <c r="S111" s="76">
        <f t="shared" si="50"/>
        <v>0</v>
      </c>
      <c r="T111" s="76">
        <f t="shared" si="50"/>
        <v>0</v>
      </c>
      <c r="U111" s="76">
        <f t="shared" si="50"/>
        <v>0</v>
      </c>
      <c r="V111" s="76">
        <f t="shared" si="50"/>
        <v>0</v>
      </c>
      <c r="W111" s="76">
        <f t="shared" si="50"/>
        <v>0</v>
      </c>
      <c r="X111" s="62">
        <f t="shared" si="50"/>
        <v>0</v>
      </c>
      <c r="Y111" s="62">
        <f t="shared" si="50"/>
        <v>0</v>
      </c>
      <c r="Z111" s="62">
        <f t="shared" si="50"/>
        <v>0</v>
      </c>
      <c r="AA111" s="64">
        <f>SUM(G111:Z111)</f>
        <v>0</v>
      </c>
      <c r="AB111" s="58" t="str">
        <f>IF(ABS(F111-AA111)&lt;0.01,"ok","err")</f>
        <v>ok</v>
      </c>
    </row>
    <row r="112" spans="1:28">
      <c r="F112" s="79"/>
    </row>
    <row r="113" spans="1:28" ht="15">
      <c r="A113" s="65" t="s">
        <v>351</v>
      </c>
      <c r="F113" s="79"/>
    </row>
    <row r="114" spans="1:28">
      <c r="A114" s="68" t="s">
        <v>1093</v>
      </c>
      <c r="C114" s="60" t="s">
        <v>973</v>
      </c>
      <c r="D114" s="60" t="s">
        <v>420</v>
      </c>
      <c r="E114" s="60" t="s">
        <v>1099</v>
      </c>
      <c r="F114" s="76">
        <f>VLOOKUP(C114,'Functional Assignment'!$C$2:$AP$780,'Functional Assignment'!$AD$2,)</f>
        <v>0</v>
      </c>
      <c r="G114" s="76">
        <f t="shared" ref="G114:Z114" si="51">IF(VLOOKUP($E114,$D$6:$AN$1131,3,)=0,0,(VLOOKUP($E114,$D$6:$AN$1131,G$2,)/VLOOKUP($E114,$D$6:$AN$1131,3,))*$F114)</f>
        <v>0</v>
      </c>
      <c r="H114" s="76">
        <f t="shared" si="51"/>
        <v>0</v>
      </c>
      <c r="I114" s="76">
        <f t="shared" si="51"/>
        <v>0</v>
      </c>
      <c r="J114" s="76">
        <f t="shared" si="51"/>
        <v>0</v>
      </c>
      <c r="K114" s="76">
        <f t="shared" si="51"/>
        <v>0</v>
      </c>
      <c r="L114" s="76">
        <f t="shared" si="51"/>
        <v>0</v>
      </c>
      <c r="M114" s="76">
        <f t="shared" si="51"/>
        <v>0</v>
      </c>
      <c r="N114" s="76">
        <f t="shared" si="51"/>
        <v>0</v>
      </c>
      <c r="O114" s="76">
        <f t="shared" si="51"/>
        <v>0</v>
      </c>
      <c r="P114" s="76">
        <f t="shared" si="51"/>
        <v>0</v>
      </c>
      <c r="Q114" s="76">
        <f t="shared" si="51"/>
        <v>0</v>
      </c>
      <c r="R114" s="76">
        <f t="shared" si="51"/>
        <v>0</v>
      </c>
      <c r="S114" s="76">
        <f t="shared" si="51"/>
        <v>0</v>
      </c>
      <c r="T114" s="76">
        <f t="shared" si="51"/>
        <v>0</v>
      </c>
      <c r="U114" s="76">
        <f t="shared" si="51"/>
        <v>0</v>
      </c>
      <c r="V114" s="76">
        <f t="shared" si="51"/>
        <v>0</v>
      </c>
      <c r="W114" s="76">
        <f t="shared" si="51"/>
        <v>0</v>
      </c>
      <c r="X114" s="62">
        <f t="shared" si="51"/>
        <v>0</v>
      </c>
      <c r="Y114" s="62">
        <f t="shared" si="51"/>
        <v>0</v>
      </c>
      <c r="Z114" s="62">
        <f t="shared" si="51"/>
        <v>0</v>
      </c>
      <c r="AA114" s="64">
        <f>SUM(G114:Z114)</f>
        <v>0</v>
      </c>
      <c r="AB114" s="58" t="str">
        <f>IF(ABS(F114-AA114)&lt;0.01,"ok","err")</f>
        <v>ok</v>
      </c>
    </row>
    <row r="115" spans="1:28">
      <c r="F115" s="79"/>
    </row>
    <row r="116" spans="1:28" ht="15">
      <c r="A116" s="65" t="s">
        <v>350</v>
      </c>
      <c r="F116" s="79"/>
    </row>
    <row r="117" spans="1:28">
      <c r="A117" s="68" t="s">
        <v>1093</v>
      </c>
      <c r="C117" s="60" t="s">
        <v>973</v>
      </c>
      <c r="D117" s="60" t="s">
        <v>421</v>
      </c>
      <c r="E117" s="60" t="s">
        <v>1099</v>
      </c>
      <c r="F117" s="76">
        <f>VLOOKUP(C117,'Functional Assignment'!$C$2:$AP$780,'Functional Assignment'!$AE$2,)</f>
        <v>0</v>
      </c>
      <c r="G117" s="76">
        <f t="shared" ref="G117:Z117" si="52">IF(VLOOKUP($E117,$D$6:$AN$1131,3,)=0,0,(VLOOKUP($E117,$D$6:$AN$1131,G$2,)/VLOOKUP($E117,$D$6:$AN$1131,3,))*$F117)</f>
        <v>0</v>
      </c>
      <c r="H117" s="76">
        <f t="shared" si="52"/>
        <v>0</v>
      </c>
      <c r="I117" s="76">
        <f t="shared" si="52"/>
        <v>0</v>
      </c>
      <c r="J117" s="76">
        <f t="shared" si="52"/>
        <v>0</v>
      </c>
      <c r="K117" s="76">
        <f t="shared" si="52"/>
        <v>0</v>
      </c>
      <c r="L117" s="76">
        <f t="shared" si="52"/>
        <v>0</v>
      </c>
      <c r="M117" s="76">
        <f t="shared" si="52"/>
        <v>0</v>
      </c>
      <c r="N117" s="76">
        <f t="shared" si="52"/>
        <v>0</v>
      </c>
      <c r="O117" s="76">
        <f t="shared" si="52"/>
        <v>0</v>
      </c>
      <c r="P117" s="76">
        <f t="shared" si="52"/>
        <v>0</v>
      </c>
      <c r="Q117" s="76">
        <f t="shared" si="52"/>
        <v>0</v>
      </c>
      <c r="R117" s="76">
        <f t="shared" si="52"/>
        <v>0</v>
      </c>
      <c r="S117" s="76">
        <f t="shared" si="52"/>
        <v>0</v>
      </c>
      <c r="T117" s="76">
        <f t="shared" si="52"/>
        <v>0</v>
      </c>
      <c r="U117" s="76">
        <f t="shared" si="52"/>
        <v>0</v>
      </c>
      <c r="V117" s="76">
        <f t="shared" si="52"/>
        <v>0</v>
      </c>
      <c r="W117" s="76">
        <f t="shared" si="52"/>
        <v>0</v>
      </c>
      <c r="X117" s="62">
        <f t="shared" si="52"/>
        <v>0</v>
      </c>
      <c r="Y117" s="62">
        <f t="shared" si="52"/>
        <v>0</v>
      </c>
      <c r="Z117" s="62">
        <f t="shared" si="52"/>
        <v>0</v>
      </c>
      <c r="AA117" s="64">
        <f>SUM(G117:Z117)</f>
        <v>0</v>
      </c>
      <c r="AB117" s="58" t="str">
        <f>IF(ABS(F117-AA117)&lt;0.01,"ok","err")</f>
        <v>ok</v>
      </c>
    </row>
    <row r="118" spans="1:28">
      <c r="F118" s="79"/>
    </row>
    <row r="119" spans="1:28">
      <c r="A119" s="60" t="s">
        <v>922</v>
      </c>
      <c r="D119" s="60" t="s">
        <v>422</v>
      </c>
      <c r="F119" s="76">
        <f>F74+F80+F83+F86+F94+F99+F102+F105+F108+F111+F114+F117</f>
        <v>2771115516.706924</v>
      </c>
      <c r="G119" s="76">
        <f t="shared" ref="G119:Y119" si="53">G74+G80+G83+G86+G94+G99+G102+G105+G108+G111+G114+G117</f>
        <v>1351398392.5495989</v>
      </c>
      <c r="H119" s="76">
        <f t="shared" si="53"/>
        <v>351506506.88510472</v>
      </c>
      <c r="I119" s="76">
        <f t="shared" si="53"/>
        <v>0</v>
      </c>
      <c r="J119" s="76">
        <f t="shared" si="53"/>
        <v>25912917.683786359</v>
      </c>
      <c r="K119" s="76">
        <f t="shared" si="53"/>
        <v>334064081.10696906</v>
      </c>
      <c r="L119" s="76">
        <f t="shared" si="53"/>
        <v>0</v>
      </c>
      <c r="M119" s="76">
        <f t="shared" si="53"/>
        <v>0</v>
      </c>
      <c r="N119" s="76">
        <f t="shared" si="53"/>
        <v>277400611.14668536</v>
      </c>
      <c r="O119" s="76">
        <f>O74+O80+O83+O86+O94+O99+O102+O105+O108+O111+O114+O117</f>
        <v>165934536.93420434</v>
      </c>
      <c r="P119" s="76">
        <f t="shared" si="53"/>
        <v>144461867.12438548</v>
      </c>
      <c r="Q119" s="76">
        <f t="shared" si="53"/>
        <v>17445497.69890435</v>
      </c>
      <c r="R119" s="76">
        <f t="shared" si="53"/>
        <v>8098208.3839138029</v>
      </c>
      <c r="S119" s="76">
        <f t="shared" si="53"/>
        <v>93998877.154486805</v>
      </c>
      <c r="T119" s="76">
        <f t="shared" si="53"/>
        <v>350326.35783279716</v>
      </c>
      <c r="U119" s="76">
        <f t="shared" si="53"/>
        <v>543693.68105185649</v>
      </c>
      <c r="V119" s="76">
        <f t="shared" si="53"/>
        <v>0</v>
      </c>
      <c r="W119" s="76">
        <f t="shared" si="53"/>
        <v>0</v>
      </c>
      <c r="X119" s="62">
        <f t="shared" si="53"/>
        <v>0</v>
      </c>
      <c r="Y119" s="62">
        <f t="shared" si="53"/>
        <v>0</v>
      </c>
      <c r="Z119" s="62">
        <f>Z74+Z80+Z83+Z86+Z94+Z99+Z102+Z105+Z108+Z111+Z114+Z117</f>
        <v>0</v>
      </c>
      <c r="AA119" s="64">
        <f>SUM(G119:Z119)</f>
        <v>2771115516.706924</v>
      </c>
      <c r="AB119" s="58" t="str">
        <f>IF(ABS(F119-AA119)&lt;0.01,"ok","err")</f>
        <v>ok</v>
      </c>
    </row>
    <row r="122" spans="1:28" ht="15">
      <c r="A122" s="65" t="s">
        <v>1102</v>
      </c>
    </row>
    <row r="124" spans="1:28" ht="15">
      <c r="A124" s="65" t="s">
        <v>364</v>
      </c>
    </row>
    <row r="125" spans="1:28">
      <c r="A125" s="68" t="s">
        <v>359</v>
      </c>
      <c r="C125" s="60" t="s">
        <v>984</v>
      </c>
      <c r="D125" s="60" t="s">
        <v>423</v>
      </c>
      <c r="E125" s="60" t="s">
        <v>869</v>
      </c>
      <c r="F125" s="76">
        <f>VLOOKUP(C125,'Functional Assignment'!$C$2:$AP$780,'Functional Assignment'!$H$2,)</f>
        <v>449333292.60367596</v>
      </c>
      <c r="G125" s="76">
        <f t="shared" ref="G125:P130" si="54">IF(VLOOKUP($E125,$D$6:$AN$1131,3,)=0,0,(VLOOKUP($E125,$D$6:$AN$1131,G$2,)/VLOOKUP($E125,$D$6:$AN$1131,3,))*$F125)</f>
        <v>162558914.63374218</v>
      </c>
      <c r="H125" s="76">
        <f t="shared" si="54"/>
        <v>52825828.163435958</v>
      </c>
      <c r="I125" s="76">
        <f t="shared" si="54"/>
        <v>0</v>
      </c>
      <c r="J125" s="76">
        <f t="shared" si="54"/>
        <v>6291645.9528346807</v>
      </c>
      <c r="K125" s="76">
        <f t="shared" si="54"/>
        <v>72896877.997088134</v>
      </c>
      <c r="L125" s="76">
        <f t="shared" si="54"/>
        <v>0</v>
      </c>
      <c r="M125" s="76">
        <f t="shared" si="54"/>
        <v>0</v>
      </c>
      <c r="N125" s="76">
        <f t="shared" si="54"/>
        <v>70365726.250738233</v>
      </c>
      <c r="O125" s="76">
        <f t="shared" si="54"/>
        <v>30947802.351242889</v>
      </c>
      <c r="P125" s="76">
        <f t="shared" si="54"/>
        <v>42847338.092581928</v>
      </c>
      <c r="Q125" s="76">
        <f t="shared" ref="Q125:Z130" si="55">IF(VLOOKUP($E125,$D$6:$AN$1131,3,)=0,0,(VLOOKUP($E125,$D$6:$AN$1131,Q$2,)/VLOOKUP($E125,$D$6:$AN$1131,3,))*$F125)</f>
        <v>4182116.1783993747</v>
      </c>
      <c r="R125" s="76">
        <f t="shared" si="55"/>
        <v>2209397.1197500401</v>
      </c>
      <c r="S125" s="76">
        <f t="shared" si="55"/>
        <v>3957744.0461052242</v>
      </c>
      <c r="T125" s="76">
        <f t="shared" si="55"/>
        <v>129007.58005624324</v>
      </c>
      <c r="U125" s="76">
        <f t="shared" si="55"/>
        <v>120894.23770119394</v>
      </c>
      <c r="V125" s="76">
        <f t="shared" si="55"/>
        <v>0</v>
      </c>
      <c r="W125" s="76">
        <f t="shared" si="55"/>
        <v>0</v>
      </c>
      <c r="X125" s="62">
        <f t="shared" si="55"/>
        <v>0</v>
      </c>
      <c r="Y125" s="62">
        <f t="shared" si="55"/>
        <v>0</v>
      </c>
      <c r="Z125" s="62">
        <f t="shared" si="55"/>
        <v>0</v>
      </c>
      <c r="AA125" s="64">
        <f t="shared" ref="AA125:AA131" si="56">SUM(G125:Z125)</f>
        <v>449333292.60367608</v>
      </c>
      <c r="AB125" s="58" t="str">
        <f t="shared" ref="AB125:AB131" si="57">IF(ABS(F125-AA125)&lt;0.01,"ok","err")</f>
        <v>ok</v>
      </c>
    </row>
    <row r="126" spans="1:28">
      <c r="A126" s="68" t="s">
        <v>1255</v>
      </c>
      <c r="C126" s="60" t="s">
        <v>984</v>
      </c>
      <c r="D126" s="60" t="s">
        <v>424</v>
      </c>
      <c r="E126" s="60" t="s">
        <v>188</v>
      </c>
      <c r="F126" s="79">
        <f>VLOOKUP(C126,'Functional Assignment'!$C$2:$AP$780,'Functional Assignment'!$I$2,)</f>
        <v>470705064.24876517</v>
      </c>
      <c r="G126" s="79">
        <f t="shared" si="54"/>
        <v>201140833.22202641</v>
      </c>
      <c r="H126" s="79">
        <f t="shared" si="54"/>
        <v>65817796.207946278</v>
      </c>
      <c r="I126" s="79">
        <f t="shared" si="54"/>
        <v>0</v>
      </c>
      <c r="J126" s="79">
        <f t="shared" si="54"/>
        <v>5118261.5845644334</v>
      </c>
      <c r="K126" s="79">
        <f t="shared" si="54"/>
        <v>68872057.688005909</v>
      </c>
      <c r="L126" s="79">
        <f t="shared" si="54"/>
        <v>0</v>
      </c>
      <c r="M126" s="79">
        <f t="shared" si="54"/>
        <v>0</v>
      </c>
      <c r="N126" s="79">
        <f t="shared" si="54"/>
        <v>54845919.902049892</v>
      </c>
      <c r="O126" s="79">
        <f t="shared" si="54"/>
        <v>36780446.947560377</v>
      </c>
      <c r="P126" s="79">
        <f t="shared" si="54"/>
        <v>32805171.648200303</v>
      </c>
      <c r="Q126" s="79">
        <f t="shared" si="55"/>
        <v>3787565.1219518511</v>
      </c>
      <c r="R126" s="79">
        <f t="shared" si="55"/>
        <v>1439668.2177330558</v>
      </c>
      <c r="S126" s="79">
        <f t="shared" si="55"/>
        <v>0</v>
      </c>
      <c r="T126" s="79">
        <f t="shared" si="55"/>
        <v>0</v>
      </c>
      <c r="U126" s="79">
        <f t="shared" si="55"/>
        <v>97343.708726671903</v>
      </c>
      <c r="V126" s="79">
        <f t="shared" si="55"/>
        <v>0</v>
      </c>
      <c r="W126" s="79">
        <f t="shared" si="55"/>
        <v>0</v>
      </c>
      <c r="X126" s="63">
        <f t="shared" si="55"/>
        <v>0</v>
      </c>
      <c r="Y126" s="63">
        <f t="shared" si="55"/>
        <v>0</v>
      </c>
      <c r="Z126" s="63">
        <f t="shared" si="55"/>
        <v>0</v>
      </c>
      <c r="AA126" s="63">
        <f t="shared" si="56"/>
        <v>470705064.24876523</v>
      </c>
      <c r="AB126" s="58" t="str">
        <f t="shared" si="57"/>
        <v>ok</v>
      </c>
    </row>
    <row r="127" spans="1:28">
      <c r="A127" s="68" t="s">
        <v>1256</v>
      </c>
      <c r="C127" s="60" t="s">
        <v>984</v>
      </c>
      <c r="D127" s="60" t="s">
        <v>425</v>
      </c>
      <c r="E127" s="60" t="s">
        <v>191</v>
      </c>
      <c r="F127" s="79">
        <f>VLOOKUP(C127,'Functional Assignment'!$C$2:$AP$780,'Functional Assignment'!$J$2,)</f>
        <v>386917975.58529532</v>
      </c>
      <c r="G127" s="79">
        <f t="shared" si="54"/>
        <v>151304279.48362252</v>
      </c>
      <c r="H127" s="79">
        <f t="shared" si="54"/>
        <v>54677618.993795447</v>
      </c>
      <c r="I127" s="79">
        <f t="shared" si="54"/>
        <v>0</v>
      </c>
      <c r="J127" s="79">
        <f t="shared" si="54"/>
        <v>4509362.4742145138</v>
      </c>
      <c r="K127" s="79">
        <f t="shared" si="54"/>
        <v>63650738.745182656</v>
      </c>
      <c r="L127" s="79">
        <f t="shared" si="54"/>
        <v>0</v>
      </c>
      <c r="M127" s="79">
        <f t="shared" si="54"/>
        <v>0</v>
      </c>
      <c r="N127" s="79">
        <f t="shared" si="54"/>
        <v>48140699.29709179</v>
      </c>
      <c r="O127" s="79">
        <f t="shared" si="54"/>
        <v>32515181.044376381</v>
      </c>
      <c r="P127" s="79">
        <f t="shared" si="54"/>
        <v>27842244.353016656</v>
      </c>
      <c r="Q127" s="79">
        <f t="shared" si="55"/>
        <v>3006318.3076121542</v>
      </c>
      <c r="R127" s="79">
        <f t="shared" si="55"/>
        <v>1216977.0695628426</v>
      </c>
      <c r="S127" s="79">
        <f t="shared" si="55"/>
        <v>0</v>
      </c>
      <c r="T127" s="79">
        <f t="shared" si="55"/>
        <v>0</v>
      </c>
      <c r="U127" s="79">
        <f t="shared" si="55"/>
        <v>54555.816820324573</v>
      </c>
      <c r="V127" s="79">
        <f t="shared" si="55"/>
        <v>0</v>
      </c>
      <c r="W127" s="79">
        <f t="shared" si="55"/>
        <v>0</v>
      </c>
      <c r="X127" s="63">
        <f t="shared" si="55"/>
        <v>0</v>
      </c>
      <c r="Y127" s="63">
        <f t="shared" si="55"/>
        <v>0</v>
      </c>
      <c r="Z127" s="63">
        <f t="shared" si="55"/>
        <v>0</v>
      </c>
      <c r="AA127" s="63">
        <f t="shared" si="56"/>
        <v>386917975.58529532</v>
      </c>
      <c r="AB127" s="58" t="str">
        <f t="shared" si="57"/>
        <v>ok</v>
      </c>
    </row>
    <row r="128" spans="1:28">
      <c r="A128" s="68" t="s">
        <v>1257</v>
      </c>
      <c r="C128" s="60" t="s">
        <v>984</v>
      </c>
      <c r="D128" s="60" t="s">
        <v>426</v>
      </c>
      <c r="E128" s="60" t="s">
        <v>1091</v>
      </c>
      <c r="F128" s="79">
        <f>VLOOKUP(C128,'Functional Assignment'!$C$2:$AP$780,'Functional Assignment'!$K$2,)</f>
        <v>51365920.441896409</v>
      </c>
      <c r="G128" s="79">
        <f t="shared" si="54"/>
        <v>18583061.593407668</v>
      </c>
      <c r="H128" s="79">
        <f t="shared" si="54"/>
        <v>6038829.7358286763</v>
      </c>
      <c r="I128" s="79">
        <f t="shared" si="54"/>
        <v>0</v>
      </c>
      <c r="J128" s="79">
        <f t="shared" si="54"/>
        <v>719234.73728128499</v>
      </c>
      <c r="K128" s="79">
        <f t="shared" si="54"/>
        <v>8333269.1657637507</v>
      </c>
      <c r="L128" s="79">
        <f t="shared" si="54"/>
        <v>0</v>
      </c>
      <c r="M128" s="79">
        <f t="shared" si="54"/>
        <v>0</v>
      </c>
      <c r="N128" s="79">
        <f t="shared" si="54"/>
        <v>8043918.1569502605</v>
      </c>
      <c r="O128" s="79">
        <f t="shared" si="54"/>
        <v>3537824.6983978343</v>
      </c>
      <c r="P128" s="79">
        <f t="shared" si="54"/>
        <v>4898130.2292325012</v>
      </c>
      <c r="Q128" s="79">
        <f t="shared" si="55"/>
        <v>478082.36359861575</v>
      </c>
      <c r="R128" s="79">
        <f t="shared" si="55"/>
        <v>252569.1301528106</v>
      </c>
      <c r="S128" s="79">
        <f t="shared" si="55"/>
        <v>452432.72869681998</v>
      </c>
      <c r="T128" s="79">
        <f t="shared" si="55"/>
        <v>14747.764428638089</v>
      </c>
      <c r="U128" s="79">
        <f t="shared" si="55"/>
        <v>13820.13815754413</v>
      </c>
      <c r="V128" s="79">
        <f t="shared" si="55"/>
        <v>0</v>
      </c>
      <c r="W128" s="79">
        <f t="shared" si="55"/>
        <v>0</v>
      </c>
      <c r="X128" s="63">
        <f t="shared" si="55"/>
        <v>0</v>
      </c>
      <c r="Y128" s="63">
        <f t="shared" si="55"/>
        <v>0</v>
      </c>
      <c r="Z128" s="63">
        <f t="shared" si="55"/>
        <v>0</v>
      </c>
      <c r="AA128" s="63">
        <f t="shared" si="56"/>
        <v>51365920.441896409</v>
      </c>
      <c r="AB128" s="58" t="str">
        <f t="shared" si="57"/>
        <v>ok</v>
      </c>
    </row>
    <row r="129" spans="1:28" hidden="1">
      <c r="A129" s="68" t="s">
        <v>1258</v>
      </c>
      <c r="C129" s="60" t="s">
        <v>984</v>
      </c>
      <c r="D129" s="60" t="s">
        <v>427</v>
      </c>
      <c r="E129" s="60" t="s">
        <v>1091</v>
      </c>
      <c r="F129" s="79">
        <f>VLOOKUP(C129,'Functional Assignment'!$C$2:$AP$780,'Functional Assignment'!$L$2,)</f>
        <v>0</v>
      </c>
      <c r="G129" s="79">
        <f t="shared" si="54"/>
        <v>0</v>
      </c>
      <c r="H129" s="79">
        <f t="shared" si="54"/>
        <v>0</v>
      </c>
      <c r="I129" s="79">
        <f t="shared" si="54"/>
        <v>0</v>
      </c>
      <c r="J129" s="79">
        <f t="shared" si="54"/>
        <v>0</v>
      </c>
      <c r="K129" s="79">
        <f t="shared" si="54"/>
        <v>0</v>
      </c>
      <c r="L129" s="79">
        <f t="shared" si="54"/>
        <v>0</v>
      </c>
      <c r="M129" s="79">
        <f t="shared" si="54"/>
        <v>0</v>
      </c>
      <c r="N129" s="79">
        <f t="shared" si="54"/>
        <v>0</v>
      </c>
      <c r="O129" s="79">
        <f t="shared" si="54"/>
        <v>0</v>
      </c>
      <c r="P129" s="79">
        <f t="shared" si="54"/>
        <v>0</v>
      </c>
      <c r="Q129" s="79">
        <f t="shared" si="55"/>
        <v>0</v>
      </c>
      <c r="R129" s="79">
        <f t="shared" si="55"/>
        <v>0</v>
      </c>
      <c r="S129" s="79">
        <f t="shared" si="55"/>
        <v>0</v>
      </c>
      <c r="T129" s="79">
        <f t="shared" si="55"/>
        <v>0</v>
      </c>
      <c r="U129" s="79">
        <f t="shared" si="55"/>
        <v>0</v>
      </c>
      <c r="V129" s="79">
        <f t="shared" si="55"/>
        <v>0</v>
      </c>
      <c r="W129" s="79">
        <f t="shared" si="55"/>
        <v>0</v>
      </c>
      <c r="X129" s="63">
        <f t="shared" si="55"/>
        <v>0</v>
      </c>
      <c r="Y129" s="63">
        <f t="shared" si="55"/>
        <v>0</v>
      </c>
      <c r="Z129" s="63">
        <f t="shared" si="55"/>
        <v>0</v>
      </c>
      <c r="AA129" s="63">
        <f t="shared" si="56"/>
        <v>0</v>
      </c>
      <c r="AB129" s="58" t="str">
        <f t="shared" si="57"/>
        <v>ok</v>
      </c>
    </row>
    <row r="130" spans="1:28" hidden="1">
      <c r="A130" s="68" t="s">
        <v>1258</v>
      </c>
      <c r="C130" s="60" t="s">
        <v>984</v>
      </c>
      <c r="D130" s="60" t="s">
        <v>428</v>
      </c>
      <c r="E130" s="60" t="s">
        <v>1091</v>
      </c>
      <c r="F130" s="79">
        <f>VLOOKUP(C130,'Functional Assignment'!$C$2:$AP$780,'Functional Assignment'!$M$2,)</f>
        <v>0</v>
      </c>
      <c r="G130" s="79">
        <f t="shared" si="54"/>
        <v>0</v>
      </c>
      <c r="H130" s="79">
        <f t="shared" si="54"/>
        <v>0</v>
      </c>
      <c r="I130" s="79">
        <f t="shared" si="54"/>
        <v>0</v>
      </c>
      <c r="J130" s="79">
        <f t="shared" si="54"/>
        <v>0</v>
      </c>
      <c r="K130" s="79">
        <f t="shared" si="54"/>
        <v>0</v>
      </c>
      <c r="L130" s="79">
        <f t="shared" si="54"/>
        <v>0</v>
      </c>
      <c r="M130" s="79">
        <f t="shared" si="54"/>
        <v>0</v>
      </c>
      <c r="N130" s="79">
        <f t="shared" si="54"/>
        <v>0</v>
      </c>
      <c r="O130" s="79">
        <f t="shared" si="54"/>
        <v>0</v>
      </c>
      <c r="P130" s="79">
        <f t="shared" si="54"/>
        <v>0</v>
      </c>
      <c r="Q130" s="79">
        <f t="shared" si="55"/>
        <v>0</v>
      </c>
      <c r="R130" s="79">
        <f t="shared" si="55"/>
        <v>0</v>
      </c>
      <c r="S130" s="79">
        <f t="shared" si="55"/>
        <v>0</v>
      </c>
      <c r="T130" s="79">
        <f t="shared" si="55"/>
        <v>0</v>
      </c>
      <c r="U130" s="79">
        <f t="shared" si="55"/>
        <v>0</v>
      </c>
      <c r="V130" s="79">
        <f t="shared" si="55"/>
        <v>0</v>
      </c>
      <c r="W130" s="79">
        <f t="shared" si="55"/>
        <v>0</v>
      </c>
      <c r="X130" s="63">
        <f t="shared" si="55"/>
        <v>0</v>
      </c>
      <c r="Y130" s="63">
        <f t="shared" si="55"/>
        <v>0</v>
      </c>
      <c r="Z130" s="63">
        <f t="shared" si="55"/>
        <v>0</v>
      </c>
      <c r="AA130" s="63">
        <f t="shared" si="56"/>
        <v>0</v>
      </c>
      <c r="AB130" s="58" t="str">
        <f t="shared" si="57"/>
        <v>ok</v>
      </c>
    </row>
    <row r="131" spans="1:28">
      <c r="A131" s="60" t="s">
        <v>387</v>
      </c>
      <c r="D131" s="60" t="s">
        <v>1103</v>
      </c>
      <c r="F131" s="76">
        <f>SUM(F125:F130)</f>
        <v>1358322252.8796329</v>
      </c>
      <c r="G131" s="76">
        <f t="shared" ref="G131:P131" si="58">SUM(G125:G130)</f>
        <v>533587088.9327988</v>
      </c>
      <c r="H131" s="76">
        <f t="shared" si="58"/>
        <v>179360073.10100636</v>
      </c>
      <c r="I131" s="76">
        <f t="shared" si="58"/>
        <v>0</v>
      </c>
      <c r="J131" s="76">
        <f t="shared" si="58"/>
        <v>16638504.748894911</v>
      </c>
      <c r="K131" s="76">
        <f t="shared" si="58"/>
        <v>213752943.59604049</v>
      </c>
      <c r="L131" s="76">
        <f t="shared" si="58"/>
        <v>0</v>
      </c>
      <c r="M131" s="76">
        <f t="shared" si="58"/>
        <v>0</v>
      </c>
      <c r="N131" s="76">
        <f t="shared" si="58"/>
        <v>181396263.60683018</v>
      </c>
      <c r="O131" s="76">
        <f>SUM(O125:O130)</f>
        <v>103781255.04157747</v>
      </c>
      <c r="P131" s="76">
        <f t="shared" si="58"/>
        <v>108392884.3230314</v>
      </c>
      <c r="Q131" s="76">
        <f t="shared" ref="Q131:W131" si="59">SUM(Q125:Q130)</f>
        <v>11454081.971561994</v>
      </c>
      <c r="R131" s="76">
        <f t="shared" si="59"/>
        <v>5118611.5371987484</v>
      </c>
      <c r="S131" s="76">
        <f t="shared" si="59"/>
        <v>4410176.774802044</v>
      </c>
      <c r="T131" s="76">
        <f t="shared" si="59"/>
        <v>143755.34448488132</v>
      </c>
      <c r="U131" s="76">
        <f t="shared" si="59"/>
        <v>286613.90140573453</v>
      </c>
      <c r="V131" s="76">
        <f t="shared" si="59"/>
        <v>0</v>
      </c>
      <c r="W131" s="76">
        <f t="shared" si="59"/>
        <v>0</v>
      </c>
      <c r="X131" s="62">
        <f>SUM(X125:X130)</f>
        <v>0</v>
      </c>
      <c r="Y131" s="62">
        <f>SUM(Y125:Y130)</f>
        <v>0</v>
      </c>
      <c r="Z131" s="62">
        <f>SUM(Z125:Z130)</f>
        <v>0</v>
      </c>
      <c r="AA131" s="64">
        <f t="shared" si="56"/>
        <v>1358322252.8796329</v>
      </c>
      <c r="AB131" s="58" t="str">
        <f t="shared" si="57"/>
        <v>ok</v>
      </c>
    </row>
    <row r="132" spans="1:28">
      <c r="F132" s="79"/>
      <c r="G132" s="79"/>
    </row>
    <row r="133" spans="1:28" ht="15">
      <c r="A133" s="65" t="s">
        <v>1131</v>
      </c>
      <c r="F133" s="79"/>
      <c r="G133" s="79"/>
    </row>
    <row r="134" spans="1:28">
      <c r="A134" s="68" t="s">
        <v>1363</v>
      </c>
      <c r="C134" s="60" t="s">
        <v>984</v>
      </c>
      <c r="D134" s="60" t="s">
        <v>429</v>
      </c>
      <c r="E134" s="60" t="s">
        <v>1367</v>
      </c>
      <c r="F134" s="76">
        <f>VLOOKUP(C134,'Functional Assignment'!$C$2:$AP$780,'Functional Assignment'!$N$2,)</f>
        <v>251904274.24505213</v>
      </c>
      <c r="G134" s="76">
        <f t="shared" ref="G134:P136" si="60">IF(VLOOKUP($E134,$D$6:$AN$1131,3,)=0,0,(VLOOKUP($E134,$D$6:$AN$1131,G$2,)/VLOOKUP($E134,$D$6:$AN$1131,3,))*$F134)</f>
        <v>111943212.22982559</v>
      </c>
      <c r="H134" s="76">
        <f t="shared" si="60"/>
        <v>32222542.034128826</v>
      </c>
      <c r="I134" s="76">
        <f t="shared" si="60"/>
        <v>0</v>
      </c>
      <c r="J134" s="76">
        <f t="shared" si="60"/>
        <v>2863001.0756241339</v>
      </c>
      <c r="K134" s="76">
        <f t="shared" si="60"/>
        <v>33229731.704195406</v>
      </c>
      <c r="L134" s="76">
        <f t="shared" si="60"/>
        <v>0</v>
      </c>
      <c r="M134" s="76">
        <f t="shared" si="60"/>
        <v>0</v>
      </c>
      <c r="N134" s="76">
        <f t="shared" si="60"/>
        <v>30228915.843000002</v>
      </c>
      <c r="O134" s="76">
        <f t="shared" si="60"/>
        <v>17948343.735034235</v>
      </c>
      <c r="P134" s="76">
        <f t="shared" si="60"/>
        <v>18591211.522047866</v>
      </c>
      <c r="Q134" s="76">
        <f t="shared" ref="Q134:Z136" si="61">IF(VLOOKUP($E134,$D$6:$AN$1131,3,)=0,0,(VLOOKUP($E134,$D$6:$AN$1131,Q$2,)/VLOOKUP($E134,$D$6:$AN$1131,3,))*$F134)</f>
        <v>1874075.977175229</v>
      </c>
      <c r="R134" s="76">
        <f t="shared" si="61"/>
        <v>980918.32907761366</v>
      </c>
      <c r="S134" s="76">
        <f t="shared" si="61"/>
        <v>1932365.9862226765</v>
      </c>
      <c r="T134" s="76">
        <f t="shared" si="61"/>
        <v>61802.642298603241</v>
      </c>
      <c r="U134" s="76">
        <f t="shared" si="61"/>
        <v>28153.166421993097</v>
      </c>
      <c r="V134" s="76">
        <f t="shared" si="61"/>
        <v>0</v>
      </c>
      <c r="W134" s="76">
        <f t="shared" si="61"/>
        <v>0</v>
      </c>
      <c r="X134" s="62">
        <f t="shared" si="61"/>
        <v>0</v>
      </c>
      <c r="Y134" s="62">
        <f t="shared" si="61"/>
        <v>0</v>
      </c>
      <c r="Z134" s="62">
        <f t="shared" si="61"/>
        <v>0</v>
      </c>
      <c r="AA134" s="64">
        <f>SUM(G134:Z134)</f>
        <v>251904274.24505216</v>
      </c>
      <c r="AB134" s="58" t="str">
        <f>IF(ABS(F134-AA134)&lt;0.01,"ok","err")</f>
        <v>ok</v>
      </c>
    </row>
    <row r="135" spans="1:28" hidden="1">
      <c r="A135" s="68" t="s">
        <v>1364</v>
      </c>
      <c r="C135" s="60" t="s">
        <v>984</v>
      </c>
      <c r="D135" s="60" t="s">
        <v>430</v>
      </c>
      <c r="E135" s="60" t="s">
        <v>188</v>
      </c>
      <c r="F135" s="79">
        <f>VLOOKUP(C135,'Functional Assignment'!$C$2:$AP$780,'Functional Assignment'!$O$2,)</f>
        <v>0</v>
      </c>
      <c r="G135" s="79">
        <f t="shared" si="60"/>
        <v>0</v>
      </c>
      <c r="H135" s="79">
        <f t="shared" si="60"/>
        <v>0</v>
      </c>
      <c r="I135" s="79">
        <f t="shared" si="60"/>
        <v>0</v>
      </c>
      <c r="J135" s="79">
        <f t="shared" si="60"/>
        <v>0</v>
      </c>
      <c r="K135" s="79">
        <f t="shared" si="60"/>
        <v>0</v>
      </c>
      <c r="L135" s="79">
        <f t="shared" si="60"/>
        <v>0</v>
      </c>
      <c r="M135" s="79">
        <f t="shared" si="60"/>
        <v>0</v>
      </c>
      <c r="N135" s="79">
        <f t="shared" si="60"/>
        <v>0</v>
      </c>
      <c r="O135" s="79">
        <f t="shared" si="60"/>
        <v>0</v>
      </c>
      <c r="P135" s="79">
        <f t="shared" si="60"/>
        <v>0</v>
      </c>
      <c r="Q135" s="79">
        <f t="shared" si="61"/>
        <v>0</v>
      </c>
      <c r="R135" s="79">
        <f t="shared" si="61"/>
        <v>0</v>
      </c>
      <c r="S135" s="79">
        <f t="shared" si="61"/>
        <v>0</v>
      </c>
      <c r="T135" s="79">
        <f t="shared" si="61"/>
        <v>0</v>
      </c>
      <c r="U135" s="79">
        <f t="shared" si="61"/>
        <v>0</v>
      </c>
      <c r="V135" s="79">
        <f t="shared" si="61"/>
        <v>0</v>
      </c>
      <c r="W135" s="79">
        <f t="shared" si="61"/>
        <v>0</v>
      </c>
      <c r="X135" s="63">
        <f t="shared" si="61"/>
        <v>0</v>
      </c>
      <c r="Y135" s="63">
        <f t="shared" si="61"/>
        <v>0</v>
      </c>
      <c r="Z135" s="63">
        <f t="shared" si="61"/>
        <v>0</v>
      </c>
      <c r="AA135" s="63">
        <f>SUM(G135:Z135)</f>
        <v>0</v>
      </c>
      <c r="AB135" s="58" t="str">
        <f>IF(ABS(F135-AA135)&lt;0.01,"ok","err")</f>
        <v>ok</v>
      </c>
    </row>
    <row r="136" spans="1:28" hidden="1">
      <c r="A136" s="68" t="s">
        <v>1364</v>
      </c>
      <c r="C136" s="60" t="s">
        <v>984</v>
      </c>
      <c r="D136" s="60" t="s">
        <v>431</v>
      </c>
      <c r="E136" s="60" t="s">
        <v>191</v>
      </c>
      <c r="F136" s="79">
        <f>VLOOKUP(C136,'Functional Assignment'!$C$2:$AP$780,'Functional Assignment'!$P$2,)</f>
        <v>0</v>
      </c>
      <c r="G136" s="79">
        <f t="shared" si="60"/>
        <v>0</v>
      </c>
      <c r="H136" s="79">
        <f t="shared" si="60"/>
        <v>0</v>
      </c>
      <c r="I136" s="79">
        <f t="shared" si="60"/>
        <v>0</v>
      </c>
      <c r="J136" s="79">
        <f t="shared" si="60"/>
        <v>0</v>
      </c>
      <c r="K136" s="79">
        <f t="shared" si="60"/>
        <v>0</v>
      </c>
      <c r="L136" s="79">
        <f t="shared" si="60"/>
        <v>0</v>
      </c>
      <c r="M136" s="79">
        <f t="shared" si="60"/>
        <v>0</v>
      </c>
      <c r="N136" s="79">
        <f t="shared" si="60"/>
        <v>0</v>
      </c>
      <c r="O136" s="79">
        <f t="shared" si="60"/>
        <v>0</v>
      </c>
      <c r="P136" s="79">
        <f t="shared" si="60"/>
        <v>0</v>
      </c>
      <c r="Q136" s="79">
        <f t="shared" si="61"/>
        <v>0</v>
      </c>
      <c r="R136" s="79">
        <f t="shared" si="61"/>
        <v>0</v>
      </c>
      <c r="S136" s="79">
        <f t="shared" si="61"/>
        <v>0</v>
      </c>
      <c r="T136" s="79">
        <f t="shared" si="61"/>
        <v>0</v>
      </c>
      <c r="U136" s="79">
        <f t="shared" si="61"/>
        <v>0</v>
      </c>
      <c r="V136" s="79">
        <f t="shared" si="61"/>
        <v>0</v>
      </c>
      <c r="W136" s="79">
        <f t="shared" si="61"/>
        <v>0</v>
      </c>
      <c r="X136" s="63">
        <f t="shared" si="61"/>
        <v>0</v>
      </c>
      <c r="Y136" s="63">
        <f t="shared" si="61"/>
        <v>0</v>
      </c>
      <c r="Z136" s="63">
        <f t="shared" si="61"/>
        <v>0</v>
      </c>
      <c r="AA136" s="63">
        <f>SUM(G136:Z136)</f>
        <v>0</v>
      </c>
      <c r="AB136" s="58" t="str">
        <f>IF(ABS(F136-AA136)&lt;0.01,"ok","err")</f>
        <v>ok</v>
      </c>
    </row>
    <row r="137" spans="1:28" hidden="1">
      <c r="A137" s="60" t="s">
        <v>1133</v>
      </c>
      <c r="D137" s="60" t="s">
        <v>432</v>
      </c>
      <c r="F137" s="76">
        <f>SUM(F134:F136)</f>
        <v>251904274.24505213</v>
      </c>
      <c r="G137" s="76">
        <f t="shared" ref="G137:W137" si="62">SUM(G134:G136)</f>
        <v>111943212.22982559</v>
      </c>
      <c r="H137" s="76">
        <f t="shared" si="62"/>
        <v>32222542.034128826</v>
      </c>
      <c r="I137" s="76">
        <f t="shared" si="62"/>
        <v>0</v>
      </c>
      <c r="J137" s="76">
        <f t="shared" si="62"/>
        <v>2863001.0756241339</v>
      </c>
      <c r="K137" s="76">
        <f t="shared" si="62"/>
        <v>33229731.704195406</v>
      </c>
      <c r="L137" s="76">
        <f t="shared" si="62"/>
        <v>0</v>
      </c>
      <c r="M137" s="76">
        <f t="shared" si="62"/>
        <v>0</v>
      </c>
      <c r="N137" s="76">
        <f t="shared" si="62"/>
        <v>30228915.843000002</v>
      </c>
      <c r="O137" s="76">
        <f>SUM(O134:O136)</f>
        <v>17948343.735034235</v>
      </c>
      <c r="P137" s="76">
        <f t="shared" si="62"/>
        <v>18591211.522047866</v>
      </c>
      <c r="Q137" s="76">
        <f t="shared" si="62"/>
        <v>1874075.977175229</v>
      </c>
      <c r="R137" s="76">
        <f t="shared" si="62"/>
        <v>980918.32907761366</v>
      </c>
      <c r="S137" s="76">
        <f t="shared" si="62"/>
        <v>1932365.9862226765</v>
      </c>
      <c r="T137" s="76">
        <f t="shared" si="62"/>
        <v>61802.642298603241</v>
      </c>
      <c r="U137" s="76">
        <f t="shared" si="62"/>
        <v>28153.166421993097</v>
      </c>
      <c r="V137" s="76">
        <f t="shared" si="62"/>
        <v>0</v>
      </c>
      <c r="W137" s="76">
        <f t="shared" si="62"/>
        <v>0</v>
      </c>
      <c r="X137" s="62">
        <f>SUM(X134:X136)</f>
        <v>0</v>
      </c>
      <c r="Y137" s="62">
        <f>SUM(Y134:Y136)</f>
        <v>0</v>
      </c>
      <c r="Z137" s="62">
        <f>SUM(Z134:Z136)</f>
        <v>0</v>
      </c>
      <c r="AA137" s="64">
        <f>SUM(G137:Z137)</f>
        <v>251904274.24505216</v>
      </c>
      <c r="AB137" s="58" t="str">
        <f>IF(ABS(F137-AA137)&lt;0.01,"ok","err")</f>
        <v>ok</v>
      </c>
    </row>
    <row r="138" spans="1:28">
      <c r="F138" s="79"/>
      <c r="G138" s="79"/>
    </row>
    <row r="139" spans="1:28" ht="15">
      <c r="A139" s="65" t="s">
        <v>348</v>
      </c>
      <c r="F139" s="79"/>
      <c r="G139" s="79"/>
    </row>
    <row r="140" spans="1:28">
      <c r="A140" s="68" t="s">
        <v>372</v>
      </c>
      <c r="C140" s="60" t="s">
        <v>984</v>
      </c>
      <c r="D140" s="60" t="s">
        <v>433</v>
      </c>
      <c r="E140" s="60" t="s">
        <v>1368</v>
      </c>
      <c r="F140" s="76">
        <f>VLOOKUP(C140,'Functional Assignment'!$C$2:$AP$780,'Functional Assignment'!$Q$2,)</f>
        <v>0</v>
      </c>
      <c r="G140" s="76">
        <f t="shared" ref="G140:Z140" si="63">IF(VLOOKUP($E140,$D$6:$AN$1131,3,)=0,0,(VLOOKUP($E140,$D$6:$AN$1131,G$2,)/VLOOKUP($E140,$D$6:$AN$1131,3,))*$F140)</f>
        <v>0</v>
      </c>
      <c r="H140" s="76">
        <f t="shared" si="63"/>
        <v>0</v>
      </c>
      <c r="I140" s="76">
        <f t="shared" si="63"/>
        <v>0</v>
      </c>
      <c r="J140" s="76">
        <f t="shared" si="63"/>
        <v>0</v>
      </c>
      <c r="K140" s="76">
        <f t="shared" si="63"/>
        <v>0</v>
      </c>
      <c r="L140" s="76">
        <f t="shared" si="63"/>
        <v>0</v>
      </c>
      <c r="M140" s="76">
        <f t="shared" si="63"/>
        <v>0</v>
      </c>
      <c r="N140" s="76">
        <f t="shared" si="63"/>
        <v>0</v>
      </c>
      <c r="O140" s="76">
        <f t="shared" si="63"/>
        <v>0</v>
      </c>
      <c r="P140" s="76">
        <f t="shared" si="63"/>
        <v>0</v>
      </c>
      <c r="Q140" s="76">
        <f t="shared" si="63"/>
        <v>0</v>
      </c>
      <c r="R140" s="76">
        <f t="shared" si="63"/>
        <v>0</v>
      </c>
      <c r="S140" s="76">
        <f t="shared" si="63"/>
        <v>0</v>
      </c>
      <c r="T140" s="76">
        <f t="shared" si="63"/>
        <v>0</v>
      </c>
      <c r="U140" s="76">
        <f t="shared" si="63"/>
        <v>0</v>
      </c>
      <c r="V140" s="76">
        <f t="shared" si="63"/>
        <v>0</v>
      </c>
      <c r="W140" s="76">
        <f t="shared" si="63"/>
        <v>0</v>
      </c>
      <c r="X140" s="62">
        <f t="shared" si="63"/>
        <v>0</v>
      </c>
      <c r="Y140" s="62">
        <f t="shared" si="63"/>
        <v>0</v>
      </c>
      <c r="Z140" s="62">
        <f t="shared" si="63"/>
        <v>0</v>
      </c>
      <c r="AA140" s="64">
        <f>SUM(G140:Z140)</f>
        <v>0</v>
      </c>
      <c r="AB140" s="58" t="str">
        <f>IF(ABS(F140-AA140)&lt;0.01,"ok","err")</f>
        <v>ok</v>
      </c>
    </row>
    <row r="141" spans="1:28">
      <c r="F141" s="79"/>
    </row>
    <row r="142" spans="1:28" ht="15">
      <c r="A142" s="65" t="s">
        <v>349</v>
      </c>
      <c r="F142" s="79"/>
      <c r="G142" s="79"/>
    </row>
    <row r="143" spans="1:28">
      <c r="A143" s="68" t="s">
        <v>374</v>
      </c>
      <c r="C143" s="60" t="s">
        <v>984</v>
      </c>
      <c r="D143" s="60" t="s">
        <v>434</v>
      </c>
      <c r="E143" s="60" t="s">
        <v>1368</v>
      </c>
      <c r="F143" s="76">
        <f>VLOOKUP(C143,'Functional Assignment'!$C$2:$AP$780,'Functional Assignment'!$R$2,)</f>
        <v>86725893.898189053</v>
      </c>
      <c r="G143" s="76">
        <f t="shared" ref="G143:Z143" si="64">IF(VLOOKUP($E143,$D$6:$AN$1131,3,)=0,0,(VLOOKUP($E143,$D$6:$AN$1131,G$2,)/VLOOKUP($E143,$D$6:$AN$1131,3,))*$F143)</f>
        <v>41610936.966664247</v>
      </c>
      <c r="H143" s="76">
        <f t="shared" si="64"/>
        <v>11977592.377240941</v>
      </c>
      <c r="I143" s="76">
        <f t="shared" si="64"/>
        <v>0</v>
      </c>
      <c r="J143" s="76">
        <f t="shared" si="64"/>
        <v>1064219.5709794613</v>
      </c>
      <c r="K143" s="76">
        <f t="shared" si="64"/>
        <v>12351979.578034967</v>
      </c>
      <c r="L143" s="76">
        <f t="shared" si="64"/>
        <v>0</v>
      </c>
      <c r="M143" s="76">
        <f t="shared" si="64"/>
        <v>0</v>
      </c>
      <c r="N143" s="76">
        <f t="shared" si="64"/>
        <v>11236532.226100754</v>
      </c>
      <c r="O143" s="76">
        <f t="shared" si="64"/>
        <v>6671663.1132686604</v>
      </c>
      <c r="P143" s="76">
        <f t="shared" si="64"/>
        <v>0</v>
      </c>
      <c r="Q143" s="76">
        <f t="shared" si="64"/>
        <v>696621.57984958205</v>
      </c>
      <c r="R143" s="76">
        <f t="shared" si="64"/>
        <v>364621.75729685859</v>
      </c>
      <c r="S143" s="76">
        <f t="shared" si="64"/>
        <v>718288.83277135761</v>
      </c>
      <c r="T143" s="76">
        <f t="shared" si="64"/>
        <v>22972.950318601768</v>
      </c>
      <c r="U143" s="76">
        <f t="shared" si="64"/>
        <v>10464.945663632117</v>
      </c>
      <c r="V143" s="76">
        <f t="shared" si="64"/>
        <v>0</v>
      </c>
      <c r="W143" s="76">
        <f t="shared" si="64"/>
        <v>0</v>
      </c>
      <c r="X143" s="62">
        <f t="shared" si="64"/>
        <v>0</v>
      </c>
      <c r="Y143" s="62">
        <f t="shared" si="64"/>
        <v>0</v>
      </c>
      <c r="Z143" s="62">
        <f t="shared" si="64"/>
        <v>0</v>
      </c>
      <c r="AA143" s="64">
        <f>SUM(G143:Z143)</f>
        <v>86725893.898189068</v>
      </c>
      <c r="AB143" s="58" t="str">
        <f>IF(ABS(F143-AA143)&lt;0.01,"ok","err")</f>
        <v>ok</v>
      </c>
    </row>
    <row r="144" spans="1:28">
      <c r="F144" s="79"/>
    </row>
    <row r="145" spans="1:28" ht="15">
      <c r="A145" s="65" t="s">
        <v>373</v>
      </c>
      <c r="F145" s="79"/>
    </row>
    <row r="146" spans="1:28">
      <c r="A146" s="68" t="s">
        <v>623</v>
      </c>
      <c r="C146" s="60" t="s">
        <v>984</v>
      </c>
      <c r="D146" s="60" t="s">
        <v>435</v>
      </c>
      <c r="E146" s="60" t="s">
        <v>1368</v>
      </c>
      <c r="F146" s="76">
        <f>VLOOKUP(C146,'Functional Assignment'!$C$2:$AP$780,'Functional Assignment'!$S$2,)</f>
        <v>0</v>
      </c>
      <c r="G146" s="76">
        <f t="shared" ref="G146:P150" si="65">IF(VLOOKUP($E146,$D$6:$AN$1131,3,)=0,0,(VLOOKUP($E146,$D$6:$AN$1131,G$2,)/VLOOKUP($E146,$D$6:$AN$1131,3,))*$F146)</f>
        <v>0</v>
      </c>
      <c r="H146" s="76">
        <f t="shared" si="65"/>
        <v>0</v>
      </c>
      <c r="I146" s="76">
        <f t="shared" si="65"/>
        <v>0</v>
      </c>
      <c r="J146" s="76">
        <f t="shared" si="65"/>
        <v>0</v>
      </c>
      <c r="K146" s="76">
        <f t="shared" si="65"/>
        <v>0</v>
      </c>
      <c r="L146" s="76">
        <f t="shared" si="65"/>
        <v>0</v>
      </c>
      <c r="M146" s="76">
        <f t="shared" si="65"/>
        <v>0</v>
      </c>
      <c r="N146" s="76">
        <f t="shared" si="65"/>
        <v>0</v>
      </c>
      <c r="O146" s="76">
        <f t="shared" si="65"/>
        <v>0</v>
      </c>
      <c r="P146" s="76">
        <f t="shared" si="65"/>
        <v>0</v>
      </c>
      <c r="Q146" s="76">
        <f t="shared" ref="Q146:Z150" si="66">IF(VLOOKUP($E146,$D$6:$AN$1131,3,)=0,0,(VLOOKUP($E146,$D$6:$AN$1131,Q$2,)/VLOOKUP($E146,$D$6:$AN$1131,3,))*$F146)</f>
        <v>0</v>
      </c>
      <c r="R146" s="76">
        <f t="shared" si="66"/>
        <v>0</v>
      </c>
      <c r="S146" s="76">
        <f t="shared" si="66"/>
        <v>0</v>
      </c>
      <c r="T146" s="76">
        <f t="shared" si="66"/>
        <v>0</v>
      </c>
      <c r="U146" s="76">
        <f t="shared" si="66"/>
        <v>0</v>
      </c>
      <c r="V146" s="76">
        <f t="shared" si="66"/>
        <v>0</v>
      </c>
      <c r="W146" s="76">
        <f t="shared" si="66"/>
        <v>0</v>
      </c>
      <c r="X146" s="62">
        <f t="shared" si="66"/>
        <v>0</v>
      </c>
      <c r="Y146" s="62">
        <f t="shared" si="66"/>
        <v>0</v>
      </c>
      <c r="Z146" s="62">
        <f t="shared" si="66"/>
        <v>0</v>
      </c>
      <c r="AA146" s="64">
        <f t="shared" ref="AA146:AA151" si="67">SUM(G146:Z146)</f>
        <v>0</v>
      </c>
      <c r="AB146" s="58" t="str">
        <f t="shared" ref="AB146:AB151" si="68">IF(ABS(F146-AA146)&lt;0.01,"ok","err")</f>
        <v>ok</v>
      </c>
    </row>
    <row r="147" spans="1:28">
      <c r="A147" s="68" t="s">
        <v>624</v>
      </c>
      <c r="C147" s="60" t="s">
        <v>984</v>
      </c>
      <c r="D147" s="60" t="s">
        <v>436</v>
      </c>
      <c r="E147" s="60" t="s">
        <v>1368</v>
      </c>
      <c r="F147" s="79">
        <f>VLOOKUP(C147,'Functional Assignment'!$C$2:$AP$780,'Functional Assignment'!$T$2,)</f>
        <v>146289689.97734636</v>
      </c>
      <c r="G147" s="79">
        <f t="shared" si="65"/>
        <v>70189545.416116178</v>
      </c>
      <c r="H147" s="79">
        <f t="shared" si="65"/>
        <v>20203865.267720144</v>
      </c>
      <c r="I147" s="79">
        <f t="shared" si="65"/>
        <v>0</v>
      </c>
      <c r="J147" s="79">
        <f t="shared" si="65"/>
        <v>1795131.120691289</v>
      </c>
      <c r="K147" s="79">
        <f t="shared" si="65"/>
        <v>20835383.549906317</v>
      </c>
      <c r="L147" s="79">
        <f t="shared" si="65"/>
        <v>0</v>
      </c>
      <c r="M147" s="79">
        <f t="shared" si="65"/>
        <v>0</v>
      </c>
      <c r="N147" s="79">
        <f t="shared" si="65"/>
        <v>18953841.1412219</v>
      </c>
      <c r="O147" s="79">
        <f t="shared" si="65"/>
        <v>11253796.122518258</v>
      </c>
      <c r="P147" s="79">
        <f t="shared" si="65"/>
        <v>0</v>
      </c>
      <c r="Q147" s="79">
        <f t="shared" si="66"/>
        <v>1175064.9127624913</v>
      </c>
      <c r="R147" s="79">
        <f t="shared" si="66"/>
        <v>615045.88118251134</v>
      </c>
      <c r="S147" s="79">
        <f t="shared" si="66"/>
        <v>1211613.347954273</v>
      </c>
      <c r="T147" s="79">
        <f t="shared" si="66"/>
        <v>38750.892368068278</v>
      </c>
      <c r="U147" s="79">
        <f t="shared" si="66"/>
        <v>17652.324904943816</v>
      </c>
      <c r="V147" s="79">
        <f t="shared" si="66"/>
        <v>0</v>
      </c>
      <c r="W147" s="79">
        <f t="shared" si="66"/>
        <v>0</v>
      </c>
      <c r="X147" s="63">
        <f t="shared" si="66"/>
        <v>0</v>
      </c>
      <c r="Y147" s="63">
        <f t="shared" si="66"/>
        <v>0</v>
      </c>
      <c r="Z147" s="63">
        <f t="shared" si="66"/>
        <v>0</v>
      </c>
      <c r="AA147" s="63">
        <f t="shared" si="67"/>
        <v>146289689.97734639</v>
      </c>
      <c r="AB147" s="58" t="str">
        <f t="shared" si="68"/>
        <v>ok</v>
      </c>
    </row>
    <row r="148" spans="1:28">
      <c r="A148" s="68" t="s">
        <v>625</v>
      </c>
      <c r="C148" s="60" t="s">
        <v>984</v>
      </c>
      <c r="D148" s="60" t="s">
        <v>437</v>
      </c>
      <c r="E148" s="60" t="s">
        <v>698</v>
      </c>
      <c r="F148" s="79">
        <f>VLOOKUP(C148,'Functional Assignment'!$C$2:$AP$780,'Functional Assignment'!$U$2,)</f>
        <v>232639811.01835001</v>
      </c>
      <c r="G148" s="79">
        <f t="shared" si="65"/>
        <v>200561860.24626267</v>
      </c>
      <c r="H148" s="79">
        <f t="shared" si="65"/>
        <v>24917848.004266623</v>
      </c>
      <c r="I148" s="79">
        <f t="shared" si="65"/>
        <v>0</v>
      </c>
      <c r="J148" s="79">
        <f t="shared" si="65"/>
        <v>39659.682479103321</v>
      </c>
      <c r="K148" s="79">
        <f t="shared" si="65"/>
        <v>1555632.684278717</v>
      </c>
      <c r="L148" s="79">
        <f t="shared" si="65"/>
        <v>0</v>
      </c>
      <c r="M148" s="79">
        <f t="shared" si="65"/>
        <v>0</v>
      </c>
      <c r="N148" s="79">
        <f t="shared" si="65"/>
        <v>58112.451410352784</v>
      </c>
      <c r="O148" s="79">
        <f t="shared" si="65"/>
        <v>152028.78283656272</v>
      </c>
      <c r="P148" s="79">
        <f t="shared" si="65"/>
        <v>0</v>
      </c>
      <c r="Q148" s="79">
        <f t="shared" si="66"/>
        <v>550.82892332087943</v>
      </c>
      <c r="R148" s="79">
        <f t="shared" si="66"/>
        <v>550.82892332087943</v>
      </c>
      <c r="S148" s="79">
        <f t="shared" si="66"/>
        <v>5288080.0703078471</v>
      </c>
      <c r="T148" s="79">
        <f t="shared" si="66"/>
        <v>10098.530260882788</v>
      </c>
      <c r="U148" s="79">
        <f t="shared" si="66"/>
        <v>55388.908400599546</v>
      </c>
      <c r="V148" s="79">
        <f t="shared" si="66"/>
        <v>0</v>
      </c>
      <c r="W148" s="79">
        <f t="shared" si="66"/>
        <v>0</v>
      </c>
      <c r="X148" s="63">
        <f t="shared" si="66"/>
        <v>0</v>
      </c>
      <c r="Y148" s="63">
        <f t="shared" si="66"/>
        <v>0</v>
      </c>
      <c r="Z148" s="63">
        <f t="shared" si="66"/>
        <v>0</v>
      </c>
      <c r="AA148" s="63">
        <f t="shared" si="67"/>
        <v>232639811.01835001</v>
      </c>
      <c r="AB148" s="58" t="str">
        <f t="shared" si="68"/>
        <v>ok</v>
      </c>
    </row>
    <row r="149" spans="1:28">
      <c r="A149" s="68" t="s">
        <v>626</v>
      </c>
      <c r="C149" s="60" t="s">
        <v>984</v>
      </c>
      <c r="D149" s="60" t="s">
        <v>438</v>
      </c>
      <c r="E149" s="60" t="s">
        <v>678</v>
      </c>
      <c r="F149" s="79">
        <f>VLOOKUP(C149,'Functional Assignment'!$C$2:$AP$780,'Functional Assignment'!$V$2,)</f>
        <v>40320469.646722771</v>
      </c>
      <c r="G149" s="79">
        <f t="shared" si="65"/>
        <v>33837261.446431741</v>
      </c>
      <c r="H149" s="79">
        <f t="shared" si="65"/>
        <v>6192066.227639894</v>
      </c>
      <c r="I149" s="79">
        <f t="shared" si="65"/>
        <v>0</v>
      </c>
      <c r="J149" s="79">
        <f t="shared" si="65"/>
        <v>0</v>
      </c>
      <c r="K149" s="79">
        <f t="shared" si="65"/>
        <v>0</v>
      </c>
      <c r="L149" s="79">
        <f t="shared" si="65"/>
        <v>0</v>
      </c>
      <c r="M149" s="79">
        <f t="shared" si="65"/>
        <v>0</v>
      </c>
      <c r="N149" s="79">
        <f t="shared" si="65"/>
        <v>0</v>
      </c>
      <c r="O149" s="79">
        <f t="shared" si="65"/>
        <v>0</v>
      </c>
      <c r="P149" s="79">
        <f t="shared" si="65"/>
        <v>0</v>
      </c>
      <c r="Q149" s="79">
        <f t="shared" si="66"/>
        <v>0</v>
      </c>
      <c r="R149" s="79">
        <f t="shared" si="66"/>
        <v>0</v>
      </c>
      <c r="S149" s="79">
        <f t="shared" si="66"/>
        <v>278191.55513211264</v>
      </c>
      <c r="T149" s="79">
        <f t="shared" si="66"/>
        <v>8897.3689740473874</v>
      </c>
      <c r="U149" s="79">
        <f t="shared" si="66"/>
        <v>4053.0485449793646</v>
      </c>
      <c r="V149" s="79">
        <f t="shared" si="66"/>
        <v>0</v>
      </c>
      <c r="W149" s="79">
        <f t="shared" si="66"/>
        <v>0</v>
      </c>
      <c r="X149" s="63">
        <f t="shared" si="66"/>
        <v>0</v>
      </c>
      <c r="Y149" s="63">
        <f t="shared" si="66"/>
        <v>0</v>
      </c>
      <c r="Z149" s="63">
        <f t="shared" si="66"/>
        <v>0</v>
      </c>
      <c r="AA149" s="63">
        <f t="shared" si="67"/>
        <v>40320469.646722771</v>
      </c>
      <c r="AB149" s="58" t="str">
        <f t="shared" si="68"/>
        <v>ok</v>
      </c>
    </row>
    <row r="150" spans="1:28">
      <c r="A150" s="68" t="s">
        <v>627</v>
      </c>
      <c r="C150" s="60" t="s">
        <v>984</v>
      </c>
      <c r="D150" s="60" t="s">
        <v>439</v>
      </c>
      <c r="E150" s="60" t="s">
        <v>697</v>
      </c>
      <c r="F150" s="79">
        <f>VLOOKUP(C150,'Functional Assignment'!$C$2:$AP$780,'Functional Assignment'!$W$2,)</f>
        <v>61244171.692112058</v>
      </c>
      <c r="G150" s="79">
        <f t="shared" si="65"/>
        <v>53212627.007075034</v>
      </c>
      <c r="H150" s="79">
        <f t="shared" si="65"/>
        <v>6611148.0519873016</v>
      </c>
      <c r="I150" s="79">
        <f t="shared" si="65"/>
        <v>0</v>
      </c>
      <c r="J150" s="79">
        <f t="shared" si="65"/>
        <v>0</v>
      </c>
      <c r="K150" s="79">
        <f t="shared" si="65"/>
        <v>0</v>
      </c>
      <c r="L150" s="79">
        <f t="shared" si="65"/>
        <v>0</v>
      </c>
      <c r="M150" s="79">
        <f t="shared" si="65"/>
        <v>0</v>
      </c>
      <c r="N150" s="79">
        <f t="shared" si="65"/>
        <v>0</v>
      </c>
      <c r="O150" s="79">
        <f t="shared" si="65"/>
        <v>0</v>
      </c>
      <c r="P150" s="79">
        <f t="shared" si="65"/>
        <v>0</v>
      </c>
      <c r="Q150" s="79">
        <f t="shared" si="66"/>
        <v>0</v>
      </c>
      <c r="R150" s="79">
        <f t="shared" si="66"/>
        <v>0</v>
      </c>
      <c r="S150" s="79">
        <f t="shared" si="66"/>
        <v>1403021.651371436</v>
      </c>
      <c r="T150" s="79">
        <f t="shared" si="66"/>
        <v>2679.319604595807</v>
      </c>
      <c r="U150" s="79">
        <f t="shared" si="66"/>
        <v>14695.662073692154</v>
      </c>
      <c r="V150" s="79">
        <f t="shared" si="66"/>
        <v>0</v>
      </c>
      <c r="W150" s="79">
        <f t="shared" si="66"/>
        <v>0</v>
      </c>
      <c r="X150" s="63">
        <f t="shared" si="66"/>
        <v>0</v>
      </c>
      <c r="Y150" s="63">
        <f t="shared" si="66"/>
        <v>0</v>
      </c>
      <c r="Z150" s="63">
        <f t="shared" si="66"/>
        <v>0</v>
      </c>
      <c r="AA150" s="63">
        <f t="shared" si="67"/>
        <v>61244171.692112058</v>
      </c>
      <c r="AB150" s="58" t="str">
        <f t="shared" si="68"/>
        <v>ok</v>
      </c>
    </row>
    <row r="151" spans="1:28">
      <c r="A151" s="60" t="s">
        <v>378</v>
      </c>
      <c r="D151" s="60" t="s">
        <v>440</v>
      </c>
      <c r="F151" s="76">
        <f>SUM(F146:F150)</f>
        <v>480494142.33453119</v>
      </c>
      <c r="G151" s="76">
        <f t="shared" ref="G151:W151" si="69">SUM(G146:G150)</f>
        <v>357801294.11588562</v>
      </c>
      <c r="H151" s="76">
        <f t="shared" si="69"/>
        <v>57924927.551613957</v>
      </c>
      <c r="I151" s="76">
        <f t="shared" si="69"/>
        <v>0</v>
      </c>
      <c r="J151" s="76">
        <f t="shared" si="69"/>
        <v>1834790.8031703923</v>
      </c>
      <c r="K151" s="76">
        <f t="shared" si="69"/>
        <v>22391016.234185033</v>
      </c>
      <c r="L151" s="76">
        <f t="shared" si="69"/>
        <v>0</v>
      </c>
      <c r="M151" s="76">
        <f t="shared" si="69"/>
        <v>0</v>
      </c>
      <c r="N151" s="76">
        <f t="shared" si="69"/>
        <v>19011953.592632253</v>
      </c>
      <c r="O151" s="76">
        <f>SUM(O146:O150)</f>
        <v>11405824.90535482</v>
      </c>
      <c r="P151" s="76">
        <f t="shared" si="69"/>
        <v>0</v>
      </c>
      <c r="Q151" s="76">
        <f t="shared" si="69"/>
        <v>1175615.7416858121</v>
      </c>
      <c r="R151" s="76">
        <f t="shared" si="69"/>
        <v>615596.7101058322</v>
      </c>
      <c r="S151" s="76">
        <f t="shared" si="69"/>
        <v>8180906.624765669</v>
      </c>
      <c r="T151" s="76">
        <f t="shared" si="69"/>
        <v>60426.111207594266</v>
      </c>
      <c r="U151" s="76">
        <f t="shared" si="69"/>
        <v>91789.943924214895</v>
      </c>
      <c r="V151" s="76">
        <f t="shared" si="69"/>
        <v>0</v>
      </c>
      <c r="W151" s="76">
        <f t="shared" si="69"/>
        <v>0</v>
      </c>
      <c r="X151" s="62">
        <f>SUM(X146:X150)</f>
        <v>0</v>
      </c>
      <c r="Y151" s="62">
        <f>SUM(Y146:Y150)</f>
        <v>0</v>
      </c>
      <c r="Z151" s="62">
        <f>SUM(Z146:Z150)</f>
        <v>0</v>
      </c>
      <c r="AA151" s="64">
        <f t="shared" si="67"/>
        <v>480494142.33453113</v>
      </c>
      <c r="AB151" s="58" t="str">
        <f t="shared" si="68"/>
        <v>ok</v>
      </c>
    </row>
    <row r="152" spans="1:28">
      <c r="F152" s="79"/>
    </row>
    <row r="153" spans="1:28" ht="15">
      <c r="A153" s="65" t="s">
        <v>634</v>
      </c>
      <c r="F153" s="79"/>
    </row>
    <row r="154" spans="1:28">
      <c r="A154" s="68" t="s">
        <v>1090</v>
      </c>
      <c r="C154" s="60" t="s">
        <v>984</v>
      </c>
      <c r="D154" s="60" t="s">
        <v>441</v>
      </c>
      <c r="E154" s="60" t="s">
        <v>1336</v>
      </c>
      <c r="F154" s="76">
        <f>VLOOKUP(C154,'Functional Assignment'!$C$2:$AP$780,'Functional Assignment'!$X$2,)</f>
        <v>55853390.849211715</v>
      </c>
      <c r="G154" s="76">
        <f t="shared" ref="G154:P155" si="70">IF(VLOOKUP($E154,$D$6:$AN$1131,3,)=0,0,(VLOOKUP($E154,$D$6:$AN$1131,G$2,)/VLOOKUP($E154,$D$6:$AN$1131,3,))*$F154)</f>
        <v>38751123.423410982</v>
      </c>
      <c r="H154" s="76">
        <f t="shared" si="70"/>
        <v>7091280.8063109927</v>
      </c>
      <c r="I154" s="76">
        <f t="shared" si="70"/>
        <v>0</v>
      </c>
      <c r="J154" s="76">
        <f t="shared" si="70"/>
        <v>0</v>
      </c>
      <c r="K154" s="76">
        <f t="shared" si="70"/>
        <v>6245341.2287738631</v>
      </c>
      <c r="L154" s="76">
        <f t="shared" si="70"/>
        <v>0</v>
      </c>
      <c r="M154" s="76">
        <f t="shared" si="70"/>
        <v>0</v>
      </c>
      <c r="N154" s="76">
        <f t="shared" si="70"/>
        <v>0</v>
      </c>
      <c r="O154" s="76">
        <f t="shared" si="70"/>
        <v>3432223.652854492</v>
      </c>
      <c r="P154" s="76">
        <f t="shared" si="70"/>
        <v>0</v>
      </c>
      <c r="Q154" s="76">
        <f t="shared" ref="Q154:Z155" si="71">IF(VLOOKUP($E154,$D$6:$AN$1131,3,)=0,0,(VLOOKUP($E154,$D$6:$AN$1131,Q$2,)/VLOOKUP($E154,$D$6:$AN$1131,3,))*$F154)</f>
        <v>0</v>
      </c>
      <c r="R154" s="76">
        <f t="shared" si="71"/>
        <v>0</v>
      </c>
      <c r="S154" s="76">
        <f t="shared" si="71"/>
        <v>318590.65501921554</v>
      </c>
      <c r="T154" s="76">
        <f t="shared" si="71"/>
        <v>10189.448806392586</v>
      </c>
      <c r="U154" s="76">
        <f t="shared" si="71"/>
        <v>4641.6340357867293</v>
      </c>
      <c r="V154" s="76">
        <f t="shared" si="71"/>
        <v>0</v>
      </c>
      <c r="W154" s="76">
        <f t="shared" si="71"/>
        <v>0</v>
      </c>
      <c r="X154" s="62">
        <f t="shared" si="71"/>
        <v>0</v>
      </c>
      <c r="Y154" s="62">
        <f t="shared" si="71"/>
        <v>0</v>
      </c>
      <c r="Z154" s="62">
        <f t="shared" si="71"/>
        <v>0</v>
      </c>
      <c r="AA154" s="64">
        <f>SUM(G154:Z154)</f>
        <v>55853390.84921173</v>
      </c>
      <c r="AB154" s="58" t="str">
        <f>IF(ABS(F154-AA154)&lt;0.01,"ok","err")</f>
        <v>ok</v>
      </c>
    </row>
    <row r="155" spans="1:28">
      <c r="A155" s="68" t="s">
        <v>1093</v>
      </c>
      <c r="C155" s="60" t="s">
        <v>984</v>
      </c>
      <c r="D155" s="60" t="s">
        <v>442</v>
      </c>
      <c r="E155" s="60" t="s">
        <v>1334</v>
      </c>
      <c r="F155" s="79">
        <f>VLOOKUP(C155,'Functional Assignment'!$C$2:$AP$780,'Functional Assignment'!$Y$2,)</f>
        <v>39061200.374199145</v>
      </c>
      <c r="G155" s="79">
        <f t="shared" si="70"/>
        <v>33689496.154678702</v>
      </c>
      <c r="H155" s="79">
        <f t="shared" si="70"/>
        <v>4185590.1390815498</v>
      </c>
      <c r="I155" s="79">
        <f t="shared" si="70"/>
        <v>0</v>
      </c>
      <c r="J155" s="79">
        <f t="shared" si="70"/>
        <v>0</v>
      </c>
      <c r="K155" s="79">
        <f t="shared" si="70"/>
        <v>261308.31291029046</v>
      </c>
      <c r="L155" s="79">
        <f t="shared" si="70"/>
        <v>0</v>
      </c>
      <c r="M155" s="79">
        <f t="shared" si="70"/>
        <v>0</v>
      </c>
      <c r="N155" s="79">
        <f t="shared" si="70"/>
        <v>0</v>
      </c>
      <c r="O155" s="79">
        <f t="shared" si="70"/>
        <v>25537.123999967014</v>
      </c>
      <c r="P155" s="79">
        <f t="shared" si="70"/>
        <v>0</v>
      </c>
      <c r="Q155" s="79">
        <f t="shared" si="71"/>
        <v>0</v>
      </c>
      <c r="R155" s="79">
        <f t="shared" si="71"/>
        <v>0</v>
      </c>
      <c r="S155" s="79">
        <f t="shared" si="71"/>
        <v>888268.35259466583</v>
      </c>
      <c r="T155" s="79">
        <f t="shared" si="71"/>
        <v>1696.3065458915285</v>
      </c>
      <c r="U155" s="79">
        <f t="shared" si="71"/>
        <v>9303.9843880717181</v>
      </c>
      <c r="V155" s="79">
        <f t="shared" si="71"/>
        <v>0</v>
      </c>
      <c r="W155" s="79">
        <f t="shared" si="71"/>
        <v>0</v>
      </c>
      <c r="X155" s="63">
        <f t="shared" si="71"/>
        <v>0</v>
      </c>
      <c r="Y155" s="63">
        <f t="shared" si="71"/>
        <v>0</v>
      </c>
      <c r="Z155" s="63">
        <f t="shared" si="71"/>
        <v>0</v>
      </c>
      <c r="AA155" s="63">
        <f>SUM(G155:Z155)</f>
        <v>39061200.374199137</v>
      </c>
      <c r="AB155" s="58" t="str">
        <f>IF(ABS(F155-AA155)&lt;0.01,"ok","err")</f>
        <v>ok</v>
      </c>
    </row>
    <row r="156" spans="1:28">
      <c r="A156" s="60" t="s">
        <v>712</v>
      </c>
      <c r="D156" s="60" t="s">
        <v>443</v>
      </c>
      <c r="F156" s="76">
        <f>F154+F155</f>
        <v>94914591.22341086</v>
      </c>
      <c r="G156" s="76">
        <f t="shared" ref="G156:W156" si="72">G154+G155</f>
        <v>72440619.578089684</v>
      </c>
      <c r="H156" s="76">
        <f t="shared" si="72"/>
        <v>11276870.945392542</v>
      </c>
      <c r="I156" s="76">
        <f t="shared" si="72"/>
        <v>0</v>
      </c>
      <c r="J156" s="76">
        <f t="shared" si="72"/>
        <v>0</v>
      </c>
      <c r="K156" s="76">
        <f t="shared" si="72"/>
        <v>6506649.5416841535</v>
      </c>
      <c r="L156" s="76">
        <f t="shared" si="72"/>
        <v>0</v>
      </c>
      <c r="M156" s="76">
        <f t="shared" si="72"/>
        <v>0</v>
      </c>
      <c r="N156" s="76">
        <f t="shared" si="72"/>
        <v>0</v>
      </c>
      <c r="O156" s="76">
        <f>O154+O155</f>
        <v>3457760.7768544592</v>
      </c>
      <c r="P156" s="76">
        <f t="shared" si="72"/>
        <v>0</v>
      </c>
      <c r="Q156" s="76">
        <f t="shared" si="72"/>
        <v>0</v>
      </c>
      <c r="R156" s="76">
        <f t="shared" si="72"/>
        <v>0</v>
      </c>
      <c r="S156" s="76">
        <f t="shared" si="72"/>
        <v>1206859.0076138815</v>
      </c>
      <c r="T156" s="76">
        <f t="shared" si="72"/>
        <v>11885.755352284114</v>
      </c>
      <c r="U156" s="76">
        <f t="shared" si="72"/>
        <v>13945.618423858446</v>
      </c>
      <c r="V156" s="76">
        <f t="shared" si="72"/>
        <v>0</v>
      </c>
      <c r="W156" s="76">
        <f t="shared" si="72"/>
        <v>0</v>
      </c>
      <c r="X156" s="62">
        <f>X154+X155</f>
        <v>0</v>
      </c>
      <c r="Y156" s="62">
        <f>Y154+Y155</f>
        <v>0</v>
      </c>
      <c r="Z156" s="62">
        <f>Z154+Z155</f>
        <v>0</v>
      </c>
      <c r="AA156" s="64">
        <f>SUM(G156:Z156)</f>
        <v>94914591.223410875</v>
      </c>
      <c r="AB156" s="58" t="str">
        <f>IF(ABS(F156-AA156)&lt;0.01,"ok","err")</f>
        <v>ok</v>
      </c>
    </row>
    <row r="157" spans="1:28">
      <c r="F157" s="79"/>
    </row>
    <row r="158" spans="1:28" ht="15">
      <c r="A158" s="65" t="s">
        <v>354</v>
      </c>
      <c r="F158" s="79"/>
    </row>
    <row r="159" spans="1:28">
      <c r="A159" s="68" t="s">
        <v>1093</v>
      </c>
      <c r="C159" s="60" t="s">
        <v>984</v>
      </c>
      <c r="D159" s="60" t="s">
        <v>444</v>
      </c>
      <c r="E159" s="60" t="s">
        <v>1095</v>
      </c>
      <c r="F159" s="76">
        <f>VLOOKUP(C159,'Functional Assignment'!$C$2:$AP$780,'Functional Assignment'!$Z$2,)</f>
        <v>19387335.002084535</v>
      </c>
      <c r="G159" s="76">
        <f t="shared" ref="G159:Z159" si="73">IF(VLOOKUP($E159,$D$6:$AN$1131,3,)=0,0,(VLOOKUP($E159,$D$6:$AN$1131,G$2,)/VLOOKUP($E159,$D$6:$AN$1131,3,))*$F159)</f>
        <v>14901423.647408795</v>
      </c>
      <c r="H159" s="76">
        <f t="shared" si="73"/>
        <v>3750215.3937779232</v>
      </c>
      <c r="I159" s="76">
        <f t="shared" si="73"/>
        <v>0</v>
      </c>
      <c r="J159" s="76">
        <f t="shared" si="73"/>
        <v>0</v>
      </c>
      <c r="K159" s="76">
        <f t="shared" si="73"/>
        <v>654249.10433076613</v>
      </c>
      <c r="L159" s="76">
        <f t="shared" si="73"/>
        <v>0</v>
      </c>
      <c r="M159" s="76">
        <f t="shared" si="73"/>
        <v>0</v>
      </c>
      <c r="N159" s="76">
        <f t="shared" si="73"/>
        <v>0</v>
      </c>
      <c r="O159" s="76">
        <f t="shared" si="73"/>
        <v>81446.856567048366</v>
      </c>
      <c r="P159" s="76">
        <f t="shared" si="73"/>
        <v>0</v>
      </c>
      <c r="Q159" s="76">
        <f t="shared" si="73"/>
        <v>0</v>
      </c>
      <c r="R159" s="76">
        <f t="shared" si="73"/>
        <v>0</v>
      </c>
      <c r="S159" s="76">
        <f t="shared" si="73"/>
        <v>0</v>
      </c>
      <c r="T159" s="76">
        <f t="shared" si="73"/>
        <v>0</v>
      </c>
      <c r="U159" s="76">
        <f t="shared" si="73"/>
        <v>0</v>
      </c>
      <c r="V159" s="76">
        <f t="shared" si="73"/>
        <v>0</v>
      </c>
      <c r="W159" s="76">
        <f t="shared" si="73"/>
        <v>0</v>
      </c>
      <c r="X159" s="62">
        <f t="shared" si="73"/>
        <v>0</v>
      </c>
      <c r="Y159" s="62">
        <f t="shared" si="73"/>
        <v>0</v>
      </c>
      <c r="Z159" s="62">
        <f t="shared" si="73"/>
        <v>0</v>
      </c>
      <c r="AA159" s="64">
        <f>SUM(G159:Z159)</f>
        <v>19387335.002084531</v>
      </c>
      <c r="AB159" s="58" t="str">
        <f>IF(ABS(F159-AA159)&lt;0.01,"ok","err")</f>
        <v>ok</v>
      </c>
    </row>
    <row r="160" spans="1:28">
      <c r="F160" s="79"/>
    </row>
    <row r="161" spans="1:28" ht="15">
      <c r="A161" s="65" t="s">
        <v>353</v>
      </c>
      <c r="F161" s="79"/>
    </row>
    <row r="162" spans="1:28">
      <c r="A162" s="68" t="s">
        <v>1093</v>
      </c>
      <c r="C162" s="60" t="s">
        <v>984</v>
      </c>
      <c r="D162" s="60" t="s">
        <v>445</v>
      </c>
      <c r="E162" s="60" t="s">
        <v>1096</v>
      </c>
      <c r="F162" s="76">
        <f>VLOOKUP(C162,'Functional Assignment'!$C$2:$AP$780,'Functional Assignment'!$AA$2,)</f>
        <v>24509218.578202888</v>
      </c>
      <c r="G162" s="76">
        <f t="shared" ref="G162:Z162" si="74">IF(VLOOKUP($E162,$D$6:$AN$1131,3,)=0,0,(VLOOKUP($E162,$D$6:$AN$1131,G$2,)/VLOOKUP($E162,$D$6:$AN$1131,3,))*$F162)</f>
        <v>17154491.341496624</v>
      </c>
      <c r="H162" s="76">
        <f t="shared" si="74"/>
        <v>5043518.9212845676</v>
      </c>
      <c r="I162" s="76">
        <f t="shared" si="74"/>
        <v>0</v>
      </c>
      <c r="J162" s="76">
        <f t="shared" si="74"/>
        <v>196335.97656936073</v>
      </c>
      <c r="K162" s="76">
        <f t="shared" si="74"/>
        <v>1356754.6720947451</v>
      </c>
      <c r="L162" s="76">
        <f t="shared" si="74"/>
        <v>0</v>
      </c>
      <c r="M162" s="76">
        <f t="shared" si="74"/>
        <v>0</v>
      </c>
      <c r="N162" s="76">
        <f t="shared" si="74"/>
        <v>307443.49977290403</v>
      </c>
      <c r="O162" s="76">
        <f t="shared" si="74"/>
        <v>142933.11689720504</v>
      </c>
      <c r="P162" s="76">
        <f t="shared" si="74"/>
        <v>251501.1920344735</v>
      </c>
      <c r="Q162" s="76">
        <f t="shared" si="74"/>
        <v>2914.156395951697</v>
      </c>
      <c r="R162" s="76">
        <f t="shared" si="74"/>
        <v>2914.156395951697</v>
      </c>
      <c r="S162" s="76">
        <f t="shared" si="74"/>
        <v>0</v>
      </c>
      <c r="T162" s="76">
        <f t="shared" si="74"/>
        <v>7773.742960825236</v>
      </c>
      <c r="U162" s="76">
        <f t="shared" si="74"/>
        <v>42637.802300283875</v>
      </c>
      <c r="V162" s="76">
        <f t="shared" si="74"/>
        <v>0</v>
      </c>
      <c r="W162" s="76">
        <f t="shared" si="74"/>
        <v>0</v>
      </c>
      <c r="X162" s="62">
        <f t="shared" si="74"/>
        <v>0</v>
      </c>
      <c r="Y162" s="62">
        <f t="shared" si="74"/>
        <v>0</v>
      </c>
      <c r="Z162" s="62">
        <f t="shared" si="74"/>
        <v>0</v>
      </c>
      <c r="AA162" s="64">
        <f>SUM(G162:Z162)</f>
        <v>24509218.578202896</v>
      </c>
      <c r="AB162" s="58" t="str">
        <f>IF(ABS(F162-AA162)&lt;0.01,"ok","err")</f>
        <v>ok</v>
      </c>
    </row>
    <row r="163" spans="1:28">
      <c r="F163" s="79"/>
    </row>
    <row r="164" spans="1:28" ht="15">
      <c r="A164" s="65" t="s">
        <v>371</v>
      </c>
      <c r="F164" s="79"/>
    </row>
    <row r="165" spans="1:28">
      <c r="A165" s="68" t="s">
        <v>1093</v>
      </c>
      <c r="C165" s="60" t="s">
        <v>984</v>
      </c>
      <c r="D165" s="60" t="s">
        <v>446</v>
      </c>
      <c r="E165" s="60" t="s">
        <v>1097</v>
      </c>
      <c r="F165" s="76">
        <f>VLOOKUP(C165,'Functional Assignment'!$C$2:$AP$780,'Functional Assignment'!$AB$2,)</f>
        <v>61664819.905362248</v>
      </c>
      <c r="G165" s="76">
        <f t="shared" ref="G165:Z165" si="75">IF(VLOOKUP($E165,$D$6:$AN$1131,3,)=0,0,(VLOOKUP($E165,$D$6:$AN$1131,G$2,)/VLOOKUP($E165,$D$6:$AN$1131,3,))*$F165)</f>
        <v>0</v>
      </c>
      <c r="H165" s="76">
        <f t="shared" si="75"/>
        <v>0</v>
      </c>
      <c r="I165" s="76">
        <f t="shared" si="75"/>
        <v>0</v>
      </c>
      <c r="J165" s="76">
        <f t="shared" si="75"/>
        <v>0</v>
      </c>
      <c r="K165" s="76">
        <f t="shared" si="75"/>
        <v>0</v>
      </c>
      <c r="L165" s="76">
        <f t="shared" si="75"/>
        <v>0</v>
      </c>
      <c r="M165" s="76">
        <f t="shared" si="75"/>
        <v>0</v>
      </c>
      <c r="N165" s="76">
        <f t="shared" si="75"/>
        <v>0</v>
      </c>
      <c r="O165" s="76">
        <f t="shared" si="75"/>
        <v>0</v>
      </c>
      <c r="P165" s="76">
        <f t="shared" si="75"/>
        <v>0</v>
      </c>
      <c r="Q165" s="76">
        <f t="shared" si="75"/>
        <v>0</v>
      </c>
      <c r="R165" s="76">
        <f t="shared" si="75"/>
        <v>0</v>
      </c>
      <c r="S165" s="76">
        <f t="shared" si="75"/>
        <v>61664819.905362248</v>
      </c>
      <c r="T165" s="76">
        <f t="shared" si="75"/>
        <v>0</v>
      </c>
      <c r="U165" s="76">
        <f t="shared" si="75"/>
        <v>0</v>
      </c>
      <c r="V165" s="76">
        <f t="shared" si="75"/>
        <v>0</v>
      </c>
      <c r="W165" s="76">
        <f t="shared" si="75"/>
        <v>0</v>
      </c>
      <c r="X165" s="62">
        <f t="shared" si="75"/>
        <v>0</v>
      </c>
      <c r="Y165" s="62">
        <f t="shared" si="75"/>
        <v>0</v>
      </c>
      <c r="Z165" s="62">
        <f t="shared" si="75"/>
        <v>0</v>
      </c>
      <c r="AA165" s="64">
        <f>SUM(G165:Z165)</f>
        <v>61664819.905362248</v>
      </c>
      <c r="AB165" s="58" t="str">
        <f>IF(ABS(F165-AA165)&lt;0.01,"ok","err")</f>
        <v>ok</v>
      </c>
    </row>
    <row r="166" spans="1:28">
      <c r="F166" s="79"/>
    </row>
    <row r="167" spans="1:28" ht="15">
      <c r="A167" s="65" t="s">
        <v>1025</v>
      </c>
      <c r="F167" s="79"/>
    </row>
    <row r="168" spans="1:28">
      <c r="A168" s="68" t="s">
        <v>1093</v>
      </c>
      <c r="C168" s="60" t="s">
        <v>984</v>
      </c>
      <c r="D168" s="60" t="s">
        <v>447</v>
      </c>
      <c r="E168" s="60" t="s">
        <v>1098</v>
      </c>
      <c r="F168" s="76">
        <f>VLOOKUP(C168,'Functional Assignment'!$C$2:$AP$780,'Functional Assignment'!$AC$2,)</f>
        <v>2471535.7794325519</v>
      </c>
      <c r="G168" s="76">
        <f t="shared" ref="G168:Z168" si="76">IF(VLOOKUP($E168,$D$6:$AN$1131,3,)=0,0,(VLOOKUP($E168,$D$6:$AN$1131,G$2,)/VLOOKUP($E168,$D$6:$AN$1131,3,))*$F168)</f>
        <v>1841601.3498541708</v>
      </c>
      <c r="H168" s="76">
        <f t="shared" si="76"/>
        <v>457601.88366595068</v>
      </c>
      <c r="I168" s="76">
        <f t="shared" si="76"/>
        <v>0</v>
      </c>
      <c r="J168" s="76">
        <f t="shared" si="76"/>
        <v>1820.8178937566843</v>
      </c>
      <c r="K168" s="76">
        <f t="shared" si="76"/>
        <v>71420.738911358829</v>
      </c>
      <c r="L168" s="76">
        <f t="shared" si="76"/>
        <v>0</v>
      </c>
      <c r="M168" s="76">
        <f t="shared" si="76"/>
        <v>0</v>
      </c>
      <c r="N168" s="76">
        <f t="shared" si="76"/>
        <v>13340.01998550904</v>
      </c>
      <c r="O168" s="76">
        <f t="shared" si="76"/>
        <v>34899.009630336448</v>
      </c>
      <c r="P168" s="76">
        <f t="shared" si="76"/>
        <v>1643.7939318636732</v>
      </c>
      <c r="Q168" s="76">
        <f t="shared" si="76"/>
        <v>25.289137413287282</v>
      </c>
      <c r="R168" s="76">
        <f t="shared" si="76"/>
        <v>25.289137413287282</v>
      </c>
      <c r="S168" s="76">
        <f t="shared" si="76"/>
        <v>48556.267795174375</v>
      </c>
      <c r="T168" s="76">
        <f t="shared" si="76"/>
        <v>92.726837182053359</v>
      </c>
      <c r="U168" s="76">
        <f t="shared" si="76"/>
        <v>508.59265242277746</v>
      </c>
      <c r="V168" s="76">
        <f t="shared" si="76"/>
        <v>0</v>
      </c>
      <c r="W168" s="76">
        <f t="shared" si="76"/>
        <v>0</v>
      </c>
      <c r="X168" s="62">
        <f t="shared" si="76"/>
        <v>0</v>
      </c>
      <c r="Y168" s="62">
        <f t="shared" si="76"/>
        <v>0</v>
      </c>
      <c r="Z168" s="62">
        <f t="shared" si="76"/>
        <v>0</v>
      </c>
      <c r="AA168" s="64">
        <f>SUM(G168:Z168)</f>
        <v>2471535.7794325515</v>
      </c>
      <c r="AB168" s="58" t="str">
        <f>IF(ABS(F168-AA168)&lt;0.01,"ok","err")</f>
        <v>ok</v>
      </c>
    </row>
    <row r="169" spans="1:28">
      <c r="F169" s="79"/>
    </row>
    <row r="170" spans="1:28" ht="15">
      <c r="A170" s="65" t="s">
        <v>351</v>
      </c>
      <c r="F170" s="79"/>
    </row>
    <row r="171" spans="1:28">
      <c r="A171" s="68" t="s">
        <v>1093</v>
      </c>
      <c r="C171" s="60" t="s">
        <v>984</v>
      </c>
      <c r="D171" s="60" t="s">
        <v>448</v>
      </c>
      <c r="E171" s="60" t="s">
        <v>1099</v>
      </c>
      <c r="F171" s="76">
        <f>VLOOKUP(C171,'Functional Assignment'!$C$2:$AP$780,'Functional Assignment'!$AD$2,)</f>
        <v>539863.39561039058</v>
      </c>
      <c r="G171" s="76">
        <f t="shared" ref="G171:Z171" si="77">IF(VLOOKUP($E171,$D$6:$AN$1131,3,)=0,0,(VLOOKUP($E171,$D$6:$AN$1131,G$2,)/VLOOKUP($E171,$D$6:$AN$1131,3,))*$F171)</f>
        <v>465409.05332820688</v>
      </c>
      <c r="H171" s="76">
        <f t="shared" si="77"/>
        <v>57822.519378322235</v>
      </c>
      <c r="I171" s="76">
        <f t="shared" si="77"/>
        <v>0</v>
      </c>
      <c r="J171" s="76">
        <f t="shared" si="77"/>
        <v>92.031332653341309</v>
      </c>
      <c r="K171" s="76">
        <f t="shared" si="77"/>
        <v>3609.8864162288623</v>
      </c>
      <c r="L171" s="76">
        <f t="shared" si="77"/>
        <v>0</v>
      </c>
      <c r="M171" s="76">
        <f t="shared" si="77"/>
        <v>0</v>
      </c>
      <c r="N171" s="76">
        <f t="shared" si="77"/>
        <v>134.8514665962154</v>
      </c>
      <c r="O171" s="76">
        <f t="shared" si="77"/>
        <v>352.7867751711417</v>
      </c>
      <c r="P171" s="76">
        <f t="shared" si="77"/>
        <v>16.616768395742181</v>
      </c>
      <c r="Q171" s="76">
        <f t="shared" si="77"/>
        <v>1.2782129535186293</v>
      </c>
      <c r="R171" s="76">
        <f t="shared" si="77"/>
        <v>1.2782129535186293</v>
      </c>
      <c r="S171" s="76">
        <f t="shared" si="77"/>
        <v>12271.128401101845</v>
      </c>
      <c r="T171" s="76">
        <f t="shared" si="77"/>
        <v>23.433904147841535</v>
      </c>
      <c r="U171" s="76">
        <f t="shared" si="77"/>
        <v>128.5314136593733</v>
      </c>
      <c r="V171" s="76">
        <f t="shared" si="77"/>
        <v>0</v>
      </c>
      <c r="W171" s="76">
        <f t="shared" si="77"/>
        <v>0</v>
      </c>
      <c r="X171" s="62">
        <f t="shared" si="77"/>
        <v>0</v>
      </c>
      <c r="Y171" s="62">
        <f t="shared" si="77"/>
        <v>0</v>
      </c>
      <c r="Z171" s="62">
        <f t="shared" si="77"/>
        <v>0</v>
      </c>
      <c r="AA171" s="64">
        <f>SUM(G171:Z171)</f>
        <v>539863.39561039046</v>
      </c>
      <c r="AB171" s="58" t="str">
        <f>IF(ABS(F171-AA171)&lt;0.01,"ok","err")</f>
        <v>ok</v>
      </c>
    </row>
    <row r="172" spans="1:28">
      <c r="F172" s="79"/>
    </row>
    <row r="173" spans="1:28" ht="15">
      <c r="A173" s="65" t="s">
        <v>350</v>
      </c>
      <c r="F173" s="79"/>
    </row>
    <row r="174" spans="1:28">
      <c r="A174" s="68" t="s">
        <v>1093</v>
      </c>
      <c r="C174" s="60" t="s">
        <v>984</v>
      </c>
      <c r="D174" s="60" t="s">
        <v>449</v>
      </c>
      <c r="E174" s="60" t="s">
        <v>1099</v>
      </c>
      <c r="F174" s="76">
        <f>VLOOKUP(C174,'Functional Assignment'!$C$2:$AP$780,'Functional Assignment'!$AE$2,)</f>
        <v>0</v>
      </c>
      <c r="G174" s="76">
        <f t="shared" ref="G174:Z174" si="78">IF(VLOOKUP($E174,$D$6:$AN$1131,3,)=0,0,(VLOOKUP($E174,$D$6:$AN$1131,G$2,)/VLOOKUP($E174,$D$6:$AN$1131,3,))*$F174)</f>
        <v>0</v>
      </c>
      <c r="H174" s="76">
        <f t="shared" si="78"/>
        <v>0</v>
      </c>
      <c r="I174" s="76">
        <f t="shared" si="78"/>
        <v>0</v>
      </c>
      <c r="J174" s="76">
        <f t="shared" si="78"/>
        <v>0</v>
      </c>
      <c r="K174" s="76">
        <f t="shared" si="78"/>
        <v>0</v>
      </c>
      <c r="L174" s="76">
        <f t="shared" si="78"/>
        <v>0</v>
      </c>
      <c r="M174" s="76">
        <f t="shared" si="78"/>
        <v>0</v>
      </c>
      <c r="N174" s="76">
        <f t="shared" si="78"/>
        <v>0</v>
      </c>
      <c r="O174" s="76">
        <f t="shared" si="78"/>
        <v>0</v>
      </c>
      <c r="P174" s="76">
        <f t="shared" si="78"/>
        <v>0</v>
      </c>
      <c r="Q174" s="76">
        <f t="shared" si="78"/>
        <v>0</v>
      </c>
      <c r="R174" s="76">
        <f t="shared" si="78"/>
        <v>0</v>
      </c>
      <c r="S174" s="76">
        <f t="shared" si="78"/>
        <v>0</v>
      </c>
      <c r="T174" s="76">
        <f t="shared" si="78"/>
        <v>0</v>
      </c>
      <c r="U174" s="76">
        <f t="shared" si="78"/>
        <v>0</v>
      </c>
      <c r="V174" s="76">
        <f t="shared" si="78"/>
        <v>0</v>
      </c>
      <c r="W174" s="76">
        <f t="shared" si="78"/>
        <v>0</v>
      </c>
      <c r="X174" s="62">
        <f t="shared" si="78"/>
        <v>0</v>
      </c>
      <c r="Y174" s="62">
        <f t="shared" si="78"/>
        <v>0</v>
      </c>
      <c r="Z174" s="62">
        <f t="shared" si="78"/>
        <v>0</v>
      </c>
      <c r="AA174" s="64">
        <f>SUM(G174:Z174)</f>
        <v>0</v>
      </c>
      <c r="AB174" s="58" t="str">
        <f>IF(ABS(F174-AA174)&lt;0.01,"ok","err")</f>
        <v>ok</v>
      </c>
    </row>
    <row r="175" spans="1:28">
      <c r="F175" s="79"/>
    </row>
    <row r="176" spans="1:28">
      <c r="A176" s="60" t="s">
        <v>922</v>
      </c>
      <c r="D176" s="60" t="s">
        <v>1104</v>
      </c>
      <c r="F176" s="76">
        <f>F131+F137+F140+F143+F151+F156+F159+F162+F165+F168+F171+F174</f>
        <v>2380933927.241509</v>
      </c>
      <c r="G176" s="76">
        <f t="shared" ref="G176:Z176" si="79">G131+G137+G140+G143+G151+G156+G159+G162+G165+G168+G171+G174</f>
        <v>1151746077.2153518</v>
      </c>
      <c r="H176" s="76">
        <f t="shared" si="79"/>
        <v>302071164.72748941</v>
      </c>
      <c r="I176" s="76">
        <f t="shared" si="79"/>
        <v>0</v>
      </c>
      <c r="J176" s="76">
        <f t="shared" si="79"/>
        <v>22598765.024464671</v>
      </c>
      <c r="K176" s="76">
        <f t="shared" si="79"/>
        <v>290318355.05589318</v>
      </c>
      <c r="L176" s="76">
        <f t="shared" si="79"/>
        <v>0</v>
      </c>
      <c r="M176" s="76">
        <f t="shared" si="79"/>
        <v>0</v>
      </c>
      <c r="N176" s="76">
        <f t="shared" si="79"/>
        <v>242194583.63978818</v>
      </c>
      <c r="O176" s="76">
        <f>O131+O137+O140+O143+O151+O156+O159+O162+O165+O168+O171+O174</f>
        <v>143524479.34195939</v>
      </c>
      <c r="P176" s="76">
        <f t="shared" si="79"/>
        <v>127237257.44781397</v>
      </c>
      <c r="Q176" s="76">
        <f t="shared" si="79"/>
        <v>15203335.994018935</v>
      </c>
      <c r="R176" s="76">
        <f t="shared" si="79"/>
        <v>7082689.0574253704</v>
      </c>
      <c r="S176" s="76">
        <f t="shared" si="79"/>
        <v>78174244.52773416</v>
      </c>
      <c r="T176" s="76">
        <f t="shared" si="79"/>
        <v>308732.70736411982</v>
      </c>
      <c r="U176" s="76">
        <f t="shared" si="79"/>
        <v>474242.50220579916</v>
      </c>
      <c r="V176" s="76">
        <f t="shared" si="79"/>
        <v>0</v>
      </c>
      <c r="W176" s="76">
        <f t="shared" si="79"/>
        <v>0</v>
      </c>
      <c r="X176" s="62">
        <f t="shared" si="79"/>
        <v>0</v>
      </c>
      <c r="Y176" s="62">
        <f t="shared" si="79"/>
        <v>0</v>
      </c>
      <c r="Z176" s="62">
        <f t="shared" si="79"/>
        <v>0</v>
      </c>
      <c r="AA176" s="64">
        <f>SUM(G176:Z176)</f>
        <v>2380933927.2415094</v>
      </c>
      <c r="AB176" s="58" t="str">
        <f>IF(ABS(F176-AA176)&lt;0.01,"ok","err")</f>
        <v>ok</v>
      </c>
    </row>
    <row r="179" spans="1:28" ht="15">
      <c r="A179" s="65" t="s">
        <v>975</v>
      </c>
    </row>
    <row r="181" spans="1:28" ht="15">
      <c r="A181" s="65" t="s">
        <v>364</v>
      </c>
    </row>
    <row r="182" spans="1:28">
      <c r="A182" s="68" t="s">
        <v>359</v>
      </c>
      <c r="C182" s="60" t="s">
        <v>1068</v>
      </c>
      <c r="D182" s="60" t="s">
        <v>450</v>
      </c>
      <c r="E182" s="60" t="s">
        <v>869</v>
      </c>
      <c r="F182" s="76">
        <f>VLOOKUP(C182,'Functional Assignment'!$C$2:$AP$780,'Functional Assignment'!$H$2,)</f>
        <v>33223399.69324439</v>
      </c>
      <c r="G182" s="76">
        <f t="shared" ref="G182:P187" si="80">IF(VLOOKUP($E182,$D$6:$AN$1131,3,)=0,0,(VLOOKUP($E182,$D$6:$AN$1131,G$2,)/VLOOKUP($E182,$D$6:$AN$1131,3,))*$F182)</f>
        <v>12019496.181291036</v>
      </c>
      <c r="H182" s="76">
        <f t="shared" si="80"/>
        <v>3905905.9991543591</v>
      </c>
      <c r="I182" s="76">
        <f t="shared" si="80"/>
        <v>0</v>
      </c>
      <c r="J182" s="76">
        <f t="shared" si="80"/>
        <v>465200.04562355008</v>
      </c>
      <c r="K182" s="76">
        <f t="shared" si="80"/>
        <v>5389945.8463299237</v>
      </c>
      <c r="L182" s="76">
        <f t="shared" si="80"/>
        <v>0</v>
      </c>
      <c r="M182" s="76">
        <f t="shared" si="80"/>
        <v>0</v>
      </c>
      <c r="N182" s="76">
        <f t="shared" si="80"/>
        <v>5202794.1984608015</v>
      </c>
      <c r="O182" s="76">
        <f t="shared" si="80"/>
        <v>2288259.5704960665</v>
      </c>
      <c r="P182" s="76">
        <f t="shared" si="80"/>
        <v>3168103.1934952135</v>
      </c>
      <c r="Q182" s="76">
        <f t="shared" ref="Q182:Z187" si="81">IF(VLOOKUP($E182,$D$6:$AN$1131,3,)=0,0,(VLOOKUP($E182,$D$6:$AN$1131,Q$2,)/VLOOKUP($E182,$D$6:$AN$1131,3,))*$F182)</f>
        <v>309222.84114188404</v>
      </c>
      <c r="R182" s="76">
        <f t="shared" si="81"/>
        <v>163361.32843666791</v>
      </c>
      <c r="S182" s="76">
        <f t="shared" si="81"/>
        <v>292632.91746175947</v>
      </c>
      <c r="T182" s="76">
        <f t="shared" si="81"/>
        <v>9538.7331992050331</v>
      </c>
      <c r="U182" s="76">
        <f t="shared" si="81"/>
        <v>8938.8381539302882</v>
      </c>
      <c r="V182" s="76">
        <f t="shared" si="81"/>
        <v>0</v>
      </c>
      <c r="W182" s="76">
        <f t="shared" si="81"/>
        <v>0</v>
      </c>
      <c r="X182" s="62">
        <f t="shared" si="81"/>
        <v>0</v>
      </c>
      <c r="Y182" s="62">
        <f t="shared" si="81"/>
        <v>0</v>
      </c>
      <c r="Z182" s="62">
        <f t="shared" si="81"/>
        <v>0</v>
      </c>
      <c r="AA182" s="64">
        <f t="shared" ref="AA182:AA188" si="82">SUM(G182:Z182)</f>
        <v>33223399.693244401</v>
      </c>
      <c r="AB182" s="58" t="str">
        <f t="shared" ref="AB182:AB188" si="83">IF(ABS(F182-AA182)&lt;0.01,"ok","err")</f>
        <v>ok</v>
      </c>
    </row>
    <row r="183" spans="1:28">
      <c r="A183" s="68" t="s">
        <v>1255</v>
      </c>
      <c r="C183" s="60" t="s">
        <v>1068</v>
      </c>
      <c r="D183" s="60" t="s">
        <v>451</v>
      </c>
      <c r="E183" s="60" t="s">
        <v>188</v>
      </c>
      <c r="F183" s="79">
        <f>VLOOKUP(C183,'Functional Assignment'!$C$2:$AP$780,'Functional Assignment'!$I$2,)</f>
        <v>34803614.031254336</v>
      </c>
      <c r="G183" s="79">
        <f t="shared" si="80"/>
        <v>14872217.142079901</v>
      </c>
      <c r="H183" s="79">
        <f t="shared" si="80"/>
        <v>4866523.3276489591</v>
      </c>
      <c r="I183" s="79">
        <f t="shared" si="80"/>
        <v>0</v>
      </c>
      <c r="J183" s="79">
        <f t="shared" si="80"/>
        <v>378440.79919657263</v>
      </c>
      <c r="K183" s="79">
        <f t="shared" si="80"/>
        <v>5092353.3553589312</v>
      </c>
      <c r="L183" s="79">
        <f t="shared" si="80"/>
        <v>0</v>
      </c>
      <c r="M183" s="79">
        <f t="shared" si="80"/>
        <v>0</v>
      </c>
      <c r="N183" s="79">
        <f t="shared" si="80"/>
        <v>4055270.2157698162</v>
      </c>
      <c r="O183" s="79">
        <f t="shared" si="80"/>
        <v>2719521.3663207921</v>
      </c>
      <c r="P183" s="79">
        <f t="shared" si="80"/>
        <v>2425592.1998527898</v>
      </c>
      <c r="Q183" s="79">
        <f t="shared" si="81"/>
        <v>280050.00293131813</v>
      </c>
      <c r="R183" s="79">
        <f t="shared" si="81"/>
        <v>106448.0941224047</v>
      </c>
      <c r="S183" s="79">
        <f t="shared" si="81"/>
        <v>0</v>
      </c>
      <c r="T183" s="79">
        <f t="shared" si="81"/>
        <v>0</v>
      </c>
      <c r="U183" s="79">
        <f t="shared" si="81"/>
        <v>7197.5279728527403</v>
      </c>
      <c r="V183" s="79">
        <f t="shared" si="81"/>
        <v>0</v>
      </c>
      <c r="W183" s="79">
        <f t="shared" si="81"/>
        <v>0</v>
      </c>
      <c r="X183" s="63">
        <f t="shared" si="81"/>
        <v>0</v>
      </c>
      <c r="Y183" s="63">
        <f t="shared" si="81"/>
        <v>0</v>
      </c>
      <c r="Z183" s="63">
        <f t="shared" si="81"/>
        <v>0</v>
      </c>
      <c r="AA183" s="63">
        <f t="shared" si="82"/>
        <v>34803614.031254336</v>
      </c>
      <c r="AB183" s="58" t="str">
        <f t="shared" si="83"/>
        <v>ok</v>
      </c>
    </row>
    <row r="184" spans="1:28">
      <c r="A184" s="68" t="s">
        <v>1256</v>
      </c>
      <c r="C184" s="60" t="s">
        <v>1068</v>
      </c>
      <c r="D184" s="60" t="s">
        <v>452</v>
      </c>
      <c r="E184" s="60" t="s">
        <v>191</v>
      </c>
      <c r="F184" s="79">
        <f>VLOOKUP(C184,'Functional Assignment'!$C$2:$AP$780,'Functional Assignment'!$J$2,)</f>
        <v>28608453.375186369</v>
      </c>
      <c r="G184" s="79">
        <f t="shared" si="80"/>
        <v>11187336.071748765</v>
      </c>
      <c r="H184" s="79">
        <f t="shared" si="80"/>
        <v>4042826.1604645131</v>
      </c>
      <c r="I184" s="79">
        <f t="shared" si="80"/>
        <v>0</v>
      </c>
      <c r="J184" s="79">
        <f t="shared" si="80"/>
        <v>333419.21088114928</v>
      </c>
      <c r="K184" s="79">
        <f t="shared" si="80"/>
        <v>4706292.5648082271</v>
      </c>
      <c r="L184" s="79">
        <f t="shared" si="80"/>
        <v>0</v>
      </c>
      <c r="M184" s="79">
        <f t="shared" si="80"/>
        <v>0</v>
      </c>
      <c r="N184" s="79">
        <f t="shared" si="80"/>
        <v>3559490.7401403729</v>
      </c>
      <c r="O184" s="79">
        <f t="shared" si="80"/>
        <v>2404150.4907768816</v>
      </c>
      <c r="P184" s="79">
        <f t="shared" si="80"/>
        <v>2058636.7129335681</v>
      </c>
      <c r="Q184" s="79">
        <f t="shared" si="81"/>
        <v>222285.14197147096</v>
      </c>
      <c r="R184" s="79">
        <f t="shared" si="81"/>
        <v>89982.461271263528</v>
      </c>
      <c r="S184" s="79">
        <f t="shared" si="81"/>
        <v>0</v>
      </c>
      <c r="T184" s="79">
        <f t="shared" si="81"/>
        <v>0</v>
      </c>
      <c r="U184" s="79">
        <f t="shared" si="81"/>
        <v>4033.8201901539669</v>
      </c>
      <c r="V184" s="79">
        <f t="shared" si="81"/>
        <v>0</v>
      </c>
      <c r="W184" s="79">
        <f t="shared" si="81"/>
        <v>0</v>
      </c>
      <c r="X184" s="63">
        <f t="shared" si="81"/>
        <v>0</v>
      </c>
      <c r="Y184" s="63">
        <f t="shared" si="81"/>
        <v>0</v>
      </c>
      <c r="Z184" s="63">
        <f t="shared" si="81"/>
        <v>0</v>
      </c>
      <c r="AA184" s="63">
        <f t="shared" si="82"/>
        <v>28608453.375186361</v>
      </c>
      <c r="AB184" s="58" t="str">
        <f t="shared" si="83"/>
        <v>ok</v>
      </c>
    </row>
    <row r="185" spans="1:28">
      <c r="A185" s="68" t="s">
        <v>1257</v>
      </c>
      <c r="C185" s="60" t="s">
        <v>1068</v>
      </c>
      <c r="D185" s="60" t="s">
        <v>453</v>
      </c>
      <c r="E185" s="60" t="s">
        <v>1091</v>
      </c>
      <c r="F185" s="79">
        <f>VLOOKUP(C185,'Functional Assignment'!$C$2:$AP$780,'Functional Assignment'!$K$2,)</f>
        <v>465540988.35893065</v>
      </c>
      <c r="G185" s="79">
        <f t="shared" si="80"/>
        <v>168422502.43944997</v>
      </c>
      <c r="H185" s="79">
        <f t="shared" si="80"/>
        <v>54731283.690887347</v>
      </c>
      <c r="I185" s="79">
        <f t="shared" si="80"/>
        <v>0</v>
      </c>
      <c r="J185" s="79">
        <f t="shared" si="80"/>
        <v>6518587.5688679339</v>
      </c>
      <c r="K185" s="79">
        <f t="shared" si="80"/>
        <v>75526308.694867209</v>
      </c>
      <c r="L185" s="79">
        <f t="shared" si="80"/>
        <v>0</v>
      </c>
      <c r="M185" s="79">
        <f t="shared" si="80"/>
        <v>0</v>
      </c>
      <c r="N185" s="79">
        <f t="shared" si="80"/>
        <v>72903854.868150339</v>
      </c>
      <c r="O185" s="79">
        <f t="shared" si="80"/>
        <v>32064107.730646107</v>
      </c>
      <c r="P185" s="79">
        <f t="shared" si="80"/>
        <v>44392865.316353843</v>
      </c>
      <c r="Q185" s="79">
        <f t="shared" si="81"/>
        <v>4332968.9052965427</v>
      </c>
      <c r="R185" s="79">
        <f t="shared" si="81"/>
        <v>2289091.3171369969</v>
      </c>
      <c r="S185" s="79">
        <f t="shared" si="81"/>
        <v>4100500.4460437791</v>
      </c>
      <c r="T185" s="79">
        <f t="shared" si="81"/>
        <v>133662.33427003646</v>
      </c>
      <c r="U185" s="79">
        <f t="shared" si="81"/>
        <v>125255.04696051993</v>
      </c>
      <c r="V185" s="79">
        <f t="shared" si="81"/>
        <v>0</v>
      </c>
      <c r="W185" s="79">
        <f t="shared" si="81"/>
        <v>0</v>
      </c>
      <c r="X185" s="63">
        <f t="shared" si="81"/>
        <v>0</v>
      </c>
      <c r="Y185" s="63">
        <f t="shared" si="81"/>
        <v>0</v>
      </c>
      <c r="Z185" s="63">
        <f t="shared" si="81"/>
        <v>0</v>
      </c>
      <c r="AA185" s="63">
        <f t="shared" si="82"/>
        <v>465540988.35893071</v>
      </c>
      <c r="AB185" s="58" t="str">
        <f t="shared" si="83"/>
        <v>ok</v>
      </c>
    </row>
    <row r="186" spans="1:28" hidden="1">
      <c r="A186" s="68" t="s">
        <v>1258</v>
      </c>
      <c r="C186" s="60" t="s">
        <v>1068</v>
      </c>
      <c r="D186" s="60" t="s">
        <v>454</v>
      </c>
      <c r="E186" s="60" t="s">
        <v>1091</v>
      </c>
      <c r="F186" s="79">
        <f>VLOOKUP(C186,'Functional Assignment'!$C$2:$AP$780,'Functional Assignment'!$L$2,)</f>
        <v>0</v>
      </c>
      <c r="G186" s="79">
        <f t="shared" si="80"/>
        <v>0</v>
      </c>
      <c r="H186" s="79">
        <f t="shared" si="80"/>
        <v>0</v>
      </c>
      <c r="I186" s="79">
        <f t="shared" si="80"/>
        <v>0</v>
      </c>
      <c r="J186" s="79">
        <f t="shared" si="80"/>
        <v>0</v>
      </c>
      <c r="K186" s="79">
        <f t="shared" si="80"/>
        <v>0</v>
      </c>
      <c r="L186" s="79">
        <f t="shared" si="80"/>
        <v>0</v>
      </c>
      <c r="M186" s="79">
        <f t="shared" si="80"/>
        <v>0</v>
      </c>
      <c r="N186" s="79">
        <f t="shared" si="80"/>
        <v>0</v>
      </c>
      <c r="O186" s="79">
        <f t="shared" si="80"/>
        <v>0</v>
      </c>
      <c r="P186" s="79">
        <f t="shared" si="80"/>
        <v>0</v>
      </c>
      <c r="Q186" s="79">
        <f t="shared" si="81"/>
        <v>0</v>
      </c>
      <c r="R186" s="79">
        <f t="shared" si="81"/>
        <v>0</v>
      </c>
      <c r="S186" s="79">
        <f t="shared" si="81"/>
        <v>0</v>
      </c>
      <c r="T186" s="79">
        <f t="shared" si="81"/>
        <v>0</v>
      </c>
      <c r="U186" s="79">
        <f t="shared" si="81"/>
        <v>0</v>
      </c>
      <c r="V186" s="79">
        <f t="shared" si="81"/>
        <v>0</v>
      </c>
      <c r="W186" s="79">
        <f t="shared" si="81"/>
        <v>0</v>
      </c>
      <c r="X186" s="63">
        <f t="shared" si="81"/>
        <v>0</v>
      </c>
      <c r="Y186" s="63">
        <f t="shared" si="81"/>
        <v>0</v>
      </c>
      <c r="Z186" s="63">
        <f t="shared" si="81"/>
        <v>0</v>
      </c>
      <c r="AA186" s="63">
        <f t="shared" si="82"/>
        <v>0</v>
      </c>
      <c r="AB186" s="58" t="str">
        <f t="shared" si="83"/>
        <v>ok</v>
      </c>
    </row>
    <row r="187" spans="1:28" hidden="1">
      <c r="A187" s="68" t="s">
        <v>1258</v>
      </c>
      <c r="C187" s="60" t="s">
        <v>1068</v>
      </c>
      <c r="D187" s="60" t="s">
        <v>455</v>
      </c>
      <c r="E187" s="60" t="s">
        <v>1091</v>
      </c>
      <c r="F187" s="79">
        <f>VLOOKUP(C187,'Functional Assignment'!$C$2:$AP$780,'Functional Assignment'!$M$2,)</f>
        <v>0</v>
      </c>
      <c r="G187" s="79">
        <f t="shared" si="80"/>
        <v>0</v>
      </c>
      <c r="H187" s="79">
        <f t="shared" si="80"/>
        <v>0</v>
      </c>
      <c r="I187" s="79">
        <f t="shared" si="80"/>
        <v>0</v>
      </c>
      <c r="J187" s="79">
        <f t="shared" si="80"/>
        <v>0</v>
      </c>
      <c r="K187" s="79">
        <f t="shared" si="80"/>
        <v>0</v>
      </c>
      <c r="L187" s="79">
        <f t="shared" si="80"/>
        <v>0</v>
      </c>
      <c r="M187" s="79">
        <f t="shared" si="80"/>
        <v>0</v>
      </c>
      <c r="N187" s="79">
        <f t="shared" si="80"/>
        <v>0</v>
      </c>
      <c r="O187" s="79">
        <f t="shared" si="80"/>
        <v>0</v>
      </c>
      <c r="P187" s="79">
        <f t="shared" si="80"/>
        <v>0</v>
      </c>
      <c r="Q187" s="79">
        <f t="shared" si="81"/>
        <v>0</v>
      </c>
      <c r="R187" s="79">
        <f t="shared" si="81"/>
        <v>0</v>
      </c>
      <c r="S187" s="79">
        <f t="shared" si="81"/>
        <v>0</v>
      </c>
      <c r="T187" s="79">
        <f t="shared" si="81"/>
        <v>0</v>
      </c>
      <c r="U187" s="79">
        <f t="shared" si="81"/>
        <v>0</v>
      </c>
      <c r="V187" s="79">
        <f t="shared" si="81"/>
        <v>0</v>
      </c>
      <c r="W187" s="79">
        <f t="shared" si="81"/>
        <v>0</v>
      </c>
      <c r="X187" s="63">
        <f t="shared" si="81"/>
        <v>0</v>
      </c>
      <c r="Y187" s="63">
        <f t="shared" si="81"/>
        <v>0</v>
      </c>
      <c r="Z187" s="63">
        <f t="shared" si="81"/>
        <v>0</v>
      </c>
      <c r="AA187" s="63">
        <f t="shared" si="82"/>
        <v>0</v>
      </c>
      <c r="AB187" s="58" t="str">
        <f t="shared" si="83"/>
        <v>ok</v>
      </c>
    </row>
    <row r="188" spans="1:28">
      <c r="A188" s="60" t="s">
        <v>387</v>
      </c>
      <c r="D188" s="60" t="s">
        <v>1105</v>
      </c>
      <c r="F188" s="76">
        <f>SUM(F182:F187)</f>
        <v>562176455.45861578</v>
      </c>
      <c r="G188" s="76">
        <f t="shared" ref="G188:P188" si="84">SUM(G182:G187)</f>
        <v>206501551.83456966</v>
      </c>
      <c r="H188" s="76">
        <f t="shared" si="84"/>
        <v>67546539.178155184</v>
      </c>
      <c r="I188" s="76">
        <f t="shared" si="84"/>
        <v>0</v>
      </c>
      <c r="J188" s="76">
        <f t="shared" si="84"/>
        <v>7695647.6245692056</v>
      </c>
      <c r="K188" s="76">
        <f t="shared" si="84"/>
        <v>90714900.461364299</v>
      </c>
      <c r="L188" s="76">
        <f t="shared" si="84"/>
        <v>0</v>
      </c>
      <c r="M188" s="76">
        <f t="shared" si="84"/>
        <v>0</v>
      </c>
      <c r="N188" s="76">
        <f t="shared" si="84"/>
        <v>85721410.022521332</v>
      </c>
      <c r="O188" s="76">
        <f>SUM(O182:O187)</f>
        <v>39476039.158239849</v>
      </c>
      <c r="P188" s="76">
        <f t="shared" si="84"/>
        <v>52045197.422635414</v>
      </c>
      <c r="Q188" s="76">
        <f t="shared" ref="Q188:W188" si="85">SUM(Q182:Q187)</f>
        <v>5144526.8913412159</v>
      </c>
      <c r="R188" s="76">
        <f t="shared" si="85"/>
        <v>2648883.2009673333</v>
      </c>
      <c r="S188" s="76">
        <f t="shared" si="85"/>
        <v>4393133.3635055386</v>
      </c>
      <c r="T188" s="76">
        <f t="shared" si="85"/>
        <v>143201.06746924151</v>
      </c>
      <c r="U188" s="76">
        <f t="shared" si="85"/>
        <v>145425.23327745692</v>
      </c>
      <c r="V188" s="76">
        <f t="shared" si="85"/>
        <v>0</v>
      </c>
      <c r="W188" s="76">
        <f t="shared" si="85"/>
        <v>0</v>
      </c>
      <c r="X188" s="62">
        <f>SUM(X182:X187)</f>
        <v>0</v>
      </c>
      <c r="Y188" s="62">
        <f>SUM(Y182:Y187)</f>
        <v>0</v>
      </c>
      <c r="Z188" s="62">
        <f>SUM(Z182:Z187)</f>
        <v>0</v>
      </c>
      <c r="AA188" s="64">
        <f t="shared" si="82"/>
        <v>562176455.45861554</v>
      </c>
      <c r="AB188" s="58" t="str">
        <f t="shared" si="83"/>
        <v>ok</v>
      </c>
    </row>
    <row r="189" spans="1:28">
      <c r="F189" s="79"/>
      <c r="G189" s="79"/>
    </row>
    <row r="190" spans="1:28" ht="15">
      <c r="A190" s="65" t="s">
        <v>1131</v>
      </c>
      <c r="F190" s="79"/>
      <c r="G190" s="79"/>
    </row>
    <row r="191" spans="1:28">
      <c r="A191" s="68" t="s">
        <v>1363</v>
      </c>
      <c r="C191" s="60" t="s">
        <v>1068</v>
      </c>
      <c r="D191" s="60" t="s">
        <v>456</v>
      </c>
      <c r="E191" s="60" t="s">
        <v>1367</v>
      </c>
      <c r="F191" s="76">
        <f>VLOOKUP(C191,'Functional Assignment'!$C$2:$AP$780,'Functional Assignment'!$N$2,)</f>
        <v>22151694.551854581</v>
      </c>
      <c r="G191" s="76">
        <f t="shared" ref="G191:P193" si="86">IF(VLOOKUP($E191,$D$6:$AN$1131,3,)=0,0,(VLOOKUP($E191,$D$6:$AN$1131,G$2,)/VLOOKUP($E191,$D$6:$AN$1131,3,))*$F191)</f>
        <v>9843945.0934296139</v>
      </c>
      <c r="H191" s="76">
        <f t="shared" si="86"/>
        <v>2833552.1934413416</v>
      </c>
      <c r="I191" s="76">
        <f t="shared" si="86"/>
        <v>0</v>
      </c>
      <c r="J191" s="76">
        <f t="shared" si="86"/>
        <v>251763.59360683861</v>
      </c>
      <c r="K191" s="76">
        <f t="shared" si="86"/>
        <v>2922121.3850279599</v>
      </c>
      <c r="L191" s="76">
        <f t="shared" si="86"/>
        <v>0</v>
      </c>
      <c r="M191" s="76">
        <f t="shared" si="86"/>
        <v>0</v>
      </c>
      <c r="N191" s="76">
        <f t="shared" si="86"/>
        <v>2658238.7789754085</v>
      </c>
      <c r="O191" s="76">
        <f t="shared" si="86"/>
        <v>1578322.6756343157</v>
      </c>
      <c r="P191" s="76">
        <f t="shared" si="86"/>
        <v>1634854.5105856331</v>
      </c>
      <c r="Q191" s="76">
        <f t="shared" ref="Q191:Z193" si="87">IF(VLOOKUP($E191,$D$6:$AN$1131,3,)=0,0,(VLOOKUP($E191,$D$6:$AN$1131,Q$2,)/VLOOKUP($E191,$D$6:$AN$1131,3,))*$F191)</f>
        <v>164800.53281259272</v>
      </c>
      <c r="R191" s="76">
        <f t="shared" si="87"/>
        <v>86258.969885143466</v>
      </c>
      <c r="S191" s="76">
        <f t="shared" si="87"/>
        <v>169926.37865111072</v>
      </c>
      <c r="T191" s="76">
        <f t="shared" si="87"/>
        <v>5434.7361067974307</v>
      </c>
      <c r="U191" s="76">
        <f t="shared" si="87"/>
        <v>2475.7036978294514</v>
      </c>
      <c r="V191" s="76">
        <f t="shared" si="87"/>
        <v>0</v>
      </c>
      <c r="W191" s="76">
        <f t="shared" si="87"/>
        <v>0</v>
      </c>
      <c r="X191" s="62">
        <f t="shared" si="87"/>
        <v>0</v>
      </c>
      <c r="Y191" s="62">
        <f t="shared" si="87"/>
        <v>0</v>
      </c>
      <c r="Z191" s="62">
        <f t="shared" si="87"/>
        <v>0</v>
      </c>
      <c r="AA191" s="64">
        <f>SUM(G191:Z191)</f>
        <v>22151694.551854592</v>
      </c>
      <c r="AB191" s="58" t="str">
        <f>IF(ABS(F191-AA191)&lt;0.01,"ok","err")</f>
        <v>ok</v>
      </c>
    </row>
    <row r="192" spans="1:28" hidden="1">
      <c r="A192" s="68" t="s">
        <v>1364</v>
      </c>
      <c r="C192" s="60" t="s">
        <v>1068</v>
      </c>
      <c r="D192" s="60" t="s">
        <v>457</v>
      </c>
      <c r="E192" s="60" t="s">
        <v>188</v>
      </c>
      <c r="F192" s="79">
        <f>VLOOKUP(C192,'Functional Assignment'!$C$2:$AP$780,'Functional Assignment'!$O$2,)</f>
        <v>0</v>
      </c>
      <c r="G192" s="79">
        <f t="shared" si="86"/>
        <v>0</v>
      </c>
      <c r="H192" s="79">
        <f t="shared" si="86"/>
        <v>0</v>
      </c>
      <c r="I192" s="79">
        <f t="shared" si="86"/>
        <v>0</v>
      </c>
      <c r="J192" s="79">
        <f t="shared" si="86"/>
        <v>0</v>
      </c>
      <c r="K192" s="79">
        <f t="shared" si="86"/>
        <v>0</v>
      </c>
      <c r="L192" s="79">
        <f t="shared" si="86"/>
        <v>0</v>
      </c>
      <c r="M192" s="79">
        <f t="shared" si="86"/>
        <v>0</v>
      </c>
      <c r="N192" s="79">
        <f t="shared" si="86"/>
        <v>0</v>
      </c>
      <c r="O192" s="79">
        <f t="shared" si="86"/>
        <v>0</v>
      </c>
      <c r="P192" s="79">
        <f t="shared" si="86"/>
        <v>0</v>
      </c>
      <c r="Q192" s="79">
        <f t="shared" si="87"/>
        <v>0</v>
      </c>
      <c r="R192" s="79">
        <f t="shared" si="87"/>
        <v>0</v>
      </c>
      <c r="S192" s="79">
        <f t="shared" si="87"/>
        <v>0</v>
      </c>
      <c r="T192" s="79">
        <f t="shared" si="87"/>
        <v>0</v>
      </c>
      <c r="U192" s="79">
        <f t="shared" si="87"/>
        <v>0</v>
      </c>
      <c r="V192" s="79">
        <f t="shared" si="87"/>
        <v>0</v>
      </c>
      <c r="W192" s="79">
        <f t="shared" si="87"/>
        <v>0</v>
      </c>
      <c r="X192" s="63">
        <f t="shared" si="87"/>
        <v>0</v>
      </c>
      <c r="Y192" s="63">
        <f t="shared" si="87"/>
        <v>0</v>
      </c>
      <c r="Z192" s="63">
        <f t="shared" si="87"/>
        <v>0</v>
      </c>
      <c r="AA192" s="63">
        <f>SUM(G192:Z192)</f>
        <v>0</v>
      </c>
      <c r="AB192" s="58" t="str">
        <f>IF(ABS(F192-AA192)&lt;0.01,"ok","err")</f>
        <v>ok</v>
      </c>
    </row>
    <row r="193" spans="1:28" hidden="1">
      <c r="A193" s="68" t="s">
        <v>1364</v>
      </c>
      <c r="C193" s="60" t="s">
        <v>1068</v>
      </c>
      <c r="D193" s="60" t="s">
        <v>458</v>
      </c>
      <c r="E193" s="60" t="s">
        <v>191</v>
      </c>
      <c r="F193" s="79">
        <f>VLOOKUP(C193,'Functional Assignment'!$C$2:$AP$780,'Functional Assignment'!$P$2,)</f>
        <v>0</v>
      </c>
      <c r="G193" s="79">
        <f t="shared" si="86"/>
        <v>0</v>
      </c>
      <c r="H193" s="79">
        <f t="shared" si="86"/>
        <v>0</v>
      </c>
      <c r="I193" s="79">
        <f t="shared" si="86"/>
        <v>0</v>
      </c>
      <c r="J193" s="79">
        <f t="shared" si="86"/>
        <v>0</v>
      </c>
      <c r="K193" s="79">
        <f t="shared" si="86"/>
        <v>0</v>
      </c>
      <c r="L193" s="79">
        <f t="shared" si="86"/>
        <v>0</v>
      </c>
      <c r="M193" s="79">
        <f t="shared" si="86"/>
        <v>0</v>
      </c>
      <c r="N193" s="79">
        <f t="shared" si="86"/>
        <v>0</v>
      </c>
      <c r="O193" s="79">
        <f t="shared" si="86"/>
        <v>0</v>
      </c>
      <c r="P193" s="79">
        <f t="shared" si="86"/>
        <v>0</v>
      </c>
      <c r="Q193" s="79">
        <f t="shared" si="87"/>
        <v>0</v>
      </c>
      <c r="R193" s="79">
        <f t="shared" si="87"/>
        <v>0</v>
      </c>
      <c r="S193" s="79">
        <f t="shared" si="87"/>
        <v>0</v>
      </c>
      <c r="T193" s="79">
        <f t="shared" si="87"/>
        <v>0</v>
      </c>
      <c r="U193" s="79">
        <f t="shared" si="87"/>
        <v>0</v>
      </c>
      <c r="V193" s="79">
        <f t="shared" si="87"/>
        <v>0</v>
      </c>
      <c r="W193" s="79">
        <f t="shared" si="87"/>
        <v>0</v>
      </c>
      <c r="X193" s="63">
        <f t="shared" si="87"/>
        <v>0</v>
      </c>
      <c r="Y193" s="63">
        <f t="shared" si="87"/>
        <v>0</v>
      </c>
      <c r="Z193" s="63">
        <f t="shared" si="87"/>
        <v>0</v>
      </c>
      <c r="AA193" s="63">
        <f>SUM(G193:Z193)</f>
        <v>0</v>
      </c>
      <c r="AB193" s="58" t="str">
        <f>IF(ABS(F193-AA193)&lt;0.01,"ok","err")</f>
        <v>ok</v>
      </c>
    </row>
    <row r="194" spans="1:28" hidden="1">
      <c r="A194" s="60" t="s">
        <v>1133</v>
      </c>
      <c r="D194" s="60" t="s">
        <v>459</v>
      </c>
      <c r="F194" s="76">
        <f>SUM(F191:F193)</f>
        <v>22151694.551854581</v>
      </c>
      <c r="G194" s="76">
        <f t="shared" ref="G194:W194" si="88">SUM(G191:G193)</f>
        <v>9843945.0934296139</v>
      </c>
      <c r="H194" s="76">
        <f t="shared" si="88"/>
        <v>2833552.1934413416</v>
      </c>
      <c r="I194" s="76">
        <f t="shared" si="88"/>
        <v>0</v>
      </c>
      <c r="J194" s="76">
        <f t="shared" si="88"/>
        <v>251763.59360683861</v>
      </c>
      <c r="K194" s="76">
        <f t="shared" si="88"/>
        <v>2922121.3850279599</v>
      </c>
      <c r="L194" s="76">
        <f t="shared" si="88"/>
        <v>0</v>
      </c>
      <c r="M194" s="76">
        <f t="shared" si="88"/>
        <v>0</v>
      </c>
      <c r="N194" s="76">
        <f t="shared" si="88"/>
        <v>2658238.7789754085</v>
      </c>
      <c r="O194" s="76">
        <f>SUM(O191:O193)</f>
        <v>1578322.6756343157</v>
      </c>
      <c r="P194" s="76">
        <f t="shared" si="88"/>
        <v>1634854.5105856331</v>
      </c>
      <c r="Q194" s="76">
        <f t="shared" si="88"/>
        <v>164800.53281259272</v>
      </c>
      <c r="R194" s="76">
        <f t="shared" si="88"/>
        <v>86258.969885143466</v>
      </c>
      <c r="S194" s="76">
        <f t="shared" si="88"/>
        <v>169926.37865111072</v>
      </c>
      <c r="T194" s="76">
        <f t="shared" si="88"/>
        <v>5434.7361067974307</v>
      </c>
      <c r="U194" s="76">
        <f t="shared" si="88"/>
        <v>2475.7036978294514</v>
      </c>
      <c r="V194" s="76">
        <f t="shared" si="88"/>
        <v>0</v>
      </c>
      <c r="W194" s="76">
        <f t="shared" si="88"/>
        <v>0</v>
      </c>
      <c r="X194" s="62">
        <f>SUM(X191:X193)</f>
        <v>0</v>
      </c>
      <c r="Y194" s="62">
        <f>SUM(Y191:Y193)</f>
        <v>0</v>
      </c>
      <c r="Z194" s="62">
        <f>SUM(Z191:Z193)</f>
        <v>0</v>
      </c>
      <c r="AA194" s="64">
        <f>SUM(G194:Z194)</f>
        <v>22151694.551854592</v>
      </c>
      <c r="AB194" s="58" t="str">
        <f>IF(ABS(F194-AA194)&lt;0.01,"ok","err")</f>
        <v>ok</v>
      </c>
    </row>
    <row r="195" spans="1:28">
      <c r="F195" s="79"/>
      <c r="G195" s="79"/>
    </row>
    <row r="196" spans="1:28" ht="15">
      <c r="A196" s="65" t="s">
        <v>348</v>
      </c>
      <c r="F196" s="79"/>
      <c r="G196" s="79"/>
    </row>
    <row r="197" spans="1:28">
      <c r="A197" s="68" t="s">
        <v>372</v>
      </c>
      <c r="C197" s="60" t="s">
        <v>1068</v>
      </c>
      <c r="D197" s="60" t="s">
        <v>460</v>
      </c>
      <c r="E197" s="60" t="s">
        <v>1368</v>
      </c>
      <c r="F197" s="76">
        <f>VLOOKUP(C197,'Functional Assignment'!$C$2:$AP$780,'Functional Assignment'!$Q$2,)</f>
        <v>0</v>
      </c>
      <c r="G197" s="76">
        <f t="shared" ref="G197:Z197" si="89">IF(VLOOKUP($E197,$D$6:$AN$1131,3,)=0,0,(VLOOKUP($E197,$D$6:$AN$1131,G$2,)/VLOOKUP($E197,$D$6:$AN$1131,3,))*$F197)</f>
        <v>0</v>
      </c>
      <c r="H197" s="76">
        <f t="shared" si="89"/>
        <v>0</v>
      </c>
      <c r="I197" s="76">
        <f t="shared" si="89"/>
        <v>0</v>
      </c>
      <c r="J197" s="76">
        <f t="shared" si="89"/>
        <v>0</v>
      </c>
      <c r="K197" s="76">
        <f t="shared" si="89"/>
        <v>0</v>
      </c>
      <c r="L197" s="76">
        <f t="shared" si="89"/>
        <v>0</v>
      </c>
      <c r="M197" s="76">
        <f t="shared" si="89"/>
        <v>0</v>
      </c>
      <c r="N197" s="76">
        <f t="shared" si="89"/>
        <v>0</v>
      </c>
      <c r="O197" s="76">
        <f t="shared" si="89"/>
        <v>0</v>
      </c>
      <c r="P197" s="76">
        <f t="shared" si="89"/>
        <v>0</v>
      </c>
      <c r="Q197" s="76">
        <f t="shared" si="89"/>
        <v>0</v>
      </c>
      <c r="R197" s="76">
        <f t="shared" si="89"/>
        <v>0</v>
      </c>
      <c r="S197" s="76">
        <f t="shared" si="89"/>
        <v>0</v>
      </c>
      <c r="T197" s="76">
        <f t="shared" si="89"/>
        <v>0</v>
      </c>
      <c r="U197" s="76">
        <f t="shared" si="89"/>
        <v>0</v>
      </c>
      <c r="V197" s="76">
        <f t="shared" si="89"/>
        <v>0</v>
      </c>
      <c r="W197" s="76">
        <f t="shared" si="89"/>
        <v>0</v>
      </c>
      <c r="X197" s="62">
        <f t="shared" si="89"/>
        <v>0</v>
      </c>
      <c r="Y197" s="62">
        <f t="shared" si="89"/>
        <v>0</v>
      </c>
      <c r="Z197" s="62">
        <f t="shared" si="89"/>
        <v>0</v>
      </c>
      <c r="AA197" s="64">
        <f>SUM(G197:Z197)</f>
        <v>0</v>
      </c>
      <c r="AB197" s="58" t="str">
        <f>IF(ABS(F197-AA197)&lt;0.01,"ok","err")</f>
        <v>ok</v>
      </c>
    </row>
    <row r="198" spans="1:28">
      <c r="F198" s="79"/>
    </row>
    <row r="199" spans="1:28" ht="15">
      <c r="A199" s="65" t="s">
        <v>349</v>
      </c>
      <c r="F199" s="79"/>
      <c r="G199" s="79"/>
    </row>
    <row r="200" spans="1:28">
      <c r="A200" s="68" t="s">
        <v>374</v>
      </c>
      <c r="C200" s="60" t="s">
        <v>1068</v>
      </c>
      <c r="D200" s="60" t="s">
        <v>461</v>
      </c>
      <c r="E200" s="60" t="s">
        <v>1368</v>
      </c>
      <c r="F200" s="76">
        <f>VLOOKUP(C200,'Functional Assignment'!$C$2:$AP$780,'Functional Assignment'!$R$2,)</f>
        <v>8189264.474252278</v>
      </c>
      <c r="G200" s="76">
        <f t="shared" ref="G200:Z200" si="90">IF(VLOOKUP($E200,$D$6:$AN$1131,3,)=0,0,(VLOOKUP($E200,$D$6:$AN$1131,G$2,)/VLOOKUP($E200,$D$6:$AN$1131,3,))*$F200)</f>
        <v>3929195.2209969661</v>
      </c>
      <c r="H200" s="76">
        <f t="shared" si="90"/>
        <v>1131007.9070175178</v>
      </c>
      <c r="I200" s="76">
        <f t="shared" si="90"/>
        <v>0</v>
      </c>
      <c r="J200" s="76">
        <f t="shared" si="90"/>
        <v>100491.04291340245</v>
      </c>
      <c r="K200" s="76">
        <f t="shared" si="90"/>
        <v>1166360.1607132424</v>
      </c>
      <c r="L200" s="76">
        <f t="shared" si="90"/>
        <v>0</v>
      </c>
      <c r="M200" s="76">
        <f t="shared" si="90"/>
        <v>0</v>
      </c>
      <c r="N200" s="76">
        <f t="shared" si="90"/>
        <v>1061031.8330188955</v>
      </c>
      <c r="O200" s="76">
        <f t="shared" si="90"/>
        <v>629985.01672187739</v>
      </c>
      <c r="P200" s="76">
        <f t="shared" si="90"/>
        <v>0</v>
      </c>
      <c r="Q200" s="76">
        <f t="shared" si="90"/>
        <v>65779.873800514411</v>
      </c>
      <c r="R200" s="76">
        <f t="shared" si="90"/>
        <v>34430.132332518413</v>
      </c>
      <c r="S200" s="76">
        <f t="shared" si="90"/>
        <v>67825.847115188313</v>
      </c>
      <c r="T200" s="76">
        <f t="shared" si="90"/>
        <v>2169.2663800472683</v>
      </c>
      <c r="U200" s="76">
        <f t="shared" si="90"/>
        <v>988.17324210886522</v>
      </c>
      <c r="V200" s="76">
        <f t="shared" si="90"/>
        <v>0</v>
      </c>
      <c r="W200" s="76">
        <f t="shared" si="90"/>
        <v>0</v>
      </c>
      <c r="X200" s="62">
        <f t="shared" si="90"/>
        <v>0</v>
      </c>
      <c r="Y200" s="62">
        <f t="shared" si="90"/>
        <v>0</v>
      </c>
      <c r="Z200" s="62">
        <f t="shared" si="90"/>
        <v>0</v>
      </c>
      <c r="AA200" s="64">
        <f>SUM(G200:Z200)</f>
        <v>8189264.4742522789</v>
      </c>
      <c r="AB200" s="58" t="str">
        <f>IF(ABS(F200-AA200)&lt;0.01,"ok","err")</f>
        <v>ok</v>
      </c>
    </row>
    <row r="201" spans="1:28">
      <c r="F201" s="79"/>
    </row>
    <row r="202" spans="1:28" ht="15">
      <c r="A202" s="65" t="s">
        <v>373</v>
      </c>
      <c r="F202" s="79"/>
    </row>
    <row r="203" spans="1:28">
      <c r="A203" s="68" t="s">
        <v>623</v>
      </c>
      <c r="C203" s="60" t="s">
        <v>1068</v>
      </c>
      <c r="D203" s="60" t="s">
        <v>462</v>
      </c>
      <c r="E203" s="60" t="s">
        <v>1368</v>
      </c>
      <c r="F203" s="76">
        <f>VLOOKUP(C203,'Functional Assignment'!$C$2:$AP$780,'Functional Assignment'!$S$2,)</f>
        <v>0</v>
      </c>
      <c r="G203" s="76">
        <f t="shared" ref="G203:P207" si="91">IF(VLOOKUP($E203,$D$6:$AN$1131,3,)=0,0,(VLOOKUP($E203,$D$6:$AN$1131,G$2,)/VLOOKUP($E203,$D$6:$AN$1131,3,))*$F203)</f>
        <v>0</v>
      </c>
      <c r="H203" s="76">
        <f t="shared" si="91"/>
        <v>0</v>
      </c>
      <c r="I203" s="76">
        <f t="shared" si="91"/>
        <v>0</v>
      </c>
      <c r="J203" s="76">
        <f t="shared" si="91"/>
        <v>0</v>
      </c>
      <c r="K203" s="76">
        <f t="shared" si="91"/>
        <v>0</v>
      </c>
      <c r="L203" s="76">
        <f t="shared" si="91"/>
        <v>0</v>
      </c>
      <c r="M203" s="76">
        <f t="shared" si="91"/>
        <v>0</v>
      </c>
      <c r="N203" s="76">
        <f t="shared" si="91"/>
        <v>0</v>
      </c>
      <c r="O203" s="76">
        <f t="shared" si="91"/>
        <v>0</v>
      </c>
      <c r="P203" s="76">
        <f t="shared" si="91"/>
        <v>0</v>
      </c>
      <c r="Q203" s="76">
        <f t="shared" ref="Q203:Z207" si="92">IF(VLOOKUP($E203,$D$6:$AN$1131,3,)=0,0,(VLOOKUP($E203,$D$6:$AN$1131,Q$2,)/VLOOKUP($E203,$D$6:$AN$1131,3,))*$F203)</f>
        <v>0</v>
      </c>
      <c r="R203" s="76">
        <f t="shared" si="92"/>
        <v>0</v>
      </c>
      <c r="S203" s="76">
        <f t="shared" si="92"/>
        <v>0</v>
      </c>
      <c r="T203" s="76">
        <f t="shared" si="92"/>
        <v>0</v>
      </c>
      <c r="U203" s="76">
        <f t="shared" si="92"/>
        <v>0</v>
      </c>
      <c r="V203" s="76">
        <f t="shared" si="92"/>
        <v>0</v>
      </c>
      <c r="W203" s="76">
        <f t="shared" si="92"/>
        <v>0</v>
      </c>
      <c r="X203" s="62">
        <f t="shared" si="92"/>
        <v>0</v>
      </c>
      <c r="Y203" s="62">
        <f t="shared" si="92"/>
        <v>0</v>
      </c>
      <c r="Z203" s="62">
        <f t="shared" si="92"/>
        <v>0</v>
      </c>
      <c r="AA203" s="64">
        <f t="shared" ref="AA203:AA208" si="93">SUM(G203:Z203)</f>
        <v>0</v>
      </c>
      <c r="AB203" s="58" t="str">
        <f t="shared" ref="AB203:AB208" si="94">IF(ABS(F203-AA203)&lt;0.01,"ok","err")</f>
        <v>ok</v>
      </c>
    </row>
    <row r="204" spans="1:28">
      <c r="A204" s="68" t="s">
        <v>624</v>
      </c>
      <c r="C204" s="60" t="s">
        <v>1068</v>
      </c>
      <c r="D204" s="60" t="s">
        <v>463</v>
      </c>
      <c r="E204" s="60" t="s">
        <v>1368</v>
      </c>
      <c r="F204" s="79">
        <f>VLOOKUP(C204,'Functional Assignment'!$C$2:$AP$780,'Functional Assignment'!$T$2,)</f>
        <v>14230157.677818516</v>
      </c>
      <c r="G204" s="79">
        <f t="shared" si="91"/>
        <v>6827605.5459575262</v>
      </c>
      <c r="H204" s="79">
        <f t="shared" si="91"/>
        <v>1965307.2510139302</v>
      </c>
      <c r="I204" s="79">
        <f t="shared" si="91"/>
        <v>0</v>
      </c>
      <c r="J204" s="79">
        <f t="shared" si="91"/>
        <v>174619.27018747435</v>
      </c>
      <c r="K204" s="79">
        <f t="shared" si="91"/>
        <v>2026737.4497745258</v>
      </c>
      <c r="L204" s="79">
        <f t="shared" si="91"/>
        <v>0</v>
      </c>
      <c r="M204" s="79">
        <f t="shared" si="91"/>
        <v>0</v>
      </c>
      <c r="N204" s="79">
        <f t="shared" si="91"/>
        <v>1843712.623095162</v>
      </c>
      <c r="O204" s="79">
        <f t="shared" si="91"/>
        <v>1094699.7927349245</v>
      </c>
      <c r="P204" s="79">
        <f t="shared" si="91"/>
        <v>0</v>
      </c>
      <c r="Q204" s="79">
        <f t="shared" si="92"/>
        <v>114303.05849217187</v>
      </c>
      <c r="R204" s="79">
        <f t="shared" si="92"/>
        <v>59827.865310776768</v>
      </c>
      <c r="S204" s="79">
        <f t="shared" si="92"/>
        <v>117858.26457495954</v>
      </c>
      <c r="T204" s="79">
        <f t="shared" si="92"/>
        <v>3769.447516357287</v>
      </c>
      <c r="U204" s="79">
        <f t="shared" si="92"/>
        <v>1717.1091607093572</v>
      </c>
      <c r="V204" s="79">
        <f t="shared" si="92"/>
        <v>0</v>
      </c>
      <c r="W204" s="79">
        <f t="shared" si="92"/>
        <v>0</v>
      </c>
      <c r="X204" s="63">
        <f t="shared" si="92"/>
        <v>0</v>
      </c>
      <c r="Y204" s="63">
        <f t="shared" si="92"/>
        <v>0</v>
      </c>
      <c r="Z204" s="63">
        <f t="shared" si="92"/>
        <v>0</v>
      </c>
      <c r="AA204" s="63">
        <f t="shared" si="93"/>
        <v>14230157.677818522</v>
      </c>
      <c r="AB204" s="58" t="str">
        <f t="shared" si="94"/>
        <v>ok</v>
      </c>
    </row>
    <row r="205" spans="1:28">
      <c r="A205" s="68" t="s">
        <v>625</v>
      </c>
      <c r="C205" s="60" t="s">
        <v>1068</v>
      </c>
      <c r="D205" s="60" t="s">
        <v>464</v>
      </c>
      <c r="E205" s="60" t="s">
        <v>698</v>
      </c>
      <c r="F205" s="79">
        <f>VLOOKUP(C205,'Functional Assignment'!$C$2:$AP$780,'Functional Assignment'!$U$2,)</f>
        <v>21300716.352424528</v>
      </c>
      <c r="G205" s="79">
        <f t="shared" si="91"/>
        <v>18363629.498836197</v>
      </c>
      <c r="H205" s="79">
        <f t="shared" si="91"/>
        <v>2281501.2191092493</v>
      </c>
      <c r="I205" s="79">
        <f t="shared" si="91"/>
        <v>0</v>
      </c>
      <c r="J205" s="79">
        <f t="shared" si="91"/>
        <v>3631.277223862457</v>
      </c>
      <c r="K205" s="79">
        <f t="shared" si="91"/>
        <v>142435.16795914198</v>
      </c>
      <c r="L205" s="79">
        <f t="shared" si="91"/>
        <v>0</v>
      </c>
      <c r="M205" s="79">
        <f t="shared" si="91"/>
        <v>0</v>
      </c>
      <c r="N205" s="79">
        <f t="shared" si="91"/>
        <v>5320.8298210762396</v>
      </c>
      <c r="O205" s="79">
        <f t="shared" si="91"/>
        <v>13919.896024806085</v>
      </c>
      <c r="P205" s="79">
        <f t="shared" si="91"/>
        <v>0</v>
      </c>
      <c r="Q205" s="79">
        <f t="shared" si="92"/>
        <v>50.434405886978567</v>
      </c>
      <c r="R205" s="79">
        <f t="shared" si="92"/>
        <v>50.434405886978567</v>
      </c>
      <c r="S205" s="79">
        <f t="shared" si="92"/>
        <v>484181.50416074693</v>
      </c>
      <c r="T205" s="79">
        <f t="shared" si="92"/>
        <v>924.63077459460703</v>
      </c>
      <c r="U205" s="79">
        <f t="shared" si="92"/>
        <v>5071.4597030795121</v>
      </c>
      <c r="V205" s="79">
        <f t="shared" si="92"/>
        <v>0</v>
      </c>
      <c r="W205" s="79">
        <f t="shared" si="92"/>
        <v>0</v>
      </c>
      <c r="X205" s="63">
        <f t="shared" si="92"/>
        <v>0</v>
      </c>
      <c r="Y205" s="63">
        <f t="shared" si="92"/>
        <v>0</v>
      </c>
      <c r="Z205" s="63">
        <f t="shared" si="92"/>
        <v>0</v>
      </c>
      <c r="AA205" s="63">
        <f t="shared" si="93"/>
        <v>21300716.352424525</v>
      </c>
      <c r="AB205" s="58" t="str">
        <f t="shared" si="94"/>
        <v>ok</v>
      </c>
    </row>
    <row r="206" spans="1:28">
      <c r="A206" s="68" t="s">
        <v>626</v>
      </c>
      <c r="C206" s="60" t="s">
        <v>1068</v>
      </c>
      <c r="D206" s="60" t="s">
        <v>465</v>
      </c>
      <c r="E206" s="60" t="s">
        <v>678</v>
      </c>
      <c r="F206" s="79">
        <f>VLOOKUP(C206,'Functional Assignment'!$C$2:$AP$780,'Functional Assignment'!$V$2,)</f>
        <v>4785490.0157958288</v>
      </c>
      <c r="G206" s="79">
        <f t="shared" si="91"/>
        <v>4016021.5948013803</v>
      </c>
      <c r="H206" s="79">
        <f t="shared" si="91"/>
        <v>734913.83828476153</v>
      </c>
      <c r="I206" s="79">
        <f t="shared" si="91"/>
        <v>0</v>
      </c>
      <c r="J206" s="79">
        <f t="shared" si="91"/>
        <v>0</v>
      </c>
      <c r="K206" s="79">
        <f t="shared" si="91"/>
        <v>0</v>
      </c>
      <c r="L206" s="79">
        <f t="shared" si="91"/>
        <v>0</v>
      </c>
      <c r="M206" s="79">
        <f t="shared" si="91"/>
        <v>0</v>
      </c>
      <c r="N206" s="79">
        <f t="shared" si="91"/>
        <v>0</v>
      </c>
      <c r="O206" s="79">
        <f t="shared" si="91"/>
        <v>0</v>
      </c>
      <c r="P206" s="79">
        <f t="shared" si="91"/>
        <v>0</v>
      </c>
      <c r="Q206" s="79">
        <f t="shared" si="92"/>
        <v>0</v>
      </c>
      <c r="R206" s="79">
        <f t="shared" si="92"/>
        <v>0</v>
      </c>
      <c r="S206" s="79">
        <f t="shared" si="92"/>
        <v>33017.54471680976</v>
      </c>
      <c r="T206" s="79">
        <f t="shared" si="92"/>
        <v>1055.9963900523685</v>
      </c>
      <c r="U206" s="79">
        <f t="shared" si="92"/>
        <v>481.04160282545331</v>
      </c>
      <c r="V206" s="79">
        <f t="shared" si="92"/>
        <v>0</v>
      </c>
      <c r="W206" s="79">
        <f t="shared" si="92"/>
        <v>0</v>
      </c>
      <c r="X206" s="63">
        <f t="shared" si="92"/>
        <v>0</v>
      </c>
      <c r="Y206" s="63">
        <f t="shared" si="92"/>
        <v>0</v>
      </c>
      <c r="Z206" s="63">
        <f t="shared" si="92"/>
        <v>0</v>
      </c>
      <c r="AA206" s="63">
        <f t="shared" si="93"/>
        <v>4785490.0157958297</v>
      </c>
      <c r="AB206" s="58" t="str">
        <f t="shared" si="94"/>
        <v>ok</v>
      </c>
    </row>
    <row r="207" spans="1:28">
      <c r="A207" s="68" t="s">
        <v>627</v>
      </c>
      <c r="C207" s="60" t="s">
        <v>1068</v>
      </c>
      <c r="D207" s="60" t="s">
        <v>466</v>
      </c>
      <c r="E207" s="60" t="s">
        <v>697</v>
      </c>
      <c r="F207" s="79">
        <f>VLOOKUP(C207,'Functional Assignment'!$C$2:$AP$780,'Functional Assignment'!$W$2,)</f>
        <v>7030140.6081471965</v>
      </c>
      <c r="G207" s="79">
        <f t="shared" si="91"/>
        <v>6108209.8043430578</v>
      </c>
      <c r="H207" s="79">
        <f t="shared" si="91"/>
        <v>758885.28006225289</v>
      </c>
      <c r="I207" s="79">
        <f t="shared" si="91"/>
        <v>0</v>
      </c>
      <c r="J207" s="79">
        <f t="shared" si="91"/>
        <v>0</v>
      </c>
      <c r="K207" s="79">
        <f t="shared" si="91"/>
        <v>0</v>
      </c>
      <c r="L207" s="79">
        <f t="shared" si="91"/>
        <v>0</v>
      </c>
      <c r="M207" s="79">
        <f t="shared" si="91"/>
        <v>0</v>
      </c>
      <c r="N207" s="79">
        <f t="shared" si="91"/>
        <v>0</v>
      </c>
      <c r="O207" s="79">
        <f t="shared" si="91"/>
        <v>0</v>
      </c>
      <c r="P207" s="79">
        <f t="shared" si="91"/>
        <v>0</v>
      </c>
      <c r="Q207" s="79">
        <f t="shared" si="92"/>
        <v>0</v>
      </c>
      <c r="R207" s="79">
        <f t="shared" si="92"/>
        <v>0</v>
      </c>
      <c r="S207" s="79">
        <f t="shared" si="92"/>
        <v>161051.07168404126</v>
      </c>
      <c r="T207" s="79">
        <f t="shared" si="92"/>
        <v>307.55569116301484</v>
      </c>
      <c r="U207" s="79">
        <f t="shared" si="92"/>
        <v>1686.8963666819907</v>
      </c>
      <c r="V207" s="79">
        <f t="shared" si="92"/>
        <v>0</v>
      </c>
      <c r="W207" s="79">
        <f t="shared" si="92"/>
        <v>0</v>
      </c>
      <c r="X207" s="63">
        <f t="shared" si="92"/>
        <v>0</v>
      </c>
      <c r="Y207" s="63">
        <f t="shared" si="92"/>
        <v>0</v>
      </c>
      <c r="Z207" s="63">
        <f t="shared" si="92"/>
        <v>0</v>
      </c>
      <c r="AA207" s="63">
        <f t="shared" si="93"/>
        <v>7030140.6081471965</v>
      </c>
      <c r="AB207" s="58" t="str">
        <f t="shared" si="94"/>
        <v>ok</v>
      </c>
    </row>
    <row r="208" spans="1:28">
      <c r="A208" s="60" t="s">
        <v>378</v>
      </c>
      <c r="D208" s="60" t="s">
        <v>467</v>
      </c>
      <c r="F208" s="76">
        <f>SUM(F203:F207)</f>
        <v>47346504.65418607</v>
      </c>
      <c r="G208" s="76">
        <f t="shared" ref="G208:W208" si="95">SUM(G203:G207)</f>
        <v>35315466.443938166</v>
      </c>
      <c r="H208" s="76">
        <f t="shared" si="95"/>
        <v>5740607.5884701936</v>
      </c>
      <c r="I208" s="76">
        <f t="shared" si="95"/>
        <v>0</v>
      </c>
      <c r="J208" s="76">
        <f t="shared" si="95"/>
        <v>178250.5474113368</v>
      </c>
      <c r="K208" s="76">
        <f t="shared" si="95"/>
        <v>2169172.6177336676</v>
      </c>
      <c r="L208" s="76">
        <f t="shared" si="95"/>
        <v>0</v>
      </c>
      <c r="M208" s="76">
        <f t="shared" si="95"/>
        <v>0</v>
      </c>
      <c r="N208" s="76">
        <f t="shared" si="95"/>
        <v>1849033.4529162382</v>
      </c>
      <c r="O208" s="76">
        <f>SUM(O203:O207)</f>
        <v>1108619.6887597307</v>
      </c>
      <c r="P208" s="76">
        <f t="shared" si="95"/>
        <v>0</v>
      </c>
      <c r="Q208" s="76">
        <f t="shared" si="95"/>
        <v>114353.49289805884</v>
      </c>
      <c r="R208" s="76">
        <f t="shared" si="95"/>
        <v>59878.299716663743</v>
      </c>
      <c r="S208" s="76">
        <f t="shared" si="95"/>
        <v>796108.38513655751</v>
      </c>
      <c r="T208" s="76">
        <f t="shared" si="95"/>
        <v>6057.6303721672766</v>
      </c>
      <c r="U208" s="76">
        <f t="shared" si="95"/>
        <v>8956.5068332963128</v>
      </c>
      <c r="V208" s="76">
        <f t="shared" si="95"/>
        <v>0</v>
      </c>
      <c r="W208" s="76">
        <f t="shared" si="95"/>
        <v>0</v>
      </c>
      <c r="X208" s="62">
        <f>SUM(X203:X207)</f>
        <v>0</v>
      </c>
      <c r="Y208" s="62">
        <f>SUM(Y203:Y207)</f>
        <v>0</v>
      </c>
      <c r="Z208" s="62">
        <f>SUM(Z203:Z207)</f>
        <v>0</v>
      </c>
      <c r="AA208" s="64">
        <f t="shared" si="93"/>
        <v>47346504.654186077</v>
      </c>
      <c r="AB208" s="58" t="str">
        <f t="shared" si="94"/>
        <v>ok</v>
      </c>
    </row>
    <row r="209" spans="1:28">
      <c r="F209" s="79"/>
    </row>
    <row r="210" spans="1:28" ht="15">
      <c r="A210" s="65" t="s">
        <v>634</v>
      </c>
      <c r="F210" s="79"/>
    </row>
    <row r="211" spans="1:28">
      <c r="A211" s="68" t="s">
        <v>1090</v>
      </c>
      <c r="C211" s="60" t="s">
        <v>1068</v>
      </c>
      <c r="D211" s="60" t="s">
        <v>468</v>
      </c>
      <c r="E211" s="60" t="s">
        <v>1336</v>
      </c>
      <c r="F211" s="76">
        <f>VLOOKUP(C211,'Functional Assignment'!$C$2:$AP$780,'Functional Assignment'!$X$2,)</f>
        <v>1119996.1920663603</v>
      </c>
      <c r="G211" s="76">
        <f t="shared" ref="G211:P212" si="96">IF(VLOOKUP($E211,$D$6:$AN$1131,3,)=0,0,(VLOOKUP($E211,$D$6:$AN$1131,G$2,)/VLOOKUP($E211,$D$6:$AN$1131,3,))*$F211)</f>
        <v>777054.17724206764</v>
      </c>
      <c r="H211" s="76">
        <f t="shared" si="96"/>
        <v>142197.40966816651</v>
      </c>
      <c r="I211" s="76">
        <f t="shared" si="96"/>
        <v>0</v>
      </c>
      <c r="J211" s="76">
        <f t="shared" si="96"/>
        <v>0</v>
      </c>
      <c r="K211" s="76">
        <f t="shared" si="96"/>
        <v>125234.26578102716</v>
      </c>
      <c r="L211" s="76">
        <f t="shared" si="96"/>
        <v>0</v>
      </c>
      <c r="M211" s="76">
        <f t="shared" si="96"/>
        <v>0</v>
      </c>
      <c r="N211" s="76">
        <f t="shared" si="96"/>
        <v>0</v>
      </c>
      <c r="O211" s="76">
        <f t="shared" si="96"/>
        <v>68824.423424802284</v>
      </c>
      <c r="P211" s="76">
        <f t="shared" si="96"/>
        <v>0</v>
      </c>
      <c r="Q211" s="76">
        <f t="shared" ref="Q211:Z212" si="97">IF(VLOOKUP($E211,$D$6:$AN$1131,3,)=0,0,(VLOOKUP($E211,$D$6:$AN$1131,Q$2,)/VLOOKUP($E211,$D$6:$AN$1131,3,))*$F211)</f>
        <v>0</v>
      </c>
      <c r="R211" s="76">
        <f t="shared" si="97"/>
        <v>0</v>
      </c>
      <c r="S211" s="76">
        <f t="shared" si="97"/>
        <v>6388.5167046126589</v>
      </c>
      <c r="T211" s="76">
        <f t="shared" si="97"/>
        <v>204.32320560848959</v>
      </c>
      <c r="U211" s="76">
        <f t="shared" si="97"/>
        <v>93.076040075731925</v>
      </c>
      <c r="V211" s="76">
        <f t="shared" si="97"/>
        <v>0</v>
      </c>
      <c r="W211" s="76">
        <f t="shared" si="97"/>
        <v>0</v>
      </c>
      <c r="X211" s="62">
        <f t="shared" si="97"/>
        <v>0</v>
      </c>
      <c r="Y211" s="62">
        <f t="shared" si="97"/>
        <v>0</v>
      </c>
      <c r="Z211" s="62">
        <f t="shared" si="97"/>
        <v>0</v>
      </c>
      <c r="AA211" s="64">
        <f>SUM(G211:Z211)</f>
        <v>1119996.1920663603</v>
      </c>
      <c r="AB211" s="58" t="str">
        <f>IF(ABS(F211-AA211)&lt;0.01,"ok","err")</f>
        <v>ok</v>
      </c>
    </row>
    <row r="212" spans="1:28">
      <c r="A212" s="68" t="s">
        <v>1093</v>
      </c>
      <c r="C212" s="60" t="s">
        <v>1068</v>
      </c>
      <c r="D212" s="60" t="s">
        <v>469</v>
      </c>
      <c r="E212" s="60" t="s">
        <v>1334</v>
      </c>
      <c r="F212" s="79">
        <f>VLOOKUP(C212,'Functional Assignment'!$C$2:$AP$780,'Functional Assignment'!$Y$2,)</f>
        <v>783271.9734913212</v>
      </c>
      <c r="G212" s="79">
        <f t="shared" si="96"/>
        <v>675556.25239907869</v>
      </c>
      <c r="H212" s="79">
        <f t="shared" si="96"/>
        <v>83931.251908728271</v>
      </c>
      <c r="I212" s="79">
        <f t="shared" si="96"/>
        <v>0</v>
      </c>
      <c r="J212" s="79">
        <f t="shared" si="96"/>
        <v>0</v>
      </c>
      <c r="K212" s="79">
        <f t="shared" si="96"/>
        <v>5239.8665679031192</v>
      </c>
      <c r="L212" s="79">
        <f t="shared" si="96"/>
        <v>0</v>
      </c>
      <c r="M212" s="79">
        <f t="shared" si="96"/>
        <v>0</v>
      </c>
      <c r="N212" s="79">
        <f t="shared" si="96"/>
        <v>0</v>
      </c>
      <c r="O212" s="79">
        <f t="shared" si="96"/>
        <v>512.08138308926323</v>
      </c>
      <c r="P212" s="79">
        <f t="shared" si="96"/>
        <v>0</v>
      </c>
      <c r="Q212" s="79">
        <f t="shared" si="97"/>
        <v>0</v>
      </c>
      <c r="R212" s="79">
        <f t="shared" si="97"/>
        <v>0</v>
      </c>
      <c r="S212" s="79">
        <f t="shared" si="97"/>
        <v>17811.938672173321</v>
      </c>
      <c r="T212" s="79">
        <f t="shared" si="97"/>
        <v>34.015067717281973</v>
      </c>
      <c r="U212" s="79">
        <f t="shared" si="97"/>
        <v>186.56749263115267</v>
      </c>
      <c r="V212" s="79">
        <f t="shared" si="97"/>
        <v>0</v>
      </c>
      <c r="W212" s="79">
        <f t="shared" si="97"/>
        <v>0</v>
      </c>
      <c r="X212" s="63">
        <f t="shared" si="97"/>
        <v>0</v>
      </c>
      <c r="Y212" s="63">
        <f t="shared" si="97"/>
        <v>0</v>
      </c>
      <c r="Z212" s="63">
        <f t="shared" si="97"/>
        <v>0</v>
      </c>
      <c r="AA212" s="63">
        <f>SUM(G212:Z212)</f>
        <v>783271.97349132109</v>
      </c>
      <c r="AB212" s="58" t="str">
        <f>IF(ABS(F212-AA212)&lt;0.01,"ok","err")</f>
        <v>ok</v>
      </c>
    </row>
    <row r="213" spans="1:28">
      <c r="A213" s="60" t="s">
        <v>712</v>
      </c>
      <c r="D213" s="60" t="s">
        <v>470</v>
      </c>
      <c r="F213" s="76">
        <f>F211+F212</f>
        <v>1903268.1655576816</v>
      </c>
      <c r="G213" s="76">
        <f t="shared" ref="G213:W213" si="98">G211+G212</f>
        <v>1452610.4296411462</v>
      </c>
      <c r="H213" s="76">
        <f t="shared" si="98"/>
        <v>226128.66157689478</v>
      </c>
      <c r="I213" s="76">
        <f t="shared" si="98"/>
        <v>0</v>
      </c>
      <c r="J213" s="76">
        <f t="shared" si="98"/>
        <v>0</v>
      </c>
      <c r="K213" s="76">
        <f t="shared" si="98"/>
        <v>130474.13234893029</v>
      </c>
      <c r="L213" s="76">
        <f t="shared" si="98"/>
        <v>0</v>
      </c>
      <c r="M213" s="76">
        <f t="shared" si="98"/>
        <v>0</v>
      </c>
      <c r="N213" s="76">
        <f t="shared" si="98"/>
        <v>0</v>
      </c>
      <c r="O213" s="76">
        <f>O211+O212</f>
        <v>69336.504807891542</v>
      </c>
      <c r="P213" s="76">
        <f t="shared" si="98"/>
        <v>0</v>
      </c>
      <c r="Q213" s="76">
        <f t="shared" si="98"/>
        <v>0</v>
      </c>
      <c r="R213" s="76">
        <f t="shared" si="98"/>
        <v>0</v>
      </c>
      <c r="S213" s="76">
        <f t="shared" si="98"/>
        <v>24200.45537678598</v>
      </c>
      <c r="T213" s="76">
        <f t="shared" si="98"/>
        <v>238.33827332577155</v>
      </c>
      <c r="U213" s="76">
        <f t="shared" si="98"/>
        <v>279.64353270688457</v>
      </c>
      <c r="V213" s="76">
        <f t="shared" si="98"/>
        <v>0</v>
      </c>
      <c r="W213" s="76">
        <f t="shared" si="98"/>
        <v>0</v>
      </c>
      <c r="X213" s="62">
        <f>X211+X212</f>
        <v>0</v>
      </c>
      <c r="Y213" s="62">
        <f>Y211+Y212</f>
        <v>0</v>
      </c>
      <c r="Z213" s="62">
        <f>Z211+Z212</f>
        <v>0</v>
      </c>
      <c r="AA213" s="64">
        <f>SUM(G213:Z213)</f>
        <v>1903268.1655576814</v>
      </c>
      <c r="AB213" s="58" t="str">
        <f>IF(ABS(F213-AA213)&lt;0.01,"ok","err")</f>
        <v>ok</v>
      </c>
    </row>
    <row r="214" spans="1:28">
      <c r="F214" s="79"/>
    </row>
    <row r="215" spans="1:28" ht="15">
      <c r="A215" s="65" t="s">
        <v>354</v>
      </c>
      <c r="F215" s="79"/>
    </row>
    <row r="216" spans="1:28">
      <c r="A216" s="68" t="s">
        <v>1093</v>
      </c>
      <c r="C216" s="60" t="s">
        <v>1068</v>
      </c>
      <c r="D216" s="60" t="s">
        <v>471</v>
      </c>
      <c r="E216" s="60" t="s">
        <v>1095</v>
      </c>
      <c r="F216" s="76">
        <f>VLOOKUP(C216,'Functional Assignment'!$C$2:$AP$780,'Functional Assignment'!$Z$2,)</f>
        <v>295808.63373702235</v>
      </c>
      <c r="G216" s="76">
        <f t="shared" ref="G216:Z216" si="99">IF(VLOOKUP($E216,$D$6:$AN$1131,3,)=0,0,(VLOOKUP($E216,$D$6:$AN$1131,G$2,)/VLOOKUP($E216,$D$6:$AN$1131,3,))*$F216)</f>
        <v>227363.36734278357</v>
      </c>
      <c r="H216" s="76">
        <f t="shared" si="99"/>
        <v>57220.143549060216</v>
      </c>
      <c r="I216" s="76">
        <f t="shared" si="99"/>
        <v>0</v>
      </c>
      <c r="J216" s="76">
        <f t="shared" si="99"/>
        <v>0</v>
      </c>
      <c r="K216" s="76">
        <f t="shared" si="99"/>
        <v>9982.420670759846</v>
      </c>
      <c r="L216" s="76">
        <f t="shared" si="99"/>
        <v>0</v>
      </c>
      <c r="M216" s="76">
        <f t="shared" si="99"/>
        <v>0</v>
      </c>
      <c r="N216" s="76">
        <f t="shared" si="99"/>
        <v>0</v>
      </c>
      <c r="O216" s="76">
        <f t="shared" si="99"/>
        <v>1242.7021744186784</v>
      </c>
      <c r="P216" s="76">
        <f t="shared" si="99"/>
        <v>0</v>
      </c>
      <c r="Q216" s="76">
        <f t="shared" si="99"/>
        <v>0</v>
      </c>
      <c r="R216" s="76">
        <f t="shared" si="99"/>
        <v>0</v>
      </c>
      <c r="S216" s="76">
        <f t="shared" si="99"/>
        <v>0</v>
      </c>
      <c r="T216" s="76">
        <f t="shared" si="99"/>
        <v>0</v>
      </c>
      <c r="U216" s="76">
        <f t="shared" si="99"/>
        <v>0</v>
      </c>
      <c r="V216" s="76">
        <f t="shared" si="99"/>
        <v>0</v>
      </c>
      <c r="W216" s="76">
        <f t="shared" si="99"/>
        <v>0</v>
      </c>
      <c r="X216" s="62">
        <f t="shared" si="99"/>
        <v>0</v>
      </c>
      <c r="Y216" s="62">
        <f t="shared" si="99"/>
        <v>0</v>
      </c>
      <c r="Z216" s="62">
        <f t="shared" si="99"/>
        <v>0</v>
      </c>
      <c r="AA216" s="64">
        <f>SUM(G216:Z216)</f>
        <v>295808.63373702235</v>
      </c>
      <c r="AB216" s="58" t="str">
        <f>IF(ABS(F216-AA216)&lt;0.01,"ok","err")</f>
        <v>ok</v>
      </c>
    </row>
    <row r="217" spans="1:28">
      <c r="F217" s="79"/>
    </row>
    <row r="218" spans="1:28" ht="15">
      <c r="A218" s="65" t="s">
        <v>353</v>
      </c>
      <c r="F218" s="79"/>
    </row>
    <row r="219" spans="1:28">
      <c r="A219" s="68" t="s">
        <v>1093</v>
      </c>
      <c r="C219" s="60" t="s">
        <v>1068</v>
      </c>
      <c r="D219" s="60" t="s">
        <v>472</v>
      </c>
      <c r="E219" s="60" t="s">
        <v>1096</v>
      </c>
      <c r="F219" s="76">
        <f>VLOOKUP(C219,'Functional Assignment'!$C$2:$AP$780,'Functional Assignment'!$AA$2,)</f>
        <v>17171208.623644177</v>
      </c>
      <c r="G219" s="76">
        <f t="shared" ref="G219:Z219" si="100">IF(VLOOKUP($E219,$D$6:$AN$1131,3,)=0,0,(VLOOKUP($E219,$D$6:$AN$1131,G$2,)/VLOOKUP($E219,$D$6:$AN$1131,3,))*$F219)</f>
        <v>12018471.691272285</v>
      </c>
      <c r="H219" s="76">
        <f t="shared" si="100"/>
        <v>3533499.6633346044</v>
      </c>
      <c r="I219" s="76">
        <f t="shared" si="100"/>
        <v>0</v>
      </c>
      <c r="J219" s="76">
        <f t="shared" si="100"/>
        <v>137553.38642243267</v>
      </c>
      <c r="K219" s="76">
        <f t="shared" si="100"/>
        <v>950545.09597307001</v>
      </c>
      <c r="L219" s="76">
        <f t="shared" si="100"/>
        <v>0</v>
      </c>
      <c r="M219" s="76">
        <f t="shared" si="100"/>
        <v>0</v>
      </c>
      <c r="N219" s="76">
        <f t="shared" si="100"/>
        <v>215395.54424141604</v>
      </c>
      <c r="O219" s="76">
        <f t="shared" si="100"/>
        <v>100139.23380047597</v>
      </c>
      <c r="P219" s="76">
        <f t="shared" si="100"/>
        <v>176202.24911453691</v>
      </c>
      <c r="Q219" s="76">
        <f t="shared" si="100"/>
        <v>2041.6639264589198</v>
      </c>
      <c r="R219" s="76">
        <f t="shared" si="100"/>
        <v>2041.6639264589198</v>
      </c>
      <c r="S219" s="76">
        <f t="shared" si="100"/>
        <v>0</v>
      </c>
      <c r="T219" s="76">
        <f t="shared" si="100"/>
        <v>5446.3002050024197</v>
      </c>
      <c r="U219" s="76">
        <f t="shared" si="100"/>
        <v>29872.131427437515</v>
      </c>
      <c r="V219" s="76">
        <f t="shared" si="100"/>
        <v>0</v>
      </c>
      <c r="W219" s="76">
        <f t="shared" si="100"/>
        <v>0</v>
      </c>
      <c r="X219" s="62">
        <f t="shared" si="100"/>
        <v>0</v>
      </c>
      <c r="Y219" s="62">
        <f t="shared" si="100"/>
        <v>0</v>
      </c>
      <c r="Z219" s="62">
        <f t="shared" si="100"/>
        <v>0</v>
      </c>
      <c r="AA219" s="64">
        <f>SUM(G219:Z219)</f>
        <v>17171208.623644181</v>
      </c>
      <c r="AB219" s="58" t="str">
        <f>IF(ABS(F219-AA219)&lt;0.01,"ok","err")</f>
        <v>ok</v>
      </c>
    </row>
    <row r="220" spans="1:28">
      <c r="F220" s="79"/>
    </row>
    <row r="221" spans="1:28" ht="15">
      <c r="A221" s="65" t="s">
        <v>371</v>
      </c>
      <c r="F221" s="79"/>
    </row>
    <row r="222" spans="1:28">
      <c r="A222" s="68" t="s">
        <v>1093</v>
      </c>
      <c r="C222" s="60" t="s">
        <v>1068</v>
      </c>
      <c r="D222" s="60" t="s">
        <v>473</v>
      </c>
      <c r="E222" s="60" t="s">
        <v>1097</v>
      </c>
      <c r="F222" s="76">
        <f>VLOOKUP(C222,'Functional Assignment'!$C$2:$AP$780,'Functional Assignment'!$AB$2,)</f>
        <v>1306144.5579258415</v>
      </c>
      <c r="G222" s="76">
        <f t="shared" ref="G222:Z222" si="101">IF(VLOOKUP($E222,$D$6:$AN$1131,3,)=0,0,(VLOOKUP($E222,$D$6:$AN$1131,G$2,)/VLOOKUP($E222,$D$6:$AN$1131,3,))*$F222)</f>
        <v>0</v>
      </c>
      <c r="H222" s="76">
        <f t="shared" si="101"/>
        <v>0</v>
      </c>
      <c r="I222" s="76">
        <f t="shared" si="101"/>
        <v>0</v>
      </c>
      <c r="J222" s="76">
        <f t="shared" si="101"/>
        <v>0</v>
      </c>
      <c r="K222" s="76">
        <f t="shared" si="101"/>
        <v>0</v>
      </c>
      <c r="L222" s="76">
        <f t="shared" si="101"/>
        <v>0</v>
      </c>
      <c r="M222" s="76">
        <f t="shared" si="101"/>
        <v>0</v>
      </c>
      <c r="N222" s="76">
        <f t="shared" si="101"/>
        <v>0</v>
      </c>
      <c r="O222" s="76">
        <f t="shared" si="101"/>
        <v>0</v>
      </c>
      <c r="P222" s="76">
        <f t="shared" si="101"/>
        <v>0</v>
      </c>
      <c r="Q222" s="76">
        <f t="shared" si="101"/>
        <v>0</v>
      </c>
      <c r="R222" s="76">
        <f t="shared" si="101"/>
        <v>0</v>
      </c>
      <c r="S222" s="76">
        <f t="shared" si="101"/>
        <v>1306144.5579258415</v>
      </c>
      <c r="T222" s="76">
        <f t="shared" si="101"/>
        <v>0</v>
      </c>
      <c r="U222" s="76">
        <f t="shared" si="101"/>
        <v>0</v>
      </c>
      <c r="V222" s="76">
        <f t="shared" si="101"/>
        <v>0</v>
      </c>
      <c r="W222" s="76">
        <f t="shared" si="101"/>
        <v>0</v>
      </c>
      <c r="X222" s="62">
        <f t="shared" si="101"/>
        <v>0</v>
      </c>
      <c r="Y222" s="62">
        <f t="shared" si="101"/>
        <v>0</v>
      </c>
      <c r="Z222" s="62">
        <f t="shared" si="101"/>
        <v>0</v>
      </c>
      <c r="AA222" s="64">
        <f>SUM(G222:Z222)</f>
        <v>1306144.5579258415</v>
      </c>
      <c r="AB222" s="58" t="str">
        <f>IF(ABS(F222-AA222)&lt;0.01,"ok","err")</f>
        <v>ok</v>
      </c>
    </row>
    <row r="223" spans="1:28">
      <c r="F223" s="79"/>
    </row>
    <row r="224" spans="1:28" ht="15">
      <c r="A224" s="65" t="s">
        <v>1025</v>
      </c>
      <c r="F224" s="79"/>
    </row>
    <row r="225" spans="1:28">
      <c r="A225" s="68" t="s">
        <v>1093</v>
      </c>
      <c r="C225" s="60" t="s">
        <v>1068</v>
      </c>
      <c r="D225" s="60" t="s">
        <v>474</v>
      </c>
      <c r="E225" s="60" t="s">
        <v>1098</v>
      </c>
      <c r="F225" s="76">
        <f>VLOOKUP(C225,'Functional Assignment'!$C$2:$AP$780,'Functional Assignment'!$AC$2,)</f>
        <v>20585101.39846275</v>
      </c>
      <c r="G225" s="76">
        <f t="shared" ref="G225:Z225" si="102">IF(VLOOKUP($E225,$D$6:$AN$1131,3,)=0,0,(VLOOKUP($E225,$D$6:$AN$1131,G$2,)/VLOOKUP($E225,$D$6:$AN$1131,3,))*$F225)</f>
        <v>15338459.122367129</v>
      </c>
      <c r="H225" s="76">
        <f t="shared" si="102"/>
        <v>3811306.8213618449</v>
      </c>
      <c r="I225" s="76">
        <f t="shared" si="102"/>
        <v>0</v>
      </c>
      <c r="J225" s="76">
        <f t="shared" si="102"/>
        <v>15165.356408363334</v>
      </c>
      <c r="K225" s="76">
        <f t="shared" si="102"/>
        <v>594854.08411971456</v>
      </c>
      <c r="L225" s="76">
        <f t="shared" si="102"/>
        <v>0</v>
      </c>
      <c r="M225" s="76">
        <f t="shared" si="102"/>
        <v>0</v>
      </c>
      <c r="N225" s="76">
        <f t="shared" si="102"/>
        <v>111107.29868627303</v>
      </c>
      <c r="O225" s="76">
        <f t="shared" si="102"/>
        <v>290669.33116029721</v>
      </c>
      <c r="P225" s="76">
        <f t="shared" si="102"/>
        <v>13690.946757550231</v>
      </c>
      <c r="Q225" s="76">
        <f t="shared" si="102"/>
        <v>210.6299501161574</v>
      </c>
      <c r="R225" s="76">
        <f t="shared" si="102"/>
        <v>210.6299501161574</v>
      </c>
      <c r="S225" s="76">
        <f t="shared" si="102"/>
        <v>404418.86555413838</v>
      </c>
      <c r="T225" s="76">
        <f t="shared" si="102"/>
        <v>772.30981709257719</v>
      </c>
      <c r="U225" s="76">
        <f t="shared" si="102"/>
        <v>4236.0023301138317</v>
      </c>
      <c r="V225" s="76">
        <f t="shared" si="102"/>
        <v>0</v>
      </c>
      <c r="W225" s="76">
        <f t="shared" si="102"/>
        <v>0</v>
      </c>
      <c r="X225" s="62">
        <f t="shared" si="102"/>
        <v>0</v>
      </c>
      <c r="Y225" s="62">
        <f t="shared" si="102"/>
        <v>0</v>
      </c>
      <c r="Z225" s="62">
        <f t="shared" si="102"/>
        <v>0</v>
      </c>
      <c r="AA225" s="64">
        <f>SUM(G225:Z225)</f>
        <v>20585101.398462754</v>
      </c>
      <c r="AB225" s="58" t="str">
        <f>IF(ABS(F225-AA225)&lt;0.01,"ok","err")</f>
        <v>ok</v>
      </c>
    </row>
    <row r="226" spans="1:28">
      <c r="F226" s="79"/>
    </row>
    <row r="227" spans="1:28" ht="15">
      <c r="A227" s="65" t="s">
        <v>351</v>
      </c>
      <c r="F227" s="79"/>
    </row>
    <row r="228" spans="1:28">
      <c r="A228" s="68" t="s">
        <v>1093</v>
      </c>
      <c r="C228" s="60" t="s">
        <v>1068</v>
      </c>
      <c r="D228" s="60" t="s">
        <v>475</v>
      </c>
      <c r="E228" s="60" t="s">
        <v>1098</v>
      </c>
      <c r="F228" s="76">
        <f>VLOOKUP(C228,'Functional Assignment'!$C$2:$AP$780,'Functional Assignment'!$AD$2,)</f>
        <v>4496452.299998587</v>
      </c>
      <c r="G228" s="76">
        <f t="shared" ref="G228:Z228" si="103">IF(VLOOKUP($E228,$D$6:$AN$1131,3,)=0,0,(VLOOKUP($E228,$D$6:$AN$1131,G$2,)/VLOOKUP($E228,$D$6:$AN$1131,3,))*$F228)</f>
        <v>3350415.8402810884</v>
      </c>
      <c r="H228" s="76">
        <f t="shared" si="103"/>
        <v>832512.74750546296</v>
      </c>
      <c r="I228" s="76">
        <f t="shared" si="103"/>
        <v>0</v>
      </c>
      <c r="J228" s="76">
        <f t="shared" si="103"/>
        <v>3312.6046057648241</v>
      </c>
      <c r="K228" s="76">
        <f t="shared" si="103"/>
        <v>129935.38204788179</v>
      </c>
      <c r="L228" s="76">
        <f t="shared" si="103"/>
        <v>0</v>
      </c>
      <c r="M228" s="76">
        <f t="shared" si="103"/>
        <v>0</v>
      </c>
      <c r="N228" s="76">
        <f t="shared" si="103"/>
        <v>24269.429576957562</v>
      </c>
      <c r="O228" s="76">
        <f t="shared" si="103"/>
        <v>63491.58827715912</v>
      </c>
      <c r="P228" s="76">
        <f t="shared" si="103"/>
        <v>2990.5458246487992</v>
      </c>
      <c r="Q228" s="76">
        <f t="shared" si="103"/>
        <v>46.008397302289218</v>
      </c>
      <c r="R228" s="76">
        <f t="shared" si="103"/>
        <v>46.008397302289218</v>
      </c>
      <c r="S228" s="76">
        <f t="shared" si="103"/>
        <v>88338.167638053157</v>
      </c>
      <c r="T228" s="76">
        <f t="shared" si="103"/>
        <v>168.69745677506046</v>
      </c>
      <c r="U228" s="76">
        <f t="shared" si="103"/>
        <v>925.27999019048309</v>
      </c>
      <c r="V228" s="76">
        <f t="shared" si="103"/>
        <v>0</v>
      </c>
      <c r="W228" s="76">
        <f t="shared" si="103"/>
        <v>0</v>
      </c>
      <c r="X228" s="62">
        <f t="shared" si="103"/>
        <v>0</v>
      </c>
      <c r="Y228" s="62">
        <f t="shared" si="103"/>
        <v>0</v>
      </c>
      <c r="Z228" s="62">
        <f t="shared" si="103"/>
        <v>0</v>
      </c>
      <c r="AA228" s="64">
        <f>SUM(G228:Z228)</f>
        <v>4496452.2999985879</v>
      </c>
      <c r="AB228" s="58" t="str">
        <f>IF(ABS(F228-AA228)&lt;0.01,"ok","err")</f>
        <v>ok</v>
      </c>
    </row>
    <row r="229" spans="1:28">
      <c r="F229" s="79"/>
    </row>
    <row r="230" spans="1:28" ht="15">
      <c r="A230" s="65" t="s">
        <v>350</v>
      </c>
      <c r="F230" s="79"/>
    </row>
    <row r="231" spans="1:28">
      <c r="A231" s="68" t="s">
        <v>1093</v>
      </c>
      <c r="C231" s="60" t="s">
        <v>1068</v>
      </c>
      <c r="D231" s="60" t="s">
        <v>476</v>
      </c>
      <c r="E231" s="60" t="s">
        <v>1099</v>
      </c>
      <c r="F231" s="76">
        <f>VLOOKUP(C231,'Functional Assignment'!$C$2:$AP$780,'Functional Assignment'!$AE$2,)</f>
        <v>0</v>
      </c>
      <c r="G231" s="76">
        <f t="shared" ref="G231:Z231" si="104">IF(VLOOKUP($E231,$D$6:$AN$1131,3,)=0,0,(VLOOKUP($E231,$D$6:$AN$1131,G$2,)/VLOOKUP($E231,$D$6:$AN$1131,3,))*$F231)</f>
        <v>0</v>
      </c>
      <c r="H231" s="76">
        <f t="shared" si="104"/>
        <v>0</v>
      </c>
      <c r="I231" s="76">
        <f t="shared" si="104"/>
        <v>0</v>
      </c>
      <c r="J231" s="76">
        <f t="shared" si="104"/>
        <v>0</v>
      </c>
      <c r="K231" s="76">
        <f t="shared" si="104"/>
        <v>0</v>
      </c>
      <c r="L231" s="76">
        <f t="shared" si="104"/>
        <v>0</v>
      </c>
      <c r="M231" s="76">
        <f t="shared" si="104"/>
        <v>0</v>
      </c>
      <c r="N231" s="76">
        <f t="shared" si="104"/>
        <v>0</v>
      </c>
      <c r="O231" s="76">
        <f t="shared" si="104"/>
        <v>0</v>
      </c>
      <c r="P231" s="76">
        <f t="shared" si="104"/>
        <v>0</v>
      </c>
      <c r="Q231" s="76">
        <f t="shared" si="104"/>
        <v>0</v>
      </c>
      <c r="R231" s="76">
        <f t="shared" si="104"/>
        <v>0</v>
      </c>
      <c r="S231" s="76">
        <f t="shared" si="104"/>
        <v>0</v>
      </c>
      <c r="T231" s="76">
        <f t="shared" si="104"/>
        <v>0</v>
      </c>
      <c r="U231" s="76">
        <f t="shared" si="104"/>
        <v>0</v>
      </c>
      <c r="V231" s="76">
        <f t="shared" si="104"/>
        <v>0</v>
      </c>
      <c r="W231" s="76">
        <f t="shared" si="104"/>
        <v>0</v>
      </c>
      <c r="X231" s="62">
        <f t="shared" si="104"/>
        <v>0</v>
      </c>
      <c r="Y231" s="62">
        <f t="shared" si="104"/>
        <v>0</v>
      </c>
      <c r="Z231" s="62">
        <f t="shared" si="104"/>
        <v>0</v>
      </c>
      <c r="AA231" s="64">
        <f>SUM(G231:Z231)</f>
        <v>0</v>
      </c>
      <c r="AB231" s="58" t="str">
        <f>IF(ABS(F231-AA231)&lt;0.01,"ok","err")</f>
        <v>ok</v>
      </c>
    </row>
    <row r="232" spans="1:28">
      <c r="F232" s="79"/>
    </row>
    <row r="233" spans="1:28">
      <c r="A233" s="60" t="s">
        <v>922</v>
      </c>
      <c r="D233" s="60" t="s">
        <v>1106</v>
      </c>
      <c r="F233" s="76">
        <f>F188+F194+F197+F200+F208+F213+F216+F219+F222+F225+F228+F231</f>
        <v>685621902.81823468</v>
      </c>
      <c r="G233" s="76">
        <f t="shared" ref="G233:Z233" si="105">G188+G194+G197+G200+G208+G213+G216+G219+G222+G225+G228+G231</f>
        <v>287977479.04383886</v>
      </c>
      <c r="H233" s="76">
        <f t="shared" si="105"/>
        <v>85712374.904412091</v>
      </c>
      <c r="I233" s="76">
        <f t="shared" si="105"/>
        <v>0</v>
      </c>
      <c r="J233" s="76">
        <f t="shared" si="105"/>
        <v>8382184.1559373448</v>
      </c>
      <c r="K233" s="76">
        <f t="shared" si="105"/>
        <v>98788345.739999518</v>
      </c>
      <c r="L233" s="76">
        <f t="shared" si="105"/>
        <v>0</v>
      </c>
      <c r="M233" s="76">
        <f t="shared" si="105"/>
        <v>0</v>
      </c>
      <c r="N233" s="76">
        <f t="shared" si="105"/>
        <v>91640486.35993652</v>
      </c>
      <c r="O233" s="76">
        <f>O188+O194+O197+O200+O208+O213+O216+O219+O222+O225+O228+O231</f>
        <v>43317845.899576016</v>
      </c>
      <c r="P233" s="76">
        <f t="shared" si="105"/>
        <v>53872935.67491778</v>
      </c>
      <c r="Q233" s="76">
        <f t="shared" si="105"/>
        <v>5491759.0931262597</v>
      </c>
      <c r="R233" s="76">
        <f t="shared" si="105"/>
        <v>2831748.9051755359</v>
      </c>
      <c r="S233" s="76">
        <f t="shared" si="105"/>
        <v>7250096.0209032139</v>
      </c>
      <c r="T233" s="76">
        <f t="shared" si="105"/>
        <v>163488.34608044932</v>
      </c>
      <c r="U233" s="76">
        <f t="shared" si="105"/>
        <v>193158.6743311403</v>
      </c>
      <c r="V233" s="76">
        <f t="shared" si="105"/>
        <v>0</v>
      </c>
      <c r="W233" s="76">
        <f t="shared" si="105"/>
        <v>0</v>
      </c>
      <c r="X233" s="62">
        <f t="shared" si="105"/>
        <v>0</v>
      </c>
      <c r="Y233" s="62">
        <f t="shared" si="105"/>
        <v>0</v>
      </c>
      <c r="Z233" s="62">
        <f t="shared" si="105"/>
        <v>0</v>
      </c>
      <c r="AA233" s="64">
        <f>SUM(G233:Z233)</f>
        <v>685621902.81823492</v>
      </c>
      <c r="AB233" s="58" t="str">
        <f>IF(ABS(F233-AA233)&lt;0.01,"ok","err")</f>
        <v>ok</v>
      </c>
    </row>
    <row r="235" spans="1:28">
      <c r="F235" s="152">
        <f>(F200+F204+F211)/F233</f>
        <v>3.4332943926351916E-2</v>
      </c>
      <c r="G235" s="152">
        <f>(G200+G204+G211)/G233</f>
        <v>4.0051239362508477E-2</v>
      </c>
      <c r="J235" s="152"/>
      <c r="K235" s="152"/>
      <c r="N235" s="152"/>
      <c r="O235" s="152"/>
    </row>
    <row r="236" spans="1:28" ht="15">
      <c r="A236" s="65" t="s">
        <v>1069</v>
      </c>
    </row>
    <row r="238" spans="1:28" ht="15">
      <c r="A238" s="65" t="s">
        <v>364</v>
      </c>
    </row>
    <row r="239" spans="1:28">
      <c r="A239" s="68" t="s">
        <v>359</v>
      </c>
      <c r="C239" s="60" t="s">
        <v>99</v>
      </c>
      <c r="D239" s="60" t="s">
        <v>477</v>
      </c>
      <c r="E239" s="60" t="s">
        <v>869</v>
      </c>
      <c r="F239" s="76">
        <f>VLOOKUP(C239,'Functional Assignment'!$C$2:$AP$780,'Functional Assignment'!$H$2,)</f>
        <v>8354903.5962755047</v>
      </c>
      <c r="G239" s="76">
        <f t="shared" ref="G239:P244" si="106">IF(VLOOKUP($E239,$D$6:$AN$1131,3,)=0,0,(VLOOKUP($E239,$D$6:$AN$1131,G$2,)/VLOOKUP($E239,$D$6:$AN$1131,3,))*$F239)</f>
        <v>3022620.5866255108</v>
      </c>
      <c r="H239" s="76">
        <f t="shared" si="106"/>
        <v>982243.49044220417</v>
      </c>
      <c r="I239" s="76">
        <f t="shared" si="106"/>
        <v>0</v>
      </c>
      <c r="J239" s="76">
        <f t="shared" si="106"/>
        <v>116986.86979821771</v>
      </c>
      <c r="K239" s="76">
        <f t="shared" si="106"/>
        <v>1355444.6068440417</v>
      </c>
      <c r="L239" s="76">
        <f t="shared" si="106"/>
        <v>0</v>
      </c>
      <c r="M239" s="76">
        <f t="shared" si="106"/>
        <v>0</v>
      </c>
      <c r="N239" s="76">
        <f t="shared" si="106"/>
        <v>1308380.3692805222</v>
      </c>
      <c r="O239" s="76">
        <f t="shared" si="106"/>
        <v>575443.46127337776</v>
      </c>
      <c r="P239" s="76">
        <f t="shared" si="106"/>
        <v>796703.43821217329</v>
      </c>
      <c r="Q239" s="76">
        <f t="shared" ref="Q239:Z244" si="107">IF(VLOOKUP($E239,$D$6:$AN$1131,3,)=0,0,(VLOOKUP($E239,$D$6:$AN$1131,Q$2,)/VLOOKUP($E239,$D$6:$AN$1131,3,))*$F239)</f>
        <v>77762.271512273554</v>
      </c>
      <c r="R239" s="76">
        <f t="shared" si="107"/>
        <v>41081.53178331691</v>
      </c>
      <c r="S239" s="76">
        <f t="shared" si="107"/>
        <v>73590.295907826498</v>
      </c>
      <c r="T239" s="76">
        <f t="shared" si="107"/>
        <v>2398.7670450882788</v>
      </c>
      <c r="U239" s="76">
        <f t="shared" si="107"/>
        <v>2247.9075509536988</v>
      </c>
      <c r="V239" s="76">
        <f t="shared" si="107"/>
        <v>0</v>
      </c>
      <c r="W239" s="76">
        <f t="shared" si="107"/>
        <v>0</v>
      </c>
      <c r="X239" s="62">
        <f t="shared" si="107"/>
        <v>0</v>
      </c>
      <c r="Y239" s="62">
        <f t="shared" si="107"/>
        <v>0</v>
      </c>
      <c r="Z239" s="62">
        <f t="shared" si="107"/>
        <v>0</v>
      </c>
      <c r="AA239" s="64">
        <f t="shared" ref="AA239:AA245" si="108">SUM(G239:Z239)</f>
        <v>8354903.5962755065</v>
      </c>
      <c r="AB239" s="58" t="str">
        <f t="shared" ref="AB239:AB245" si="109">IF(ABS(F239-AA239)&lt;0.01,"ok","err")</f>
        <v>ok</v>
      </c>
    </row>
    <row r="240" spans="1:28">
      <c r="A240" s="68" t="s">
        <v>1255</v>
      </c>
      <c r="C240" s="60" t="s">
        <v>99</v>
      </c>
      <c r="D240" s="60" t="s">
        <v>478</v>
      </c>
      <c r="E240" s="60" t="s">
        <v>188</v>
      </c>
      <c r="F240" s="79">
        <f>VLOOKUP(C240,'Functional Assignment'!$C$2:$AP$780,'Functional Assignment'!$I$2,)</f>
        <v>8752290.3350628056</v>
      </c>
      <c r="G240" s="79">
        <f t="shared" si="106"/>
        <v>3740012.8112181015</v>
      </c>
      <c r="H240" s="79">
        <f t="shared" si="106"/>
        <v>1223816.1544858562</v>
      </c>
      <c r="I240" s="79">
        <f t="shared" si="106"/>
        <v>0</v>
      </c>
      <c r="J240" s="79">
        <f t="shared" si="106"/>
        <v>95168.959931206118</v>
      </c>
      <c r="K240" s="79">
        <f t="shared" si="106"/>
        <v>1280607.0948496354</v>
      </c>
      <c r="L240" s="79">
        <f t="shared" si="106"/>
        <v>0</v>
      </c>
      <c r="M240" s="79">
        <f t="shared" si="106"/>
        <v>0</v>
      </c>
      <c r="N240" s="79">
        <f t="shared" si="106"/>
        <v>1019805.0778197026</v>
      </c>
      <c r="O240" s="79">
        <f t="shared" si="106"/>
        <v>683895.65948730381</v>
      </c>
      <c r="P240" s="79">
        <f t="shared" si="106"/>
        <v>609979.3874426604</v>
      </c>
      <c r="Q240" s="79">
        <f t="shared" si="107"/>
        <v>70425.988858196419</v>
      </c>
      <c r="R240" s="79">
        <f t="shared" si="107"/>
        <v>26769.191973475085</v>
      </c>
      <c r="S240" s="79">
        <f t="shared" si="107"/>
        <v>0</v>
      </c>
      <c r="T240" s="79">
        <f t="shared" si="107"/>
        <v>0</v>
      </c>
      <c r="U240" s="79">
        <f t="shared" si="107"/>
        <v>1810.0089966683515</v>
      </c>
      <c r="V240" s="79">
        <f t="shared" si="107"/>
        <v>0</v>
      </c>
      <c r="W240" s="79">
        <f t="shared" si="107"/>
        <v>0</v>
      </c>
      <c r="X240" s="63">
        <f t="shared" si="107"/>
        <v>0</v>
      </c>
      <c r="Y240" s="63">
        <f t="shared" si="107"/>
        <v>0</v>
      </c>
      <c r="Z240" s="63">
        <f t="shared" si="107"/>
        <v>0</v>
      </c>
      <c r="AA240" s="63">
        <f t="shared" si="108"/>
        <v>8752290.3350628074</v>
      </c>
      <c r="AB240" s="58" t="str">
        <f t="shared" si="109"/>
        <v>ok</v>
      </c>
    </row>
    <row r="241" spans="1:28">
      <c r="A241" s="68" t="s">
        <v>1256</v>
      </c>
      <c r="C241" s="60" t="s">
        <v>99</v>
      </c>
      <c r="D241" s="60" t="s">
        <v>479</v>
      </c>
      <c r="E241" s="60" t="s">
        <v>191</v>
      </c>
      <c r="F241" s="79">
        <f>VLOOKUP(C241,'Functional Assignment'!$C$2:$AP$780,'Functional Assignment'!$J$2,)</f>
        <v>7194353.14251801</v>
      </c>
      <c r="G241" s="79">
        <f t="shared" si="106"/>
        <v>2813351.8917873516</v>
      </c>
      <c r="H241" s="79">
        <f t="shared" si="106"/>
        <v>1016675.6905991747</v>
      </c>
      <c r="I241" s="79">
        <f t="shared" si="106"/>
        <v>0</v>
      </c>
      <c r="J241" s="79">
        <f t="shared" si="106"/>
        <v>83847.089394186623</v>
      </c>
      <c r="K241" s="79">
        <f t="shared" si="106"/>
        <v>1183521.8863178634</v>
      </c>
      <c r="L241" s="79">
        <f t="shared" si="106"/>
        <v>0</v>
      </c>
      <c r="M241" s="79">
        <f t="shared" si="106"/>
        <v>0</v>
      </c>
      <c r="N241" s="79">
        <f t="shared" si="106"/>
        <v>895128.20061443909</v>
      </c>
      <c r="O241" s="79">
        <f t="shared" si="106"/>
        <v>604587.30192695011</v>
      </c>
      <c r="P241" s="79">
        <f t="shared" si="106"/>
        <v>517698.71341044066</v>
      </c>
      <c r="Q241" s="79">
        <f t="shared" si="107"/>
        <v>55899.484977562031</v>
      </c>
      <c r="R241" s="79">
        <f t="shared" si="107"/>
        <v>22628.472589151374</v>
      </c>
      <c r="S241" s="79">
        <f t="shared" si="107"/>
        <v>0</v>
      </c>
      <c r="T241" s="79">
        <f t="shared" si="107"/>
        <v>0</v>
      </c>
      <c r="U241" s="79">
        <f t="shared" si="107"/>
        <v>1014.410900889805</v>
      </c>
      <c r="V241" s="79">
        <f t="shared" si="107"/>
        <v>0</v>
      </c>
      <c r="W241" s="79">
        <f t="shared" si="107"/>
        <v>0</v>
      </c>
      <c r="X241" s="63">
        <f t="shared" si="107"/>
        <v>0</v>
      </c>
      <c r="Y241" s="63">
        <f t="shared" si="107"/>
        <v>0</v>
      </c>
      <c r="Z241" s="63">
        <f t="shared" si="107"/>
        <v>0</v>
      </c>
      <c r="AA241" s="63">
        <f t="shared" si="108"/>
        <v>7194353.1425180091</v>
      </c>
      <c r="AB241" s="58" t="str">
        <f t="shared" si="109"/>
        <v>ok</v>
      </c>
    </row>
    <row r="242" spans="1:28">
      <c r="A242" s="68" t="s">
        <v>1257</v>
      </c>
      <c r="C242" s="60" t="s">
        <v>99</v>
      </c>
      <c r="D242" s="60" t="s">
        <v>480</v>
      </c>
      <c r="E242" s="60" t="s">
        <v>1091</v>
      </c>
      <c r="F242" s="79">
        <f>VLOOKUP(C242,'Functional Assignment'!$C$2:$AP$780,'Functional Assignment'!$K$2,)</f>
        <v>17970757.827004239</v>
      </c>
      <c r="G242" s="79">
        <f t="shared" si="106"/>
        <v>6501425.3946288936</v>
      </c>
      <c r="H242" s="79">
        <f t="shared" si="106"/>
        <v>2112730.4992781421</v>
      </c>
      <c r="I242" s="79">
        <f t="shared" si="106"/>
        <v>0</v>
      </c>
      <c r="J242" s="79">
        <f t="shared" si="106"/>
        <v>251629.74153401147</v>
      </c>
      <c r="K242" s="79">
        <f t="shared" si="106"/>
        <v>2915457.5795946373</v>
      </c>
      <c r="L242" s="79">
        <f t="shared" si="106"/>
        <v>0</v>
      </c>
      <c r="M242" s="79">
        <f t="shared" si="106"/>
        <v>0</v>
      </c>
      <c r="N242" s="79">
        <f t="shared" si="106"/>
        <v>2814225.9290829226</v>
      </c>
      <c r="O242" s="79">
        <f t="shared" si="106"/>
        <v>1237734.870559141</v>
      </c>
      <c r="P242" s="79">
        <f t="shared" si="106"/>
        <v>1713648.103594973</v>
      </c>
      <c r="Q242" s="79">
        <f t="shared" si="107"/>
        <v>167260.75000079011</v>
      </c>
      <c r="R242" s="79">
        <f t="shared" si="107"/>
        <v>88363.230591526037</v>
      </c>
      <c r="S242" s="79">
        <f t="shared" si="107"/>
        <v>158287.03020358231</v>
      </c>
      <c r="T242" s="79">
        <f t="shared" si="107"/>
        <v>5159.6175198798383</v>
      </c>
      <c r="U242" s="79">
        <f t="shared" si="107"/>
        <v>4835.0804157379343</v>
      </c>
      <c r="V242" s="79">
        <f t="shared" si="107"/>
        <v>0</v>
      </c>
      <c r="W242" s="79">
        <f t="shared" si="107"/>
        <v>0</v>
      </c>
      <c r="X242" s="63">
        <f t="shared" si="107"/>
        <v>0</v>
      </c>
      <c r="Y242" s="63">
        <f t="shared" si="107"/>
        <v>0</v>
      </c>
      <c r="Z242" s="63">
        <f t="shared" si="107"/>
        <v>0</v>
      </c>
      <c r="AA242" s="63">
        <f t="shared" si="108"/>
        <v>17970757.827004235</v>
      </c>
      <c r="AB242" s="58" t="str">
        <f t="shared" si="109"/>
        <v>ok</v>
      </c>
    </row>
    <row r="243" spans="1:28">
      <c r="A243" s="68" t="s">
        <v>1258</v>
      </c>
      <c r="C243" s="60" t="s">
        <v>99</v>
      </c>
      <c r="D243" s="60" t="s">
        <v>481</v>
      </c>
      <c r="E243" s="60" t="s">
        <v>1091</v>
      </c>
      <c r="F243" s="79">
        <f>VLOOKUP(C243,'Functional Assignment'!$C$2:$AP$780,'Functional Assignment'!$L$2,)</f>
        <v>0</v>
      </c>
      <c r="G243" s="79">
        <f t="shared" si="106"/>
        <v>0</v>
      </c>
      <c r="H243" s="79">
        <f t="shared" si="106"/>
        <v>0</v>
      </c>
      <c r="I243" s="79">
        <f t="shared" si="106"/>
        <v>0</v>
      </c>
      <c r="J243" s="79">
        <f t="shared" si="106"/>
        <v>0</v>
      </c>
      <c r="K243" s="79">
        <f t="shared" si="106"/>
        <v>0</v>
      </c>
      <c r="L243" s="79">
        <f t="shared" si="106"/>
        <v>0</v>
      </c>
      <c r="M243" s="79">
        <f t="shared" si="106"/>
        <v>0</v>
      </c>
      <c r="N243" s="79">
        <f t="shared" si="106"/>
        <v>0</v>
      </c>
      <c r="O243" s="79">
        <f t="shared" si="106"/>
        <v>0</v>
      </c>
      <c r="P243" s="79">
        <f t="shared" si="106"/>
        <v>0</v>
      </c>
      <c r="Q243" s="79">
        <f t="shared" si="107"/>
        <v>0</v>
      </c>
      <c r="R243" s="79">
        <f t="shared" si="107"/>
        <v>0</v>
      </c>
      <c r="S243" s="79">
        <f t="shared" si="107"/>
        <v>0</v>
      </c>
      <c r="T243" s="79">
        <f t="shared" si="107"/>
        <v>0</v>
      </c>
      <c r="U243" s="79">
        <f t="shared" si="107"/>
        <v>0</v>
      </c>
      <c r="V243" s="79">
        <f t="shared" si="107"/>
        <v>0</v>
      </c>
      <c r="W243" s="79">
        <f t="shared" si="107"/>
        <v>0</v>
      </c>
      <c r="X243" s="63">
        <f t="shared" si="107"/>
        <v>0</v>
      </c>
      <c r="Y243" s="63">
        <f t="shared" si="107"/>
        <v>0</v>
      </c>
      <c r="Z243" s="63">
        <f t="shared" si="107"/>
        <v>0</v>
      </c>
      <c r="AA243" s="63">
        <f t="shared" si="108"/>
        <v>0</v>
      </c>
      <c r="AB243" s="58" t="str">
        <f t="shared" si="109"/>
        <v>ok</v>
      </c>
    </row>
    <row r="244" spans="1:28">
      <c r="A244" s="68" t="s">
        <v>1258</v>
      </c>
      <c r="C244" s="60" t="s">
        <v>99</v>
      </c>
      <c r="D244" s="60" t="s">
        <v>482</v>
      </c>
      <c r="E244" s="60" t="s">
        <v>1091</v>
      </c>
      <c r="F244" s="79">
        <f>VLOOKUP(C244,'Functional Assignment'!$C$2:$AP$780,'Functional Assignment'!$M$2,)</f>
        <v>0</v>
      </c>
      <c r="G244" s="79">
        <f t="shared" si="106"/>
        <v>0</v>
      </c>
      <c r="H244" s="79">
        <f t="shared" si="106"/>
        <v>0</v>
      </c>
      <c r="I244" s="79">
        <f t="shared" si="106"/>
        <v>0</v>
      </c>
      <c r="J244" s="79">
        <f t="shared" si="106"/>
        <v>0</v>
      </c>
      <c r="K244" s="79">
        <f t="shared" si="106"/>
        <v>0</v>
      </c>
      <c r="L244" s="79">
        <f t="shared" si="106"/>
        <v>0</v>
      </c>
      <c r="M244" s="79">
        <f t="shared" si="106"/>
        <v>0</v>
      </c>
      <c r="N244" s="79">
        <f t="shared" si="106"/>
        <v>0</v>
      </c>
      <c r="O244" s="79">
        <f t="shared" si="106"/>
        <v>0</v>
      </c>
      <c r="P244" s="79">
        <f t="shared" si="106"/>
        <v>0</v>
      </c>
      <c r="Q244" s="79">
        <f t="shared" si="107"/>
        <v>0</v>
      </c>
      <c r="R244" s="79">
        <f t="shared" si="107"/>
        <v>0</v>
      </c>
      <c r="S244" s="79">
        <f t="shared" si="107"/>
        <v>0</v>
      </c>
      <c r="T244" s="79">
        <f t="shared" si="107"/>
        <v>0</v>
      </c>
      <c r="U244" s="79">
        <f t="shared" si="107"/>
        <v>0</v>
      </c>
      <c r="V244" s="79">
        <f t="shared" si="107"/>
        <v>0</v>
      </c>
      <c r="W244" s="79">
        <f t="shared" si="107"/>
        <v>0</v>
      </c>
      <c r="X244" s="63">
        <f t="shared" si="107"/>
        <v>0</v>
      </c>
      <c r="Y244" s="63">
        <f t="shared" si="107"/>
        <v>0</v>
      </c>
      <c r="Z244" s="63">
        <f t="shared" si="107"/>
        <v>0</v>
      </c>
      <c r="AA244" s="63">
        <f t="shared" si="108"/>
        <v>0</v>
      </c>
      <c r="AB244" s="58" t="str">
        <f t="shared" si="109"/>
        <v>ok</v>
      </c>
    </row>
    <row r="245" spans="1:28">
      <c r="A245" s="60" t="s">
        <v>387</v>
      </c>
      <c r="D245" s="60" t="s">
        <v>1107</v>
      </c>
      <c r="F245" s="76">
        <f>SUM(F239:F244)</f>
        <v>42272304.900860563</v>
      </c>
      <c r="G245" s="76">
        <f t="shared" ref="G245:P245" si="110">SUM(G239:G244)</f>
        <v>16077410.684259858</v>
      </c>
      <c r="H245" s="76">
        <f t="shared" si="110"/>
        <v>5335465.8348053768</v>
      </c>
      <c r="I245" s="76">
        <f t="shared" si="110"/>
        <v>0</v>
      </c>
      <c r="J245" s="76">
        <f t="shared" si="110"/>
        <v>547632.66065762192</v>
      </c>
      <c r="K245" s="76">
        <f t="shared" si="110"/>
        <v>6735031.1676061777</v>
      </c>
      <c r="L245" s="76">
        <f t="shared" si="110"/>
        <v>0</v>
      </c>
      <c r="M245" s="76">
        <f t="shared" si="110"/>
        <v>0</v>
      </c>
      <c r="N245" s="76">
        <f t="shared" si="110"/>
        <v>6037539.5767975869</v>
      </c>
      <c r="O245" s="76">
        <f>SUM(O239:O244)</f>
        <v>3101661.2932467726</v>
      </c>
      <c r="P245" s="76">
        <f t="shared" si="110"/>
        <v>3638029.6426602472</v>
      </c>
      <c r="Q245" s="76">
        <f t="shared" ref="Q245:W245" si="111">SUM(Q239:Q244)</f>
        <v>371348.49534882209</v>
      </c>
      <c r="R245" s="76">
        <f t="shared" si="111"/>
        <v>178842.4269374694</v>
      </c>
      <c r="S245" s="76">
        <f t="shared" si="111"/>
        <v>231877.32611140882</v>
      </c>
      <c r="T245" s="76">
        <f t="shared" si="111"/>
        <v>7558.384564968117</v>
      </c>
      <c r="U245" s="76">
        <f t="shared" si="111"/>
        <v>9907.4078642497898</v>
      </c>
      <c r="V245" s="76">
        <f t="shared" si="111"/>
        <v>0</v>
      </c>
      <c r="W245" s="76">
        <f t="shared" si="111"/>
        <v>0</v>
      </c>
      <c r="X245" s="62">
        <f>SUM(X239:X244)</f>
        <v>0</v>
      </c>
      <c r="Y245" s="62">
        <f>SUM(Y239:Y244)</f>
        <v>0</v>
      </c>
      <c r="Z245" s="62">
        <f>SUM(Z239:Z244)</f>
        <v>0</v>
      </c>
      <c r="AA245" s="64">
        <f t="shared" si="108"/>
        <v>42272304.900860555</v>
      </c>
      <c r="AB245" s="58" t="str">
        <f t="shared" si="109"/>
        <v>ok</v>
      </c>
    </row>
    <row r="246" spans="1:28">
      <c r="F246" s="79"/>
      <c r="G246" s="79"/>
    </row>
    <row r="247" spans="1:28" ht="15">
      <c r="A247" s="65" t="s">
        <v>1131</v>
      </c>
      <c r="F247" s="79"/>
      <c r="G247" s="79"/>
    </row>
    <row r="248" spans="1:28">
      <c r="A248" s="68" t="s">
        <v>1363</v>
      </c>
      <c r="C248" s="60" t="s">
        <v>99</v>
      </c>
      <c r="D248" s="60" t="s">
        <v>483</v>
      </c>
      <c r="E248" s="60" t="s">
        <v>1367</v>
      </c>
      <c r="F248" s="76">
        <f>VLOOKUP(C248,'Functional Assignment'!$C$2:$AP$780,'Functional Assignment'!$N$2,)</f>
        <v>4308731.1725444533</v>
      </c>
      <c r="G248" s="76">
        <f t="shared" ref="G248:P250" si="112">IF(VLOOKUP($E248,$D$6:$AN$1131,3,)=0,0,(VLOOKUP($E248,$D$6:$AN$1131,G$2,)/VLOOKUP($E248,$D$6:$AN$1131,3,))*$F248)</f>
        <v>1914748.0110646947</v>
      </c>
      <c r="H248" s="76">
        <f t="shared" si="112"/>
        <v>551154.88507357822</v>
      </c>
      <c r="I248" s="76">
        <f t="shared" si="112"/>
        <v>0</v>
      </c>
      <c r="J248" s="76">
        <f t="shared" si="112"/>
        <v>48970.5941613744</v>
      </c>
      <c r="K248" s="76">
        <f t="shared" si="112"/>
        <v>568382.49878154951</v>
      </c>
      <c r="L248" s="76">
        <f t="shared" si="112"/>
        <v>0</v>
      </c>
      <c r="M248" s="76">
        <f t="shared" si="112"/>
        <v>0</v>
      </c>
      <c r="N248" s="76">
        <f t="shared" si="112"/>
        <v>517054.63273819507</v>
      </c>
      <c r="O248" s="76">
        <f t="shared" si="112"/>
        <v>306999.9045409367</v>
      </c>
      <c r="P248" s="76">
        <f t="shared" si="112"/>
        <v>317995.92468403163</v>
      </c>
      <c r="Q248" s="76">
        <f t="shared" ref="Q248:Z250" si="113">IF(VLOOKUP($E248,$D$6:$AN$1131,3,)=0,0,(VLOOKUP($E248,$D$6:$AN$1131,Q$2,)/VLOOKUP($E248,$D$6:$AN$1131,3,))*$F248)</f>
        <v>32055.389321089388</v>
      </c>
      <c r="R248" s="76">
        <f t="shared" si="113"/>
        <v>16778.251956556265</v>
      </c>
      <c r="S248" s="76">
        <f t="shared" si="113"/>
        <v>33052.418767228563</v>
      </c>
      <c r="T248" s="76">
        <f t="shared" si="113"/>
        <v>1057.1117628538477</v>
      </c>
      <c r="U248" s="76">
        <f t="shared" si="113"/>
        <v>481.54969236555576</v>
      </c>
      <c r="V248" s="76">
        <f t="shared" si="113"/>
        <v>0</v>
      </c>
      <c r="W248" s="76">
        <f t="shared" si="113"/>
        <v>0</v>
      </c>
      <c r="X248" s="62">
        <f t="shared" si="113"/>
        <v>0</v>
      </c>
      <c r="Y248" s="62">
        <f t="shared" si="113"/>
        <v>0</v>
      </c>
      <c r="Z248" s="62">
        <f t="shared" si="113"/>
        <v>0</v>
      </c>
      <c r="AA248" s="64">
        <f>SUM(G248:Z248)</f>
        <v>4308731.1725444552</v>
      </c>
      <c r="AB248" s="58" t="str">
        <f>IF(ABS(F248-AA248)&lt;0.01,"ok","err")</f>
        <v>ok</v>
      </c>
    </row>
    <row r="249" spans="1:28" hidden="1">
      <c r="A249" s="68" t="s">
        <v>1364</v>
      </c>
      <c r="C249" s="60" t="s">
        <v>99</v>
      </c>
      <c r="D249" s="60" t="s">
        <v>484</v>
      </c>
      <c r="E249" s="60" t="s">
        <v>188</v>
      </c>
      <c r="F249" s="79">
        <f>VLOOKUP(C249,'Functional Assignment'!$C$2:$AP$780,'Functional Assignment'!$O$2,)</f>
        <v>0</v>
      </c>
      <c r="G249" s="79">
        <f t="shared" si="112"/>
        <v>0</v>
      </c>
      <c r="H249" s="79">
        <f t="shared" si="112"/>
        <v>0</v>
      </c>
      <c r="I249" s="79">
        <f t="shared" si="112"/>
        <v>0</v>
      </c>
      <c r="J249" s="79">
        <f t="shared" si="112"/>
        <v>0</v>
      </c>
      <c r="K249" s="79">
        <f t="shared" si="112"/>
        <v>0</v>
      </c>
      <c r="L249" s="79">
        <f t="shared" si="112"/>
        <v>0</v>
      </c>
      <c r="M249" s="79">
        <f t="shared" si="112"/>
        <v>0</v>
      </c>
      <c r="N249" s="79">
        <f t="shared" si="112"/>
        <v>0</v>
      </c>
      <c r="O249" s="79">
        <f t="shared" si="112"/>
        <v>0</v>
      </c>
      <c r="P249" s="79">
        <f t="shared" si="112"/>
        <v>0</v>
      </c>
      <c r="Q249" s="79">
        <f t="shared" si="113"/>
        <v>0</v>
      </c>
      <c r="R249" s="79">
        <f t="shared" si="113"/>
        <v>0</v>
      </c>
      <c r="S249" s="79">
        <f t="shared" si="113"/>
        <v>0</v>
      </c>
      <c r="T249" s="79">
        <f t="shared" si="113"/>
        <v>0</v>
      </c>
      <c r="U249" s="79">
        <f t="shared" si="113"/>
        <v>0</v>
      </c>
      <c r="V249" s="79">
        <f t="shared" si="113"/>
        <v>0</v>
      </c>
      <c r="W249" s="79">
        <f t="shared" si="113"/>
        <v>0</v>
      </c>
      <c r="X249" s="63">
        <f t="shared" si="113"/>
        <v>0</v>
      </c>
      <c r="Y249" s="63">
        <f t="shared" si="113"/>
        <v>0</v>
      </c>
      <c r="Z249" s="63">
        <f t="shared" si="113"/>
        <v>0</v>
      </c>
      <c r="AA249" s="63">
        <f>SUM(G249:Z249)</f>
        <v>0</v>
      </c>
      <c r="AB249" s="58" t="str">
        <f>IF(ABS(F249-AA249)&lt;0.01,"ok","err")</f>
        <v>ok</v>
      </c>
    </row>
    <row r="250" spans="1:28" hidden="1">
      <c r="A250" s="68" t="s">
        <v>1364</v>
      </c>
      <c r="C250" s="60" t="s">
        <v>99</v>
      </c>
      <c r="D250" s="60" t="s">
        <v>485</v>
      </c>
      <c r="E250" s="60" t="s">
        <v>191</v>
      </c>
      <c r="F250" s="79">
        <f>VLOOKUP(C250,'Functional Assignment'!$C$2:$AP$780,'Functional Assignment'!$P$2,)</f>
        <v>0</v>
      </c>
      <c r="G250" s="79">
        <f t="shared" si="112"/>
        <v>0</v>
      </c>
      <c r="H250" s="79">
        <f t="shared" si="112"/>
        <v>0</v>
      </c>
      <c r="I250" s="79">
        <f t="shared" si="112"/>
        <v>0</v>
      </c>
      <c r="J250" s="79">
        <f t="shared" si="112"/>
        <v>0</v>
      </c>
      <c r="K250" s="79">
        <f t="shared" si="112"/>
        <v>0</v>
      </c>
      <c r="L250" s="79">
        <f t="shared" si="112"/>
        <v>0</v>
      </c>
      <c r="M250" s="79">
        <f t="shared" si="112"/>
        <v>0</v>
      </c>
      <c r="N250" s="79">
        <f t="shared" si="112"/>
        <v>0</v>
      </c>
      <c r="O250" s="79">
        <f t="shared" si="112"/>
        <v>0</v>
      </c>
      <c r="P250" s="79">
        <f t="shared" si="112"/>
        <v>0</v>
      </c>
      <c r="Q250" s="79">
        <f t="shared" si="113"/>
        <v>0</v>
      </c>
      <c r="R250" s="79">
        <f t="shared" si="113"/>
        <v>0</v>
      </c>
      <c r="S250" s="79">
        <f t="shared" si="113"/>
        <v>0</v>
      </c>
      <c r="T250" s="79">
        <f t="shared" si="113"/>
        <v>0</v>
      </c>
      <c r="U250" s="79">
        <f t="shared" si="113"/>
        <v>0</v>
      </c>
      <c r="V250" s="79">
        <f t="shared" si="113"/>
        <v>0</v>
      </c>
      <c r="W250" s="79">
        <f t="shared" si="113"/>
        <v>0</v>
      </c>
      <c r="X250" s="63">
        <f t="shared" si="113"/>
        <v>0</v>
      </c>
      <c r="Y250" s="63">
        <f t="shared" si="113"/>
        <v>0</v>
      </c>
      <c r="Z250" s="63">
        <f t="shared" si="113"/>
        <v>0</v>
      </c>
      <c r="AA250" s="63">
        <f>SUM(G250:Z250)</f>
        <v>0</v>
      </c>
      <c r="AB250" s="58" t="str">
        <f>IF(ABS(F250-AA250)&lt;0.01,"ok","err")</f>
        <v>ok</v>
      </c>
    </row>
    <row r="251" spans="1:28" hidden="1">
      <c r="A251" s="60" t="s">
        <v>1133</v>
      </c>
      <c r="D251" s="60" t="s">
        <v>486</v>
      </c>
      <c r="F251" s="76">
        <f>SUM(F248:F250)</f>
        <v>4308731.1725444533</v>
      </c>
      <c r="G251" s="76">
        <f t="shared" ref="G251:W251" si="114">SUM(G248:G250)</f>
        <v>1914748.0110646947</v>
      </c>
      <c r="H251" s="76">
        <f t="shared" si="114"/>
        <v>551154.88507357822</v>
      </c>
      <c r="I251" s="76">
        <f t="shared" si="114"/>
        <v>0</v>
      </c>
      <c r="J251" s="76">
        <f t="shared" si="114"/>
        <v>48970.5941613744</v>
      </c>
      <c r="K251" s="76">
        <f t="shared" si="114"/>
        <v>568382.49878154951</v>
      </c>
      <c r="L251" s="76">
        <f t="shared" si="114"/>
        <v>0</v>
      </c>
      <c r="M251" s="76">
        <f t="shared" si="114"/>
        <v>0</v>
      </c>
      <c r="N251" s="76">
        <f t="shared" si="114"/>
        <v>517054.63273819507</v>
      </c>
      <c r="O251" s="76">
        <f>SUM(O248:O250)</f>
        <v>306999.9045409367</v>
      </c>
      <c r="P251" s="76">
        <f t="shared" si="114"/>
        <v>317995.92468403163</v>
      </c>
      <c r="Q251" s="76">
        <f t="shared" si="114"/>
        <v>32055.389321089388</v>
      </c>
      <c r="R251" s="76">
        <f t="shared" si="114"/>
        <v>16778.251956556265</v>
      </c>
      <c r="S251" s="76">
        <f t="shared" si="114"/>
        <v>33052.418767228563</v>
      </c>
      <c r="T251" s="76">
        <f t="shared" si="114"/>
        <v>1057.1117628538477</v>
      </c>
      <c r="U251" s="76">
        <f t="shared" si="114"/>
        <v>481.54969236555576</v>
      </c>
      <c r="V251" s="76">
        <f t="shared" si="114"/>
        <v>0</v>
      </c>
      <c r="W251" s="76">
        <f t="shared" si="114"/>
        <v>0</v>
      </c>
      <c r="X251" s="62">
        <f>SUM(X248:X250)</f>
        <v>0</v>
      </c>
      <c r="Y251" s="62">
        <f>SUM(Y248:Y250)</f>
        <v>0</v>
      </c>
      <c r="Z251" s="62">
        <f>SUM(Z248:Z250)</f>
        <v>0</v>
      </c>
      <c r="AA251" s="64">
        <f>SUM(G251:Z251)</f>
        <v>4308731.1725444552</v>
      </c>
      <c r="AB251" s="58" t="str">
        <f>IF(ABS(F251-AA251)&lt;0.01,"ok","err")</f>
        <v>ok</v>
      </c>
    </row>
    <row r="252" spans="1:28">
      <c r="F252" s="79"/>
      <c r="G252" s="79"/>
    </row>
    <row r="253" spans="1:28" ht="15">
      <c r="A253" s="65" t="s">
        <v>348</v>
      </c>
      <c r="F253" s="79"/>
      <c r="G253" s="79"/>
    </row>
    <row r="254" spans="1:28">
      <c r="A254" s="68" t="s">
        <v>372</v>
      </c>
      <c r="C254" s="60" t="s">
        <v>99</v>
      </c>
      <c r="D254" s="60" t="s">
        <v>487</v>
      </c>
      <c r="E254" s="60" t="s">
        <v>1368</v>
      </c>
      <c r="F254" s="76">
        <f>VLOOKUP(C254,'Functional Assignment'!$C$2:$AP$780,'Functional Assignment'!$Q$2,)</f>
        <v>0</v>
      </c>
      <c r="G254" s="76">
        <f t="shared" ref="G254:Z254" si="115">IF(VLOOKUP($E254,$D$6:$AN$1131,3,)=0,0,(VLOOKUP($E254,$D$6:$AN$1131,G$2,)/VLOOKUP($E254,$D$6:$AN$1131,3,))*$F254)</f>
        <v>0</v>
      </c>
      <c r="H254" s="76">
        <f t="shared" si="115"/>
        <v>0</v>
      </c>
      <c r="I254" s="76">
        <f t="shared" si="115"/>
        <v>0</v>
      </c>
      <c r="J254" s="76">
        <f t="shared" si="115"/>
        <v>0</v>
      </c>
      <c r="K254" s="76">
        <f t="shared" si="115"/>
        <v>0</v>
      </c>
      <c r="L254" s="76">
        <f t="shared" si="115"/>
        <v>0</v>
      </c>
      <c r="M254" s="76">
        <f t="shared" si="115"/>
        <v>0</v>
      </c>
      <c r="N254" s="76">
        <f t="shared" si="115"/>
        <v>0</v>
      </c>
      <c r="O254" s="76">
        <f t="shared" si="115"/>
        <v>0</v>
      </c>
      <c r="P254" s="76">
        <f t="shared" si="115"/>
        <v>0</v>
      </c>
      <c r="Q254" s="76">
        <f t="shared" si="115"/>
        <v>0</v>
      </c>
      <c r="R254" s="76">
        <f t="shared" si="115"/>
        <v>0</v>
      </c>
      <c r="S254" s="76">
        <f t="shared" si="115"/>
        <v>0</v>
      </c>
      <c r="T254" s="76">
        <f t="shared" si="115"/>
        <v>0</v>
      </c>
      <c r="U254" s="76">
        <f t="shared" si="115"/>
        <v>0</v>
      </c>
      <c r="V254" s="76">
        <f t="shared" si="115"/>
        <v>0</v>
      </c>
      <c r="W254" s="76">
        <f t="shared" si="115"/>
        <v>0</v>
      </c>
      <c r="X254" s="62">
        <f t="shared" si="115"/>
        <v>0</v>
      </c>
      <c r="Y254" s="62">
        <f t="shared" si="115"/>
        <v>0</v>
      </c>
      <c r="Z254" s="62">
        <f t="shared" si="115"/>
        <v>0</v>
      </c>
      <c r="AA254" s="64">
        <f>SUM(G254:Z254)</f>
        <v>0</v>
      </c>
      <c r="AB254" s="58" t="str">
        <f>IF(ABS(F254-AA254)&lt;0.01,"ok","err")</f>
        <v>ok</v>
      </c>
    </row>
    <row r="255" spans="1:28">
      <c r="F255" s="79"/>
    </row>
    <row r="256" spans="1:28" ht="15">
      <c r="A256" s="65" t="s">
        <v>349</v>
      </c>
      <c r="F256" s="79"/>
      <c r="G256" s="79"/>
    </row>
    <row r="257" spans="1:28">
      <c r="A257" s="68" t="s">
        <v>374</v>
      </c>
      <c r="C257" s="60" t="s">
        <v>99</v>
      </c>
      <c r="D257" s="60" t="s">
        <v>488</v>
      </c>
      <c r="E257" s="60" t="s">
        <v>1368</v>
      </c>
      <c r="F257" s="76">
        <f>VLOOKUP(C257,'Functional Assignment'!$C$2:$AP$780,'Functional Assignment'!$R$2,)</f>
        <v>2685252.4144103993</v>
      </c>
      <c r="G257" s="76">
        <f t="shared" ref="G257:Z257" si="116">IF(VLOOKUP($E257,$D$6:$AN$1131,3,)=0,0,(VLOOKUP($E257,$D$6:$AN$1131,G$2,)/VLOOKUP($E257,$D$6:$AN$1131,3,))*$F257)</f>
        <v>1288379.5592442695</v>
      </c>
      <c r="H257" s="76">
        <f t="shared" si="116"/>
        <v>370856.46978245134</v>
      </c>
      <c r="I257" s="76">
        <f t="shared" si="116"/>
        <v>0</v>
      </c>
      <c r="J257" s="76">
        <f t="shared" si="116"/>
        <v>32950.922083203455</v>
      </c>
      <c r="K257" s="76">
        <f t="shared" si="116"/>
        <v>382448.4417952933</v>
      </c>
      <c r="L257" s="76">
        <f t="shared" si="116"/>
        <v>0</v>
      </c>
      <c r="M257" s="76">
        <f t="shared" si="116"/>
        <v>0</v>
      </c>
      <c r="N257" s="76">
        <f t="shared" si="116"/>
        <v>347911.37840745115</v>
      </c>
      <c r="O257" s="76">
        <f t="shared" si="116"/>
        <v>206571.51719956571</v>
      </c>
      <c r="P257" s="76">
        <f t="shared" si="116"/>
        <v>0</v>
      </c>
      <c r="Q257" s="76">
        <f t="shared" si="116"/>
        <v>21569.161125251168</v>
      </c>
      <c r="R257" s="76">
        <f t="shared" si="116"/>
        <v>11289.609251849948</v>
      </c>
      <c r="S257" s="76">
        <f t="shared" si="116"/>
        <v>22240.033924672996</v>
      </c>
      <c r="T257" s="76">
        <f t="shared" si="116"/>
        <v>711.30048404659544</v>
      </c>
      <c r="U257" s="76">
        <f t="shared" si="116"/>
        <v>324.02111234426337</v>
      </c>
      <c r="V257" s="76">
        <f t="shared" si="116"/>
        <v>0</v>
      </c>
      <c r="W257" s="76">
        <f t="shared" si="116"/>
        <v>0</v>
      </c>
      <c r="X257" s="62">
        <f t="shared" si="116"/>
        <v>0</v>
      </c>
      <c r="Y257" s="62">
        <f t="shared" si="116"/>
        <v>0</v>
      </c>
      <c r="Z257" s="62">
        <f t="shared" si="116"/>
        <v>0</v>
      </c>
      <c r="AA257" s="64">
        <f>SUM(G257:Z257)</f>
        <v>2685252.4144103997</v>
      </c>
      <c r="AB257" s="58" t="str">
        <f>IF(ABS(F257-AA257)&lt;0.01,"ok","err")</f>
        <v>ok</v>
      </c>
    </row>
    <row r="258" spans="1:28">
      <c r="F258" s="79"/>
    </row>
    <row r="259" spans="1:28" ht="15">
      <c r="A259" s="65" t="s">
        <v>373</v>
      </c>
      <c r="F259" s="79"/>
    </row>
    <row r="260" spans="1:28">
      <c r="A260" s="68" t="s">
        <v>623</v>
      </c>
      <c r="C260" s="60" t="s">
        <v>99</v>
      </c>
      <c r="D260" s="60" t="s">
        <v>489</v>
      </c>
      <c r="E260" s="60" t="s">
        <v>1368</v>
      </c>
      <c r="F260" s="76">
        <f>VLOOKUP(C260,'Functional Assignment'!$C$2:$AP$780,'Functional Assignment'!$S$2,)</f>
        <v>0</v>
      </c>
      <c r="G260" s="76">
        <f t="shared" ref="G260:P264" si="117">IF(VLOOKUP($E260,$D$6:$AN$1131,3,)=0,0,(VLOOKUP($E260,$D$6:$AN$1131,G$2,)/VLOOKUP($E260,$D$6:$AN$1131,3,))*$F260)</f>
        <v>0</v>
      </c>
      <c r="H260" s="76">
        <f t="shared" si="117"/>
        <v>0</v>
      </c>
      <c r="I260" s="76">
        <f t="shared" si="117"/>
        <v>0</v>
      </c>
      <c r="J260" s="76">
        <f t="shared" si="117"/>
        <v>0</v>
      </c>
      <c r="K260" s="76">
        <f t="shared" si="117"/>
        <v>0</v>
      </c>
      <c r="L260" s="76">
        <f t="shared" si="117"/>
        <v>0</v>
      </c>
      <c r="M260" s="76">
        <f t="shared" si="117"/>
        <v>0</v>
      </c>
      <c r="N260" s="76">
        <f t="shared" si="117"/>
        <v>0</v>
      </c>
      <c r="O260" s="76">
        <f t="shared" si="117"/>
        <v>0</v>
      </c>
      <c r="P260" s="76">
        <f t="shared" si="117"/>
        <v>0</v>
      </c>
      <c r="Q260" s="76">
        <f t="shared" ref="Q260:Z264" si="118">IF(VLOOKUP($E260,$D$6:$AN$1131,3,)=0,0,(VLOOKUP($E260,$D$6:$AN$1131,Q$2,)/VLOOKUP($E260,$D$6:$AN$1131,3,))*$F260)</f>
        <v>0</v>
      </c>
      <c r="R260" s="76">
        <f t="shared" si="118"/>
        <v>0</v>
      </c>
      <c r="S260" s="76">
        <f t="shared" si="118"/>
        <v>0</v>
      </c>
      <c r="T260" s="76">
        <f t="shared" si="118"/>
        <v>0</v>
      </c>
      <c r="U260" s="76">
        <f t="shared" si="118"/>
        <v>0</v>
      </c>
      <c r="V260" s="76">
        <f t="shared" si="118"/>
        <v>0</v>
      </c>
      <c r="W260" s="76">
        <f t="shared" si="118"/>
        <v>0</v>
      </c>
      <c r="X260" s="62">
        <f t="shared" si="118"/>
        <v>0</v>
      </c>
      <c r="Y260" s="62">
        <f t="shared" si="118"/>
        <v>0</v>
      </c>
      <c r="Z260" s="62">
        <f t="shared" si="118"/>
        <v>0</v>
      </c>
      <c r="AA260" s="64">
        <f t="shared" ref="AA260:AA265" si="119">SUM(G260:Z260)</f>
        <v>0</v>
      </c>
      <c r="AB260" s="58" t="str">
        <f t="shared" ref="AB260:AB265" si="120">IF(ABS(F260-AA260)&lt;0.01,"ok","err")</f>
        <v>ok</v>
      </c>
    </row>
    <row r="261" spans="1:28">
      <c r="A261" s="68" t="s">
        <v>624</v>
      </c>
      <c r="C261" s="60" t="s">
        <v>99</v>
      </c>
      <c r="D261" s="60" t="s">
        <v>490</v>
      </c>
      <c r="E261" s="60" t="s">
        <v>1368</v>
      </c>
      <c r="F261" s="79">
        <f>VLOOKUP(C261,'Functional Assignment'!$C$2:$AP$780,'Functional Assignment'!$T$2,)</f>
        <v>2551846.5672994298</v>
      </c>
      <c r="G261" s="79">
        <f t="shared" si="117"/>
        <v>1224371.6598084252</v>
      </c>
      <c r="H261" s="79">
        <f t="shared" si="117"/>
        <v>352431.97410286189</v>
      </c>
      <c r="I261" s="79">
        <f t="shared" si="117"/>
        <v>0</v>
      </c>
      <c r="J261" s="79">
        <f t="shared" si="117"/>
        <v>31313.889508534867</v>
      </c>
      <c r="K261" s="79">
        <f t="shared" si="117"/>
        <v>363448.04612292815</v>
      </c>
      <c r="L261" s="79">
        <f t="shared" si="117"/>
        <v>0</v>
      </c>
      <c r="M261" s="79">
        <f t="shared" si="117"/>
        <v>0</v>
      </c>
      <c r="N261" s="79">
        <f t="shared" si="117"/>
        <v>330626.81629071542</v>
      </c>
      <c r="O261" s="79">
        <f t="shared" si="117"/>
        <v>196308.8513536597</v>
      </c>
      <c r="P261" s="79">
        <f t="shared" si="117"/>
        <v>0</v>
      </c>
      <c r="Q261" s="79">
        <f t="shared" si="118"/>
        <v>20497.585061881749</v>
      </c>
      <c r="R261" s="79">
        <f t="shared" si="118"/>
        <v>10728.730923350027</v>
      </c>
      <c r="S261" s="79">
        <f t="shared" si="118"/>
        <v>21135.12827424864</v>
      </c>
      <c r="T261" s="79">
        <f t="shared" si="118"/>
        <v>675.96241187302883</v>
      </c>
      <c r="U261" s="79">
        <f t="shared" si="118"/>
        <v>307.92344095138009</v>
      </c>
      <c r="V261" s="79">
        <f t="shared" si="118"/>
        <v>0</v>
      </c>
      <c r="W261" s="79">
        <f t="shared" si="118"/>
        <v>0</v>
      </c>
      <c r="X261" s="63">
        <f t="shared" si="118"/>
        <v>0</v>
      </c>
      <c r="Y261" s="63">
        <f t="shared" si="118"/>
        <v>0</v>
      </c>
      <c r="Z261" s="63">
        <f t="shared" si="118"/>
        <v>0</v>
      </c>
      <c r="AA261" s="63">
        <f t="shared" si="119"/>
        <v>2551846.5672994298</v>
      </c>
      <c r="AB261" s="58" t="str">
        <f t="shared" si="120"/>
        <v>ok</v>
      </c>
    </row>
    <row r="262" spans="1:28">
      <c r="A262" s="68" t="s">
        <v>625</v>
      </c>
      <c r="C262" s="60" t="s">
        <v>99</v>
      </c>
      <c r="D262" s="60" t="s">
        <v>491</v>
      </c>
      <c r="E262" s="60" t="s">
        <v>698</v>
      </c>
      <c r="F262" s="79">
        <f>VLOOKUP(C262,'Functional Assignment'!$C$2:$AP$780,'Functional Assignment'!$U$2,)</f>
        <v>3857080.1674658395</v>
      </c>
      <c r="G262" s="79">
        <f t="shared" si="117"/>
        <v>3325239.8638034351</v>
      </c>
      <c r="H262" s="79">
        <f t="shared" si="117"/>
        <v>413128.50510183797</v>
      </c>
      <c r="I262" s="79">
        <f t="shared" si="117"/>
        <v>0</v>
      </c>
      <c r="J262" s="79">
        <f t="shared" si="117"/>
        <v>657.54255072910087</v>
      </c>
      <c r="K262" s="79">
        <f t="shared" si="117"/>
        <v>25791.80213450142</v>
      </c>
      <c r="L262" s="79">
        <f t="shared" si="117"/>
        <v>0</v>
      </c>
      <c r="M262" s="79">
        <f t="shared" si="117"/>
        <v>0</v>
      </c>
      <c r="N262" s="79">
        <f t="shared" si="117"/>
        <v>963.48248752666871</v>
      </c>
      <c r="O262" s="79">
        <f t="shared" si="117"/>
        <v>2520.5797777948869</v>
      </c>
      <c r="P262" s="79">
        <f t="shared" si="117"/>
        <v>0</v>
      </c>
      <c r="Q262" s="79">
        <f t="shared" si="118"/>
        <v>9.1325354267930674</v>
      </c>
      <c r="R262" s="79">
        <f t="shared" si="118"/>
        <v>9.1325354267930674</v>
      </c>
      <c r="S262" s="79">
        <f t="shared" si="118"/>
        <v>87674.369549530515</v>
      </c>
      <c r="T262" s="79">
        <f t="shared" si="118"/>
        <v>167.42981615787289</v>
      </c>
      <c r="U262" s="79">
        <f t="shared" si="118"/>
        <v>918.32717347196967</v>
      </c>
      <c r="V262" s="79">
        <f t="shared" si="118"/>
        <v>0</v>
      </c>
      <c r="W262" s="79">
        <f t="shared" si="118"/>
        <v>0</v>
      </c>
      <c r="X262" s="63">
        <f t="shared" si="118"/>
        <v>0</v>
      </c>
      <c r="Y262" s="63">
        <f t="shared" si="118"/>
        <v>0</v>
      </c>
      <c r="Z262" s="63">
        <f t="shared" si="118"/>
        <v>0</v>
      </c>
      <c r="AA262" s="63">
        <f t="shared" si="119"/>
        <v>3857080.1674658395</v>
      </c>
      <c r="AB262" s="58" t="str">
        <f t="shared" si="120"/>
        <v>ok</v>
      </c>
    </row>
    <row r="263" spans="1:28">
      <c r="A263" s="68" t="s">
        <v>626</v>
      </c>
      <c r="C263" s="60" t="s">
        <v>99</v>
      </c>
      <c r="D263" s="60" t="s">
        <v>492</v>
      </c>
      <c r="E263" s="60" t="s">
        <v>678</v>
      </c>
      <c r="F263" s="79">
        <f>VLOOKUP(C263,'Functional Assignment'!$C$2:$AP$780,'Functional Assignment'!$V$2,)</f>
        <v>833939.35306513414</v>
      </c>
      <c r="G263" s="79">
        <f t="shared" si="117"/>
        <v>699848.59222557826</v>
      </c>
      <c r="H263" s="79">
        <f t="shared" si="117"/>
        <v>128069.13583245403</v>
      </c>
      <c r="I263" s="79">
        <f t="shared" si="117"/>
        <v>0</v>
      </c>
      <c r="J263" s="79">
        <f t="shared" si="117"/>
        <v>0</v>
      </c>
      <c r="K263" s="79">
        <f t="shared" si="117"/>
        <v>0</v>
      </c>
      <c r="L263" s="79">
        <f t="shared" si="117"/>
        <v>0</v>
      </c>
      <c r="M263" s="79">
        <f t="shared" si="117"/>
        <v>0</v>
      </c>
      <c r="N263" s="79">
        <f t="shared" si="117"/>
        <v>0</v>
      </c>
      <c r="O263" s="79">
        <f t="shared" si="117"/>
        <v>0</v>
      </c>
      <c r="P263" s="79">
        <f t="shared" si="117"/>
        <v>0</v>
      </c>
      <c r="Q263" s="79">
        <f t="shared" si="118"/>
        <v>0</v>
      </c>
      <c r="R263" s="79">
        <f t="shared" si="118"/>
        <v>0</v>
      </c>
      <c r="S263" s="79">
        <f t="shared" si="118"/>
        <v>5753.7743867503295</v>
      </c>
      <c r="T263" s="79">
        <f t="shared" si="118"/>
        <v>184.02231400600655</v>
      </c>
      <c r="U263" s="79">
        <f t="shared" si="118"/>
        <v>83.828306345543751</v>
      </c>
      <c r="V263" s="79">
        <f t="shared" si="118"/>
        <v>0</v>
      </c>
      <c r="W263" s="79">
        <f t="shared" si="118"/>
        <v>0</v>
      </c>
      <c r="X263" s="63">
        <f t="shared" si="118"/>
        <v>0</v>
      </c>
      <c r="Y263" s="63">
        <f t="shared" si="118"/>
        <v>0</v>
      </c>
      <c r="Z263" s="63">
        <f t="shared" si="118"/>
        <v>0</v>
      </c>
      <c r="AA263" s="63">
        <f t="shared" si="119"/>
        <v>833939.35306513414</v>
      </c>
      <c r="AB263" s="58" t="str">
        <f t="shared" si="120"/>
        <v>ok</v>
      </c>
    </row>
    <row r="264" spans="1:28">
      <c r="A264" s="68" t="s">
        <v>627</v>
      </c>
      <c r="C264" s="60" t="s">
        <v>99</v>
      </c>
      <c r="D264" s="60" t="s">
        <v>493</v>
      </c>
      <c r="E264" s="60" t="s">
        <v>697</v>
      </c>
      <c r="F264" s="79">
        <f>VLOOKUP(C264,'Functional Assignment'!$C$2:$AP$780,'Functional Assignment'!$W$2,)</f>
        <v>1230591.3174189094</v>
      </c>
      <c r="G264" s="79">
        <f t="shared" si="117"/>
        <v>1069211.8933562357</v>
      </c>
      <c r="H264" s="79">
        <f t="shared" si="117"/>
        <v>132839.11213374019</v>
      </c>
      <c r="I264" s="79">
        <f t="shared" si="117"/>
        <v>0</v>
      </c>
      <c r="J264" s="79">
        <f t="shared" si="117"/>
        <v>0</v>
      </c>
      <c r="K264" s="79">
        <f t="shared" si="117"/>
        <v>0</v>
      </c>
      <c r="L264" s="79">
        <f t="shared" si="117"/>
        <v>0</v>
      </c>
      <c r="M264" s="79">
        <f t="shared" si="117"/>
        <v>0</v>
      </c>
      <c r="N264" s="79">
        <f t="shared" si="117"/>
        <v>0</v>
      </c>
      <c r="O264" s="79">
        <f t="shared" si="117"/>
        <v>0</v>
      </c>
      <c r="P264" s="79">
        <f t="shared" si="117"/>
        <v>0</v>
      </c>
      <c r="Q264" s="79">
        <f t="shared" si="118"/>
        <v>0</v>
      </c>
      <c r="R264" s="79">
        <f t="shared" si="118"/>
        <v>0</v>
      </c>
      <c r="S264" s="79">
        <f t="shared" si="118"/>
        <v>28191.192967849373</v>
      </c>
      <c r="T264" s="79">
        <f t="shared" si="118"/>
        <v>53.83610147560411</v>
      </c>
      <c r="U264" s="79">
        <f t="shared" si="118"/>
        <v>295.28285960861649</v>
      </c>
      <c r="V264" s="79">
        <f t="shared" si="118"/>
        <v>0</v>
      </c>
      <c r="W264" s="79">
        <f t="shared" si="118"/>
        <v>0</v>
      </c>
      <c r="X264" s="63">
        <f t="shared" si="118"/>
        <v>0</v>
      </c>
      <c r="Y264" s="63">
        <f t="shared" si="118"/>
        <v>0</v>
      </c>
      <c r="Z264" s="63">
        <f t="shared" si="118"/>
        <v>0</v>
      </c>
      <c r="AA264" s="63">
        <f t="shared" si="119"/>
        <v>1230591.3174189094</v>
      </c>
      <c r="AB264" s="58" t="str">
        <f t="shared" si="120"/>
        <v>ok</v>
      </c>
    </row>
    <row r="265" spans="1:28">
      <c r="A265" s="60" t="s">
        <v>378</v>
      </c>
      <c r="D265" s="60" t="s">
        <v>494</v>
      </c>
      <c r="F265" s="76">
        <f>SUM(F260:F264)</f>
        <v>8473457.4052493125</v>
      </c>
      <c r="G265" s="76">
        <f t="shared" ref="G265:W265" si="121">SUM(G260:G264)</f>
        <v>6318672.0091936747</v>
      </c>
      <c r="H265" s="76">
        <f t="shared" si="121"/>
        <v>1026468.7271708942</v>
      </c>
      <c r="I265" s="76">
        <f t="shared" si="121"/>
        <v>0</v>
      </c>
      <c r="J265" s="76">
        <f t="shared" si="121"/>
        <v>31971.432059263967</v>
      </c>
      <c r="K265" s="76">
        <f t="shared" si="121"/>
        <v>389239.84825742955</v>
      </c>
      <c r="L265" s="76">
        <f t="shared" si="121"/>
        <v>0</v>
      </c>
      <c r="M265" s="76">
        <f t="shared" si="121"/>
        <v>0</v>
      </c>
      <c r="N265" s="76">
        <f t="shared" si="121"/>
        <v>331590.29877824208</v>
      </c>
      <c r="O265" s="76">
        <f>SUM(O260:O264)</f>
        <v>198829.43113145459</v>
      </c>
      <c r="P265" s="76">
        <f t="shared" si="121"/>
        <v>0</v>
      </c>
      <c r="Q265" s="76">
        <f t="shared" si="121"/>
        <v>20506.717597308543</v>
      </c>
      <c r="R265" s="76">
        <f t="shared" si="121"/>
        <v>10737.863458776821</v>
      </c>
      <c r="S265" s="76">
        <f t="shared" si="121"/>
        <v>142754.46517837886</v>
      </c>
      <c r="T265" s="76">
        <f t="shared" si="121"/>
        <v>1081.2506435125124</v>
      </c>
      <c r="U265" s="76">
        <f t="shared" si="121"/>
        <v>1605.3617803775101</v>
      </c>
      <c r="V265" s="76">
        <f t="shared" si="121"/>
        <v>0</v>
      </c>
      <c r="W265" s="76">
        <f t="shared" si="121"/>
        <v>0</v>
      </c>
      <c r="X265" s="62">
        <f>SUM(X260:X264)</f>
        <v>0</v>
      </c>
      <c r="Y265" s="62">
        <f>SUM(Y260:Y264)</f>
        <v>0</v>
      </c>
      <c r="Z265" s="62">
        <f>SUM(Z260:Z264)</f>
        <v>0</v>
      </c>
      <c r="AA265" s="64">
        <f t="shared" si="119"/>
        <v>8473457.4052493125</v>
      </c>
      <c r="AB265" s="58" t="str">
        <f t="shared" si="120"/>
        <v>ok</v>
      </c>
    </row>
    <row r="266" spans="1:28">
      <c r="F266" s="79"/>
    </row>
    <row r="267" spans="1:28" ht="15">
      <c r="A267" s="65" t="s">
        <v>634</v>
      </c>
      <c r="F267" s="79"/>
    </row>
    <row r="268" spans="1:28">
      <c r="A268" s="68" t="s">
        <v>1090</v>
      </c>
      <c r="C268" s="60" t="s">
        <v>99</v>
      </c>
      <c r="D268" s="60" t="s">
        <v>495</v>
      </c>
      <c r="E268" s="60" t="s">
        <v>1336</v>
      </c>
      <c r="F268" s="76">
        <f>VLOOKUP(C268,'Functional Assignment'!$C$2:$AP$780,'Functional Assignment'!$X$2,)</f>
        <v>240840.52471813068</v>
      </c>
      <c r="G268" s="76">
        <f t="shared" ref="G268:P269" si="122">IF(VLOOKUP($E268,$D$6:$AN$1131,3,)=0,0,(VLOOKUP($E268,$D$6:$AN$1131,G$2,)/VLOOKUP($E268,$D$6:$AN$1131,3,))*$F268)</f>
        <v>167095.33220476023</v>
      </c>
      <c r="H268" s="76">
        <f t="shared" si="122"/>
        <v>30577.692139163155</v>
      </c>
      <c r="I268" s="76">
        <f t="shared" si="122"/>
        <v>0</v>
      </c>
      <c r="J268" s="76">
        <f t="shared" si="122"/>
        <v>0</v>
      </c>
      <c r="K268" s="76">
        <f t="shared" si="122"/>
        <v>26929.990027685144</v>
      </c>
      <c r="L268" s="76">
        <f t="shared" si="122"/>
        <v>0</v>
      </c>
      <c r="M268" s="76">
        <f t="shared" si="122"/>
        <v>0</v>
      </c>
      <c r="N268" s="76">
        <f t="shared" si="122"/>
        <v>0</v>
      </c>
      <c r="O268" s="76">
        <f t="shared" si="122"/>
        <v>14799.791613996906</v>
      </c>
      <c r="P268" s="76">
        <f t="shared" si="122"/>
        <v>0</v>
      </c>
      <c r="Q268" s="76">
        <f t="shared" ref="Q268:Z269" si="123">IF(VLOOKUP($E268,$D$6:$AN$1131,3,)=0,0,(VLOOKUP($E268,$D$6:$AN$1131,Q$2,)/VLOOKUP($E268,$D$6:$AN$1131,3,))*$F268)</f>
        <v>0</v>
      </c>
      <c r="R268" s="76">
        <f t="shared" si="123"/>
        <v>0</v>
      </c>
      <c r="S268" s="76">
        <f t="shared" si="123"/>
        <v>1373.7669165381342</v>
      </c>
      <c r="T268" s="76">
        <f t="shared" si="123"/>
        <v>43.937031571553291</v>
      </c>
      <c r="U268" s="76">
        <f t="shared" si="123"/>
        <v>20.014784415621342</v>
      </c>
      <c r="V268" s="76">
        <f t="shared" si="123"/>
        <v>0</v>
      </c>
      <c r="W268" s="76">
        <f t="shared" si="123"/>
        <v>0</v>
      </c>
      <c r="X268" s="62">
        <f t="shared" si="123"/>
        <v>0</v>
      </c>
      <c r="Y268" s="62">
        <f t="shared" si="123"/>
        <v>0</v>
      </c>
      <c r="Z268" s="62">
        <f t="shared" si="123"/>
        <v>0</v>
      </c>
      <c r="AA268" s="64">
        <f>SUM(G268:Z268)</f>
        <v>240840.52471813073</v>
      </c>
      <c r="AB268" s="58" t="str">
        <f>IF(ABS(F268-AA268)&lt;0.01,"ok","err")</f>
        <v>ok</v>
      </c>
    </row>
    <row r="269" spans="1:28">
      <c r="A269" s="68" t="s">
        <v>1093</v>
      </c>
      <c r="C269" s="60" t="s">
        <v>99</v>
      </c>
      <c r="D269" s="60" t="s">
        <v>496</v>
      </c>
      <c r="E269" s="60" t="s">
        <v>1334</v>
      </c>
      <c r="F269" s="79">
        <f>VLOOKUP(C269,'Functional Assignment'!$C$2:$AP$780,'Functional Assignment'!$Y$2,)</f>
        <v>168432.38792143884</v>
      </c>
      <c r="G269" s="79">
        <f t="shared" si="122"/>
        <v>145269.53167959335</v>
      </c>
      <c r="H269" s="79">
        <f t="shared" si="122"/>
        <v>18048.317389948796</v>
      </c>
      <c r="I269" s="79">
        <f t="shared" si="122"/>
        <v>0</v>
      </c>
      <c r="J269" s="79">
        <f t="shared" si="122"/>
        <v>0</v>
      </c>
      <c r="K269" s="79">
        <f t="shared" si="122"/>
        <v>1126.764735992964</v>
      </c>
      <c r="L269" s="79">
        <f t="shared" si="122"/>
        <v>0</v>
      </c>
      <c r="M269" s="79">
        <f t="shared" si="122"/>
        <v>0</v>
      </c>
      <c r="N269" s="79">
        <f t="shared" si="122"/>
        <v>0</v>
      </c>
      <c r="O269" s="79">
        <f t="shared" si="122"/>
        <v>110.11640028352603</v>
      </c>
      <c r="P269" s="79">
        <f t="shared" si="122"/>
        <v>0</v>
      </c>
      <c r="Q269" s="79">
        <f t="shared" si="123"/>
        <v>0</v>
      </c>
      <c r="R269" s="79">
        <f t="shared" si="123"/>
        <v>0</v>
      </c>
      <c r="S269" s="79">
        <f t="shared" si="123"/>
        <v>3830.2243225834209</v>
      </c>
      <c r="T269" s="79">
        <f t="shared" si="123"/>
        <v>7.3144951879153757</v>
      </c>
      <c r="U269" s="79">
        <f t="shared" si="123"/>
        <v>40.118897848869189</v>
      </c>
      <c r="V269" s="79">
        <f t="shared" si="123"/>
        <v>0</v>
      </c>
      <c r="W269" s="79">
        <f t="shared" si="123"/>
        <v>0</v>
      </c>
      <c r="X269" s="63">
        <f t="shared" si="123"/>
        <v>0</v>
      </c>
      <c r="Y269" s="63">
        <f t="shared" si="123"/>
        <v>0</v>
      </c>
      <c r="Z269" s="63">
        <f t="shared" si="123"/>
        <v>0</v>
      </c>
      <c r="AA269" s="63">
        <f>SUM(G269:Z269)</f>
        <v>168432.38792143884</v>
      </c>
      <c r="AB269" s="58" t="str">
        <f>IF(ABS(F269-AA269)&lt;0.01,"ok","err")</f>
        <v>ok</v>
      </c>
    </row>
    <row r="270" spans="1:28">
      <c r="A270" s="60" t="s">
        <v>712</v>
      </c>
      <c r="D270" s="60" t="s">
        <v>497</v>
      </c>
      <c r="F270" s="76">
        <f>F268+F269</f>
        <v>409272.91263956949</v>
      </c>
      <c r="G270" s="76">
        <f t="shared" ref="G270:W270" si="124">G268+G269</f>
        <v>312364.86388435354</v>
      </c>
      <c r="H270" s="76">
        <f t="shared" si="124"/>
        <v>48626.009529111951</v>
      </c>
      <c r="I270" s="76">
        <f t="shared" si="124"/>
        <v>0</v>
      </c>
      <c r="J270" s="76">
        <f t="shared" si="124"/>
        <v>0</v>
      </c>
      <c r="K270" s="76">
        <f t="shared" si="124"/>
        <v>28056.754763678109</v>
      </c>
      <c r="L270" s="76">
        <f t="shared" si="124"/>
        <v>0</v>
      </c>
      <c r="M270" s="76">
        <f t="shared" si="124"/>
        <v>0</v>
      </c>
      <c r="N270" s="76">
        <f t="shared" si="124"/>
        <v>0</v>
      </c>
      <c r="O270" s="76">
        <f>O268+O269</f>
        <v>14909.908014280432</v>
      </c>
      <c r="P270" s="76">
        <f t="shared" si="124"/>
        <v>0</v>
      </c>
      <c r="Q270" s="76">
        <f t="shared" si="124"/>
        <v>0</v>
      </c>
      <c r="R270" s="76">
        <f t="shared" si="124"/>
        <v>0</v>
      </c>
      <c r="S270" s="76">
        <f t="shared" si="124"/>
        <v>5203.9912391215548</v>
      </c>
      <c r="T270" s="76">
        <f t="shared" si="124"/>
        <v>51.251526759468668</v>
      </c>
      <c r="U270" s="76">
        <f t="shared" si="124"/>
        <v>60.133682264490531</v>
      </c>
      <c r="V270" s="76">
        <f t="shared" si="124"/>
        <v>0</v>
      </c>
      <c r="W270" s="76">
        <f t="shared" si="124"/>
        <v>0</v>
      </c>
      <c r="X270" s="62">
        <f>X268+X269</f>
        <v>0</v>
      </c>
      <c r="Y270" s="62">
        <f>Y268+Y269</f>
        <v>0</v>
      </c>
      <c r="Z270" s="62">
        <f>Z268+Z269</f>
        <v>0</v>
      </c>
      <c r="AA270" s="64">
        <f>SUM(G270:Z270)</f>
        <v>409272.91263956955</v>
      </c>
      <c r="AB270" s="58" t="str">
        <f>IF(ABS(F270-AA270)&lt;0.01,"ok","err")</f>
        <v>ok</v>
      </c>
    </row>
    <row r="271" spans="1:28">
      <c r="F271" s="79"/>
    </row>
    <row r="272" spans="1:28" ht="15">
      <c r="A272" s="65" t="s">
        <v>354</v>
      </c>
      <c r="F272" s="79"/>
    </row>
    <row r="273" spans="1:28">
      <c r="A273" s="68" t="s">
        <v>1093</v>
      </c>
      <c r="C273" s="60" t="s">
        <v>99</v>
      </c>
      <c r="D273" s="60" t="s">
        <v>498</v>
      </c>
      <c r="E273" s="60" t="s">
        <v>1095</v>
      </c>
      <c r="F273" s="76">
        <f>VLOOKUP(C273,'Functional Assignment'!$C$2:$AP$780,'Functional Assignment'!$Z$2,)</f>
        <v>62053.82936306145</v>
      </c>
      <c r="G273" s="76">
        <f t="shared" ref="G273:Z273" si="125">IF(VLOOKUP($E273,$D$6:$AN$1131,3,)=0,0,(VLOOKUP($E273,$D$6:$AN$1131,G$2,)/VLOOKUP($E273,$D$6:$AN$1131,3,))*$F273)</f>
        <v>47695.590971300131</v>
      </c>
      <c r="H273" s="76">
        <f t="shared" si="125"/>
        <v>12003.466494760622</v>
      </c>
      <c r="I273" s="76">
        <f t="shared" si="125"/>
        <v>0</v>
      </c>
      <c r="J273" s="76">
        <f t="shared" si="125"/>
        <v>0</v>
      </c>
      <c r="K273" s="76">
        <f t="shared" si="125"/>
        <v>2094.0816402415271</v>
      </c>
      <c r="L273" s="76">
        <f t="shared" si="125"/>
        <v>0</v>
      </c>
      <c r="M273" s="76">
        <f t="shared" si="125"/>
        <v>0</v>
      </c>
      <c r="N273" s="76">
        <f t="shared" si="125"/>
        <v>0</v>
      </c>
      <c r="O273" s="76">
        <f t="shared" si="125"/>
        <v>260.69025675916481</v>
      </c>
      <c r="P273" s="76">
        <f t="shared" si="125"/>
        <v>0</v>
      </c>
      <c r="Q273" s="76">
        <f t="shared" si="125"/>
        <v>0</v>
      </c>
      <c r="R273" s="76">
        <f t="shared" si="125"/>
        <v>0</v>
      </c>
      <c r="S273" s="76">
        <f t="shared" si="125"/>
        <v>0</v>
      </c>
      <c r="T273" s="76">
        <f t="shared" si="125"/>
        <v>0</v>
      </c>
      <c r="U273" s="76">
        <f t="shared" si="125"/>
        <v>0</v>
      </c>
      <c r="V273" s="76">
        <f t="shared" si="125"/>
        <v>0</v>
      </c>
      <c r="W273" s="76">
        <f t="shared" si="125"/>
        <v>0</v>
      </c>
      <c r="X273" s="62">
        <f t="shared" si="125"/>
        <v>0</v>
      </c>
      <c r="Y273" s="62">
        <f t="shared" si="125"/>
        <v>0</v>
      </c>
      <c r="Z273" s="62">
        <f t="shared" si="125"/>
        <v>0</v>
      </c>
      <c r="AA273" s="64">
        <f>SUM(G273:Z273)</f>
        <v>62053.82936306145</v>
      </c>
      <c r="AB273" s="58" t="str">
        <f>IF(ABS(F273-AA273)&lt;0.01,"ok","err")</f>
        <v>ok</v>
      </c>
    </row>
    <row r="274" spans="1:28">
      <c r="F274" s="79"/>
    </row>
    <row r="275" spans="1:28" ht="15">
      <c r="A275" s="65" t="s">
        <v>353</v>
      </c>
      <c r="F275" s="79"/>
    </row>
    <row r="276" spans="1:28">
      <c r="A276" s="68" t="s">
        <v>1093</v>
      </c>
      <c r="C276" s="60" t="s">
        <v>99</v>
      </c>
      <c r="D276" s="60" t="s">
        <v>499</v>
      </c>
      <c r="E276" s="60" t="s">
        <v>1096</v>
      </c>
      <c r="F276" s="76">
        <f>VLOOKUP(C276,'Functional Assignment'!$C$2:$AP$780,'Functional Assignment'!$AA$2,)</f>
        <v>5681157.6240409669</v>
      </c>
      <c r="G276" s="76">
        <f t="shared" ref="G276:Z276" si="126">IF(VLOOKUP($E276,$D$6:$AN$1131,3,)=0,0,(VLOOKUP($E276,$D$6:$AN$1131,G$2,)/VLOOKUP($E276,$D$6:$AN$1131,3,))*$F276)</f>
        <v>3976355.6296307775</v>
      </c>
      <c r="H276" s="76">
        <f t="shared" si="126"/>
        <v>1169071.3794169298</v>
      </c>
      <c r="I276" s="76">
        <f t="shared" si="126"/>
        <v>0</v>
      </c>
      <c r="J276" s="76">
        <f t="shared" si="126"/>
        <v>45510.044581859489</v>
      </c>
      <c r="K276" s="76">
        <f t="shared" si="126"/>
        <v>314491.34637769585</v>
      </c>
      <c r="L276" s="76">
        <f t="shared" si="126"/>
        <v>0</v>
      </c>
      <c r="M276" s="76">
        <f t="shared" si="126"/>
        <v>0</v>
      </c>
      <c r="N276" s="76">
        <f t="shared" si="126"/>
        <v>71264.409231309779</v>
      </c>
      <c r="O276" s="76">
        <f t="shared" si="126"/>
        <v>33131.434370195086</v>
      </c>
      <c r="P276" s="76">
        <f t="shared" si="126"/>
        <v>58297.163168341489</v>
      </c>
      <c r="Q276" s="76">
        <f t="shared" si="126"/>
        <v>675.49203062852871</v>
      </c>
      <c r="R276" s="76">
        <f t="shared" si="126"/>
        <v>675.49203062852871</v>
      </c>
      <c r="S276" s="76">
        <f t="shared" si="126"/>
        <v>0</v>
      </c>
      <c r="T276" s="76">
        <f t="shared" si="126"/>
        <v>1801.9284845133302</v>
      </c>
      <c r="U276" s="76">
        <f t="shared" si="126"/>
        <v>9883.3047180882659</v>
      </c>
      <c r="V276" s="76">
        <f t="shared" si="126"/>
        <v>0</v>
      </c>
      <c r="W276" s="76">
        <f t="shared" si="126"/>
        <v>0</v>
      </c>
      <c r="X276" s="62">
        <f t="shared" si="126"/>
        <v>0</v>
      </c>
      <c r="Y276" s="62">
        <f t="shared" si="126"/>
        <v>0</v>
      </c>
      <c r="Z276" s="62">
        <f t="shared" si="126"/>
        <v>0</v>
      </c>
      <c r="AA276" s="64">
        <f>SUM(G276:Z276)</f>
        <v>5681157.6240409696</v>
      </c>
      <c r="AB276" s="58" t="str">
        <f>IF(ABS(F276-AA276)&lt;0.01,"ok","err")</f>
        <v>ok</v>
      </c>
    </row>
    <row r="277" spans="1:28">
      <c r="F277" s="79"/>
    </row>
    <row r="278" spans="1:28" ht="15">
      <c r="A278" s="65" t="s">
        <v>371</v>
      </c>
      <c r="F278" s="79"/>
    </row>
    <row r="279" spans="1:28">
      <c r="A279" s="68" t="s">
        <v>1093</v>
      </c>
      <c r="C279" s="60" t="s">
        <v>99</v>
      </c>
      <c r="D279" s="60" t="s">
        <v>500</v>
      </c>
      <c r="E279" s="60" t="s">
        <v>1097</v>
      </c>
      <c r="F279" s="76">
        <f>VLOOKUP(C279,'Functional Assignment'!$C$2:$AP$780,'Functional Assignment'!$AB$2,)</f>
        <v>206476.61113584062</v>
      </c>
      <c r="G279" s="76">
        <f t="shared" ref="G279:Z279" si="127">IF(VLOOKUP($E279,$D$6:$AN$1131,3,)=0,0,(VLOOKUP($E279,$D$6:$AN$1131,G$2,)/VLOOKUP($E279,$D$6:$AN$1131,3,))*$F279)</f>
        <v>0</v>
      </c>
      <c r="H279" s="76">
        <f t="shared" si="127"/>
        <v>0</v>
      </c>
      <c r="I279" s="76">
        <f t="shared" si="127"/>
        <v>0</v>
      </c>
      <c r="J279" s="76">
        <f t="shared" si="127"/>
        <v>0</v>
      </c>
      <c r="K279" s="76">
        <f t="shared" si="127"/>
        <v>0</v>
      </c>
      <c r="L279" s="76">
        <f t="shared" si="127"/>
        <v>0</v>
      </c>
      <c r="M279" s="76">
        <f t="shared" si="127"/>
        <v>0</v>
      </c>
      <c r="N279" s="76">
        <f t="shared" si="127"/>
        <v>0</v>
      </c>
      <c r="O279" s="76">
        <f t="shared" si="127"/>
        <v>0</v>
      </c>
      <c r="P279" s="76">
        <f t="shared" si="127"/>
        <v>0</v>
      </c>
      <c r="Q279" s="76">
        <f t="shared" si="127"/>
        <v>0</v>
      </c>
      <c r="R279" s="76">
        <f t="shared" si="127"/>
        <v>0</v>
      </c>
      <c r="S279" s="76">
        <f t="shared" si="127"/>
        <v>206476.61113584062</v>
      </c>
      <c r="T279" s="76">
        <f t="shared" si="127"/>
        <v>0</v>
      </c>
      <c r="U279" s="76">
        <f t="shared" si="127"/>
        <v>0</v>
      </c>
      <c r="V279" s="76">
        <f t="shared" si="127"/>
        <v>0</v>
      </c>
      <c r="W279" s="76">
        <f t="shared" si="127"/>
        <v>0</v>
      </c>
      <c r="X279" s="62">
        <f t="shared" si="127"/>
        <v>0</v>
      </c>
      <c r="Y279" s="62">
        <f t="shared" si="127"/>
        <v>0</v>
      </c>
      <c r="Z279" s="62">
        <f t="shared" si="127"/>
        <v>0</v>
      </c>
      <c r="AA279" s="64">
        <f>SUM(G279:Z279)</f>
        <v>206476.61113584062</v>
      </c>
      <c r="AB279" s="58" t="str">
        <f>IF(ABS(F279-AA279)&lt;0.01,"ok","err")</f>
        <v>ok</v>
      </c>
    </row>
    <row r="280" spans="1:28">
      <c r="F280" s="79"/>
    </row>
    <row r="281" spans="1:28" ht="15">
      <c r="A281" s="65" t="s">
        <v>1025</v>
      </c>
      <c r="F281" s="79"/>
    </row>
    <row r="282" spans="1:28">
      <c r="A282" s="68" t="s">
        <v>1093</v>
      </c>
      <c r="C282" s="60" t="s">
        <v>99</v>
      </c>
      <c r="D282" s="60" t="s">
        <v>501</v>
      </c>
      <c r="E282" s="60" t="s">
        <v>1098</v>
      </c>
      <c r="F282" s="76">
        <f>VLOOKUP(C282,'Functional Assignment'!$C$2:$AP$780,'Functional Assignment'!$AC$2,)</f>
        <v>5837418.0327426316</v>
      </c>
      <c r="G282" s="76">
        <f t="shared" ref="G282:Z282" si="128">IF(VLOOKUP($E282,$D$6:$AN$1131,3,)=0,0,(VLOOKUP($E282,$D$6:$AN$1131,G$2,)/VLOOKUP($E282,$D$6:$AN$1131,3,))*$F282)</f>
        <v>4349601.9836015003</v>
      </c>
      <c r="H282" s="76">
        <f t="shared" si="128"/>
        <v>1080790.9437353599</v>
      </c>
      <c r="I282" s="76">
        <f t="shared" si="128"/>
        <v>0</v>
      </c>
      <c r="J282" s="76">
        <f t="shared" si="128"/>
        <v>4300.5143991061477</v>
      </c>
      <c r="K282" s="76">
        <f t="shared" si="128"/>
        <v>168685.68632605017</v>
      </c>
      <c r="L282" s="76">
        <f t="shared" si="128"/>
        <v>0</v>
      </c>
      <c r="M282" s="76">
        <f t="shared" si="128"/>
        <v>0</v>
      </c>
      <c r="N282" s="76">
        <f t="shared" si="128"/>
        <v>31507.240910117955</v>
      </c>
      <c r="O282" s="76">
        <f t="shared" si="128"/>
        <v>82426.525982867824</v>
      </c>
      <c r="P282" s="76">
        <f t="shared" si="128"/>
        <v>3882.4088325263829</v>
      </c>
      <c r="Q282" s="76">
        <f t="shared" si="128"/>
        <v>59.729366654252054</v>
      </c>
      <c r="R282" s="76">
        <f t="shared" si="128"/>
        <v>59.729366654252054</v>
      </c>
      <c r="S282" s="76">
        <f t="shared" si="128"/>
        <v>114683.03861468188</v>
      </c>
      <c r="T282" s="76">
        <f t="shared" si="128"/>
        <v>219.00767773225752</v>
      </c>
      <c r="U282" s="76">
        <f t="shared" si="128"/>
        <v>1201.2239293799578</v>
      </c>
      <c r="V282" s="76">
        <f t="shared" si="128"/>
        <v>0</v>
      </c>
      <c r="W282" s="76">
        <f t="shared" si="128"/>
        <v>0</v>
      </c>
      <c r="X282" s="62">
        <f t="shared" si="128"/>
        <v>0</v>
      </c>
      <c r="Y282" s="62">
        <f t="shared" si="128"/>
        <v>0</v>
      </c>
      <c r="Z282" s="62">
        <f t="shared" si="128"/>
        <v>0</v>
      </c>
      <c r="AA282" s="64">
        <f>SUM(G282:Z282)</f>
        <v>5837418.0327426316</v>
      </c>
      <c r="AB282" s="58" t="str">
        <f>IF(ABS(F282-AA282)&lt;0.01,"ok","err")</f>
        <v>ok</v>
      </c>
    </row>
    <row r="283" spans="1:28">
      <c r="F283" s="79"/>
    </row>
    <row r="284" spans="1:28" ht="15">
      <c r="A284" s="65" t="s">
        <v>351</v>
      </c>
      <c r="F284" s="79"/>
    </row>
    <row r="285" spans="1:28">
      <c r="A285" s="68" t="s">
        <v>1093</v>
      </c>
      <c r="C285" s="60" t="s">
        <v>99</v>
      </c>
      <c r="D285" s="60" t="s">
        <v>502</v>
      </c>
      <c r="E285" s="60" t="s">
        <v>1098</v>
      </c>
      <c r="F285" s="76">
        <f>VLOOKUP(C285,'Functional Assignment'!$C$2:$AP$780,'Functional Assignment'!$AD$2,)</f>
        <v>1602599.2570132071</v>
      </c>
      <c r="G285" s="76">
        <f t="shared" ref="G285:Z285" si="129">IF(VLOOKUP($E285,$D$6:$AN$1131,3,)=0,0,(VLOOKUP($E285,$D$6:$AN$1131,G$2,)/VLOOKUP($E285,$D$6:$AN$1131,3,))*$F285)</f>
        <v>1194135.6380721396</v>
      </c>
      <c r="H285" s="76">
        <f t="shared" si="129"/>
        <v>296719.32928248739</v>
      </c>
      <c r="I285" s="76">
        <f t="shared" si="129"/>
        <v>0</v>
      </c>
      <c r="J285" s="76">
        <f t="shared" si="129"/>
        <v>1180.6591787883312</v>
      </c>
      <c r="K285" s="76">
        <f t="shared" si="129"/>
        <v>46310.809686500623</v>
      </c>
      <c r="L285" s="76">
        <f t="shared" si="129"/>
        <v>0</v>
      </c>
      <c r="M285" s="76">
        <f t="shared" si="129"/>
        <v>0</v>
      </c>
      <c r="N285" s="76">
        <f t="shared" si="129"/>
        <v>8649.9682890395088</v>
      </c>
      <c r="O285" s="76">
        <f t="shared" si="129"/>
        <v>22629.300926776345</v>
      </c>
      <c r="P285" s="76">
        <f t="shared" si="129"/>
        <v>1065.8728697394656</v>
      </c>
      <c r="Q285" s="76">
        <f t="shared" si="129"/>
        <v>16.398044149837933</v>
      </c>
      <c r="R285" s="76">
        <f t="shared" si="129"/>
        <v>16.398044149837933</v>
      </c>
      <c r="S285" s="76">
        <f t="shared" si="129"/>
        <v>31484.973569651036</v>
      </c>
      <c r="T285" s="76">
        <f t="shared" si="129"/>
        <v>60.126161882739083</v>
      </c>
      <c r="U285" s="76">
        <f t="shared" si="129"/>
        <v>329.78288790229612</v>
      </c>
      <c r="V285" s="76">
        <f t="shared" si="129"/>
        <v>0</v>
      </c>
      <c r="W285" s="76">
        <f t="shared" si="129"/>
        <v>0</v>
      </c>
      <c r="X285" s="62">
        <f t="shared" si="129"/>
        <v>0</v>
      </c>
      <c r="Y285" s="62">
        <f t="shared" si="129"/>
        <v>0</v>
      </c>
      <c r="Z285" s="62">
        <f t="shared" si="129"/>
        <v>0</v>
      </c>
      <c r="AA285" s="64">
        <f>SUM(G285:Z285)</f>
        <v>1602599.2570132071</v>
      </c>
      <c r="AB285" s="58" t="str">
        <f>IF(ABS(F285-AA285)&lt;0.01,"ok","err")</f>
        <v>ok</v>
      </c>
    </row>
    <row r="286" spans="1:28">
      <c r="F286" s="79"/>
    </row>
    <row r="287" spans="1:28" ht="15">
      <c r="A287" s="65" t="s">
        <v>350</v>
      </c>
      <c r="F287" s="79"/>
    </row>
    <row r="288" spans="1:28">
      <c r="A288" s="68" t="s">
        <v>1093</v>
      </c>
      <c r="C288" s="60" t="s">
        <v>99</v>
      </c>
      <c r="D288" s="60" t="s">
        <v>503</v>
      </c>
      <c r="E288" s="60" t="s">
        <v>1099</v>
      </c>
      <c r="F288" s="76">
        <f>VLOOKUP(C288,'Functional Assignment'!$C$2:$AP$780,'Functional Assignment'!$AE$2,)</f>
        <v>0</v>
      </c>
      <c r="G288" s="76">
        <f t="shared" ref="G288:Z288" si="130">IF(VLOOKUP($E288,$D$6:$AN$1131,3,)=0,0,(VLOOKUP($E288,$D$6:$AN$1131,G$2,)/VLOOKUP($E288,$D$6:$AN$1131,3,))*$F288)</f>
        <v>0</v>
      </c>
      <c r="H288" s="76">
        <f t="shared" si="130"/>
        <v>0</v>
      </c>
      <c r="I288" s="76">
        <f t="shared" si="130"/>
        <v>0</v>
      </c>
      <c r="J288" s="76">
        <f t="shared" si="130"/>
        <v>0</v>
      </c>
      <c r="K288" s="76">
        <f t="shared" si="130"/>
        <v>0</v>
      </c>
      <c r="L288" s="76">
        <f t="shared" si="130"/>
        <v>0</v>
      </c>
      <c r="M288" s="76">
        <f t="shared" si="130"/>
        <v>0</v>
      </c>
      <c r="N288" s="76">
        <f t="shared" si="130"/>
        <v>0</v>
      </c>
      <c r="O288" s="76">
        <f t="shared" si="130"/>
        <v>0</v>
      </c>
      <c r="P288" s="76">
        <f t="shared" si="130"/>
        <v>0</v>
      </c>
      <c r="Q288" s="76">
        <f t="shared" si="130"/>
        <v>0</v>
      </c>
      <c r="R288" s="76">
        <f t="shared" si="130"/>
        <v>0</v>
      </c>
      <c r="S288" s="76">
        <f t="shared" si="130"/>
        <v>0</v>
      </c>
      <c r="T288" s="76">
        <f t="shared" si="130"/>
        <v>0</v>
      </c>
      <c r="U288" s="76">
        <f t="shared" si="130"/>
        <v>0</v>
      </c>
      <c r="V288" s="76">
        <f t="shared" si="130"/>
        <v>0</v>
      </c>
      <c r="W288" s="76">
        <f t="shared" si="130"/>
        <v>0</v>
      </c>
      <c r="X288" s="62">
        <f t="shared" si="130"/>
        <v>0</v>
      </c>
      <c r="Y288" s="62">
        <f t="shared" si="130"/>
        <v>0</v>
      </c>
      <c r="Z288" s="62">
        <f t="shared" si="130"/>
        <v>0</v>
      </c>
      <c r="AA288" s="64">
        <f>SUM(G288:Z288)</f>
        <v>0</v>
      </c>
      <c r="AB288" s="58" t="str">
        <f>IF(ABS(F288-AA288)&lt;0.01,"ok","err")</f>
        <v>ok</v>
      </c>
    </row>
    <row r="289" spans="1:28">
      <c r="F289" s="79"/>
    </row>
    <row r="290" spans="1:28">
      <c r="A290" s="60" t="s">
        <v>922</v>
      </c>
      <c r="D290" s="60" t="s">
        <v>1108</v>
      </c>
      <c r="F290" s="76">
        <f>F245+F251+F254+F257+F265+F270+F273+F276+F279+F282+F285+F288</f>
        <v>71538724.159999996</v>
      </c>
      <c r="G290" s="76">
        <f t="shared" ref="G290:Z290" si="131">G245+G251+G254+G257+G265+G270+G273+G276+G279+G282+G285+G288</f>
        <v>35479363.969922565</v>
      </c>
      <c r="H290" s="76">
        <f t="shared" si="131"/>
        <v>9891157.0452909488</v>
      </c>
      <c r="I290" s="76">
        <f t="shared" si="131"/>
        <v>0</v>
      </c>
      <c r="J290" s="76">
        <f t="shared" si="131"/>
        <v>712516.82712121762</v>
      </c>
      <c r="K290" s="76">
        <f t="shared" si="131"/>
        <v>8634740.6352346148</v>
      </c>
      <c r="L290" s="76">
        <f t="shared" si="131"/>
        <v>0</v>
      </c>
      <c r="M290" s="76">
        <f t="shared" si="131"/>
        <v>0</v>
      </c>
      <c r="N290" s="76">
        <f t="shared" si="131"/>
        <v>7345517.5051519424</v>
      </c>
      <c r="O290" s="76">
        <f>O245+O251+O254+O257+O265+O270+O273+O276+O279+O282+O285+O288</f>
        <v>3967420.0056696082</v>
      </c>
      <c r="P290" s="76">
        <f t="shared" si="131"/>
        <v>4019271.012214886</v>
      </c>
      <c r="Q290" s="76">
        <f t="shared" si="131"/>
        <v>446231.38283390383</v>
      </c>
      <c r="R290" s="76">
        <f t="shared" si="131"/>
        <v>218399.77104608499</v>
      </c>
      <c r="S290" s="76">
        <f t="shared" si="131"/>
        <v>787772.85854098434</v>
      </c>
      <c r="T290" s="76">
        <f t="shared" si="131"/>
        <v>12540.361306268867</v>
      </c>
      <c r="U290" s="76">
        <f t="shared" si="131"/>
        <v>23792.78566697213</v>
      </c>
      <c r="V290" s="76">
        <f t="shared" si="131"/>
        <v>0</v>
      </c>
      <c r="W290" s="76">
        <f t="shared" si="131"/>
        <v>0</v>
      </c>
      <c r="X290" s="62">
        <f t="shared" si="131"/>
        <v>0</v>
      </c>
      <c r="Y290" s="62">
        <f t="shared" si="131"/>
        <v>0</v>
      </c>
      <c r="Z290" s="62">
        <f t="shared" si="131"/>
        <v>0</v>
      </c>
      <c r="AA290" s="64">
        <f>SUM(G290:Z290)</f>
        <v>71538724.159999996</v>
      </c>
      <c r="AB290" s="58" t="str">
        <f>IF(ABS(F290-AA290)&lt;0.01,"ok","err")</f>
        <v>ok</v>
      </c>
    </row>
    <row r="293" spans="1:28" ht="15">
      <c r="A293" s="65" t="s">
        <v>1071</v>
      </c>
    </row>
    <row r="295" spans="1:28" ht="15">
      <c r="A295" s="65" t="s">
        <v>364</v>
      </c>
    </row>
    <row r="296" spans="1:28">
      <c r="A296" s="68" t="s">
        <v>359</v>
      </c>
      <c r="C296" s="60" t="s">
        <v>1073</v>
      </c>
      <c r="D296" s="60" t="s">
        <v>504</v>
      </c>
      <c r="E296" s="60" t="s">
        <v>869</v>
      </c>
      <c r="F296" s="76">
        <f>VLOOKUP(C296,'Functional Assignment'!$C$2:$AP$780,'Functional Assignment'!$H$2,)</f>
        <v>28434165.889731288</v>
      </c>
      <c r="G296" s="76">
        <f t="shared" ref="G296:P301" si="132">IF(VLOOKUP($E296,$D$6:$AN$1131,3,)=0,0,(VLOOKUP($E296,$D$6:$AN$1131,G$2,)/VLOOKUP($E296,$D$6:$AN$1131,3,))*$F296)</f>
        <v>10286856.597620113</v>
      </c>
      <c r="H296" s="76">
        <f t="shared" si="132"/>
        <v>3342860.1574520608</v>
      </c>
      <c r="I296" s="76">
        <f t="shared" si="132"/>
        <v>0</v>
      </c>
      <c r="J296" s="76">
        <f t="shared" si="132"/>
        <v>398140.32854260452</v>
      </c>
      <c r="K296" s="76">
        <f t="shared" si="132"/>
        <v>4612972.0542228734</v>
      </c>
      <c r="L296" s="76">
        <f t="shared" si="132"/>
        <v>0</v>
      </c>
      <c r="M296" s="76">
        <f t="shared" si="132"/>
        <v>0</v>
      </c>
      <c r="N296" s="76">
        <f t="shared" si="132"/>
        <v>4452798.7712000264</v>
      </c>
      <c r="O296" s="76">
        <f t="shared" si="132"/>
        <v>1958401.3926028353</v>
      </c>
      <c r="P296" s="76">
        <f t="shared" si="132"/>
        <v>2711413.4191976632</v>
      </c>
      <c r="Q296" s="76">
        <f t="shared" ref="Q296:Z301" si="133">IF(VLOOKUP($E296,$D$6:$AN$1131,3,)=0,0,(VLOOKUP($E296,$D$6:$AN$1131,Q$2,)/VLOOKUP($E296,$D$6:$AN$1131,3,))*$F296)</f>
        <v>264647.6171344443</v>
      </c>
      <c r="R296" s="76">
        <f t="shared" si="133"/>
        <v>139812.3959505448</v>
      </c>
      <c r="S296" s="76">
        <f t="shared" si="133"/>
        <v>250449.17126875636</v>
      </c>
      <c r="T296" s="76">
        <f t="shared" si="133"/>
        <v>8163.7016280195403</v>
      </c>
      <c r="U296" s="76">
        <f t="shared" si="133"/>
        <v>7650.2829113540574</v>
      </c>
      <c r="V296" s="76">
        <f t="shared" si="133"/>
        <v>0</v>
      </c>
      <c r="W296" s="76">
        <f t="shared" si="133"/>
        <v>0</v>
      </c>
      <c r="X296" s="62">
        <f t="shared" si="133"/>
        <v>0</v>
      </c>
      <c r="Y296" s="62">
        <f t="shared" si="133"/>
        <v>0</v>
      </c>
      <c r="Z296" s="62">
        <f t="shared" si="133"/>
        <v>0</v>
      </c>
      <c r="AA296" s="64">
        <f t="shared" ref="AA296:AA302" si="134">SUM(G296:Z296)</f>
        <v>28434165.889731295</v>
      </c>
      <c r="AB296" s="58" t="str">
        <f t="shared" ref="AB296:AB302" si="135">IF(ABS(F296-AA296)&lt;0.01,"ok","err")</f>
        <v>ok</v>
      </c>
    </row>
    <row r="297" spans="1:28">
      <c r="A297" s="68" t="s">
        <v>1255</v>
      </c>
      <c r="C297" s="60" t="s">
        <v>1073</v>
      </c>
      <c r="D297" s="60" t="s">
        <v>505</v>
      </c>
      <c r="E297" s="60" t="s">
        <v>188</v>
      </c>
      <c r="F297" s="79">
        <f>VLOOKUP(C297,'Functional Assignment'!$C$2:$AP$780,'Functional Assignment'!$I$2,)</f>
        <v>29786588.490764581</v>
      </c>
      <c r="G297" s="79">
        <f t="shared" si="132"/>
        <v>12728350.899381103</v>
      </c>
      <c r="H297" s="79">
        <f t="shared" si="132"/>
        <v>4165002.1636032239</v>
      </c>
      <c r="I297" s="79">
        <f t="shared" si="132"/>
        <v>0</v>
      </c>
      <c r="J297" s="79">
        <f t="shared" si="132"/>
        <v>323887.63832576375</v>
      </c>
      <c r="K297" s="79">
        <f t="shared" si="132"/>
        <v>4358278.2440187279</v>
      </c>
      <c r="L297" s="79">
        <f t="shared" si="132"/>
        <v>0</v>
      </c>
      <c r="M297" s="79">
        <f t="shared" si="132"/>
        <v>0</v>
      </c>
      <c r="N297" s="79">
        <f t="shared" si="132"/>
        <v>3470693.1592654544</v>
      </c>
      <c r="O297" s="79">
        <f t="shared" si="132"/>
        <v>2327495.7525300374</v>
      </c>
      <c r="P297" s="79">
        <f t="shared" si="132"/>
        <v>2075937.189699363</v>
      </c>
      <c r="Q297" s="79">
        <f t="shared" si="133"/>
        <v>239680.11444620509</v>
      </c>
      <c r="R297" s="79">
        <f t="shared" si="133"/>
        <v>91103.342670185622</v>
      </c>
      <c r="S297" s="79">
        <f t="shared" si="133"/>
        <v>0</v>
      </c>
      <c r="T297" s="79">
        <f t="shared" si="133"/>
        <v>0</v>
      </c>
      <c r="U297" s="79">
        <f t="shared" si="133"/>
        <v>6159.9868245178577</v>
      </c>
      <c r="V297" s="79">
        <f t="shared" si="133"/>
        <v>0</v>
      </c>
      <c r="W297" s="79">
        <f t="shared" si="133"/>
        <v>0</v>
      </c>
      <c r="X297" s="63">
        <f t="shared" si="133"/>
        <v>0</v>
      </c>
      <c r="Y297" s="63">
        <f t="shared" si="133"/>
        <v>0</v>
      </c>
      <c r="Z297" s="63">
        <f t="shared" si="133"/>
        <v>0</v>
      </c>
      <c r="AA297" s="63">
        <f t="shared" si="134"/>
        <v>29786588.490764581</v>
      </c>
      <c r="AB297" s="58" t="str">
        <f t="shared" si="135"/>
        <v>ok</v>
      </c>
    </row>
    <row r="298" spans="1:28">
      <c r="A298" s="68" t="s">
        <v>1256</v>
      </c>
      <c r="C298" s="60" t="s">
        <v>1073</v>
      </c>
      <c r="D298" s="60" t="s">
        <v>506</v>
      </c>
      <c r="E298" s="60" t="s">
        <v>191</v>
      </c>
      <c r="F298" s="79">
        <f>VLOOKUP(C298,'Functional Assignment'!$C$2:$AP$780,'Functional Assignment'!$J$2,)</f>
        <v>24484475.298417449</v>
      </c>
      <c r="G298" s="79">
        <f t="shared" si="132"/>
        <v>9574654.3901394214</v>
      </c>
      <c r="H298" s="79">
        <f t="shared" si="132"/>
        <v>3460042.9447732908</v>
      </c>
      <c r="I298" s="79">
        <f t="shared" si="132"/>
        <v>0</v>
      </c>
      <c r="J298" s="79">
        <f t="shared" si="132"/>
        <v>285356.0213750687</v>
      </c>
      <c r="K298" s="79">
        <f t="shared" si="132"/>
        <v>4027869.0546102296</v>
      </c>
      <c r="L298" s="79">
        <f t="shared" si="132"/>
        <v>0</v>
      </c>
      <c r="M298" s="79">
        <f t="shared" si="132"/>
        <v>0</v>
      </c>
      <c r="N298" s="79">
        <f t="shared" si="132"/>
        <v>3046381.4998648055</v>
      </c>
      <c r="O298" s="79">
        <f t="shared" si="132"/>
        <v>2057586.3550932445</v>
      </c>
      <c r="P298" s="79">
        <f t="shared" si="132"/>
        <v>1761879.2279751783</v>
      </c>
      <c r="Q298" s="79">
        <f t="shared" si="133"/>
        <v>190242.19857080063</v>
      </c>
      <c r="R298" s="79">
        <f t="shared" si="133"/>
        <v>77011.270808438247</v>
      </c>
      <c r="S298" s="79">
        <f t="shared" si="133"/>
        <v>0</v>
      </c>
      <c r="T298" s="79">
        <f t="shared" si="133"/>
        <v>0</v>
      </c>
      <c r="U298" s="79">
        <f t="shared" si="133"/>
        <v>3452.3352069688376</v>
      </c>
      <c r="V298" s="79">
        <f t="shared" si="133"/>
        <v>0</v>
      </c>
      <c r="W298" s="79">
        <f t="shared" si="133"/>
        <v>0</v>
      </c>
      <c r="X298" s="63">
        <f t="shared" si="133"/>
        <v>0</v>
      </c>
      <c r="Y298" s="63">
        <f t="shared" si="133"/>
        <v>0</v>
      </c>
      <c r="Z298" s="63">
        <f t="shared" si="133"/>
        <v>0</v>
      </c>
      <c r="AA298" s="63">
        <f t="shared" si="134"/>
        <v>24484475.298417449</v>
      </c>
      <c r="AB298" s="58" t="str">
        <f t="shared" si="135"/>
        <v>ok</v>
      </c>
    </row>
    <row r="299" spans="1:28">
      <c r="A299" s="68" t="s">
        <v>1257</v>
      </c>
      <c r="C299" s="60" t="s">
        <v>1073</v>
      </c>
      <c r="D299" s="60" t="s">
        <v>507</v>
      </c>
      <c r="E299" s="60" t="s">
        <v>1091</v>
      </c>
      <c r="F299" s="79">
        <f>VLOOKUP(C299,'Functional Assignment'!$C$2:$AP$780,'Functional Assignment'!$K$2,)</f>
        <v>0</v>
      </c>
      <c r="G299" s="79">
        <f t="shared" si="132"/>
        <v>0</v>
      </c>
      <c r="H299" s="79">
        <f t="shared" si="132"/>
        <v>0</v>
      </c>
      <c r="I299" s="79">
        <f t="shared" si="132"/>
        <v>0</v>
      </c>
      <c r="J299" s="79">
        <f t="shared" si="132"/>
        <v>0</v>
      </c>
      <c r="K299" s="79">
        <f t="shared" si="132"/>
        <v>0</v>
      </c>
      <c r="L299" s="79">
        <f t="shared" si="132"/>
        <v>0</v>
      </c>
      <c r="M299" s="79">
        <f t="shared" si="132"/>
        <v>0</v>
      </c>
      <c r="N299" s="79">
        <f t="shared" si="132"/>
        <v>0</v>
      </c>
      <c r="O299" s="79">
        <f t="shared" si="132"/>
        <v>0</v>
      </c>
      <c r="P299" s="79">
        <f t="shared" si="132"/>
        <v>0</v>
      </c>
      <c r="Q299" s="79">
        <f t="shared" si="133"/>
        <v>0</v>
      </c>
      <c r="R299" s="79">
        <f t="shared" si="133"/>
        <v>0</v>
      </c>
      <c r="S299" s="79">
        <f t="shared" si="133"/>
        <v>0</v>
      </c>
      <c r="T299" s="79">
        <f t="shared" si="133"/>
        <v>0</v>
      </c>
      <c r="U299" s="79">
        <f t="shared" si="133"/>
        <v>0</v>
      </c>
      <c r="V299" s="79">
        <f t="shared" si="133"/>
        <v>0</v>
      </c>
      <c r="W299" s="79">
        <f t="shared" si="133"/>
        <v>0</v>
      </c>
      <c r="X299" s="63">
        <f t="shared" si="133"/>
        <v>0</v>
      </c>
      <c r="Y299" s="63">
        <f t="shared" si="133"/>
        <v>0</v>
      </c>
      <c r="Z299" s="63">
        <f t="shared" si="133"/>
        <v>0</v>
      </c>
      <c r="AA299" s="63">
        <f t="shared" si="134"/>
        <v>0</v>
      </c>
      <c r="AB299" s="58" t="str">
        <f t="shared" si="135"/>
        <v>ok</v>
      </c>
    </row>
    <row r="300" spans="1:28">
      <c r="A300" s="68" t="s">
        <v>1258</v>
      </c>
      <c r="C300" s="60" t="s">
        <v>1073</v>
      </c>
      <c r="D300" s="60" t="s">
        <v>508</v>
      </c>
      <c r="E300" s="60" t="s">
        <v>1091</v>
      </c>
      <c r="F300" s="79">
        <f>VLOOKUP(C300,'Functional Assignment'!$C$2:$AP$780,'Functional Assignment'!$L$2,)</f>
        <v>0</v>
      </c>
      <c r="G300" s="79">
        <f t="shared" si="132"/>
        <v>0</v>
      </c>
      <c r="H300" s="79">
        <f t="shared" si="132"/>
        <v>0</v>
      </c>
      <c r="I300" s="79">
        <f t="shared" si="132"/>
        <v>0</v>
      </c>
      <c r="J300" s="79">
        <f t="shared" si="132"/>
        <v>0</v>
      </c>
      <c r="K300" s="79">
        <f t="shared" si="132"/>
        <v>0</v>
      </c>
      <c r="L300" s="79">
        <f t="shared" si="132"/>
        <v>0</v>
      </c>
      <c r="M300" s="79">
        <f t="shared" si="132"/>
        <v>0</v>
      </c>
      <c r="N300" s="79">
        <f t="shared" si="132"/>
        <v>0</v>
      </c>
      <c r="O300" s="79">
        <f t="shared" si="132"/>
        <v>0</v>
      </c>
      <c r="P300" s="79">
        <f t="shared" si="132"/>
        <v>0</v>
      </c>
      <c r="Q300" s="79">
        <f t="shared" si="133"/>
        <v>0</v>
      </c>
      <c r="R300" s="79">
        <f t="shared" si="133"/>
        <v>0</v>
      </c>
      <c r="S300" s="79">
        <f t="shared" si="133"/>
        <v>0</v>
      </c>
      <c r="T300" s="79">
        <f t="shared" si="133"/>
        <v>0</v>
      </c>
      <c r="U300" s="79">
        <f t="shared" si="133"/>
        <v>0</v>
      </c>
      <c r="V300" s="79">
        <f t="shared" si="133"/>
        <v>0</v>
      </c>
      <c r="W300" s="79">
        <f t="shared" si="133"/>
        <v>0</v>
      </c>
      <c r="X300" s="63">
        <f t="shared" si="133"/>
        <v>0</v>
      </c>
      <c r="Y300" s="63">
        <f t="shared" si="133"/>
        <v>0</v>
      </c>
      <c r="Z300" s="63">
        <f t="shared" si="133"/>
        <v>0</v>
      </c>
      <c r="AA300" s="63">
        <f t="shared" si="134"/>
        <v>0</v>
      </c>
      <c r="AB300" s="58" t="str">
        <f t="shared" si="135"/>
        <v>ok</v>
      </c>
    </row>
    <row r="301" spans="1:28">
      <c r="A301" s="68" t="s">
        <v>1258</v>
      </c>
      <c r="C301" s="60" t="s">
        <v>1073</v>
      </c>
      <c r="D301" s="60" t="s">
        <v>509</v>
      </c>
      <c r="E301" s="60" t="s">
        <v>1091</v>
      </c>
      <c r="F301" s="79">
        <f>VLOOKUP(C301,'Functional Assignment'!$C$2:$AP$780,'Functional Assignment'!$M$2,)</f>
        <v>0</v>
      </c>
      <c r="G301" s="79">
        <f t="shared" si="132"/>
        <v>0</v>
      </c>
      <c r="H301" s="79">
        <f t="shared" si="132"/>
        <v>0</v>
      </c>
      <c r="I301" s="79">
        <f t="shared" si="132"/>
        <v>0</v>
      </c>
      <c r="J301" s="79">
        <f t="shared" si="132"/>
        <v>0</v>
      </c>
      <c r="K301" s="79">
        <f t="shared" si="132"/>
        <v>0</v>
      </c>
      <c r="L301" s="79">
        <f t="shared" si="132"/>
        <v>0</v>
      </c>
      <c r="M301" s="79">
        <f t="shared" si="132"/>
        <v>0</v>
      </c>
      <c r="N301" s="79">
        <f t="shared" si="132"/>
        <v>0</v>
      </c>
      <c r="O301" s="79">
        <f t="shared" si="132"/>
        <v>0</v>
      </c>
      <c r="P301" s="79">
        <f t="shared" si="132"/>
        <v>0</v>
      </c>
      <c r="Q301" s="79">
        <f t="shared" si="133"/>
        <v>0</v>
      </c>
      <c r="R301" s="79">
        <f t="shared" si="133"/>
        <v>0</v>
      </c>
      <c r="S301" s="79">
        <f t="shared" si="133"/>
        <v>0</v>
      </c>
      <c r="T301" s="79">
        <f t="shared" si="133"/>
        <v>0</v>
      </c>
      <c r="U301" s="79">
        <f t="shared" si="133"/>
        <v>0</v>
      </c>
      <c r="V301" s="79">
        <f t="shared" si="133"/>
        <v>0</v>
      </c>
      <c r="W301" s="79">
        <f t="shared" si="133"/>
        <v>0</v>
      </c>
      <c r="X301" s="63">
        <f t="shared" si="133"/>
        <v>0</v>
      </c>
      <c r="Y301" s="63">
        <f t="shared" si="133"/>
        <v>0</v>
      </c>
      <c r="Z301" s="63">
        <f t="shared" si="133"/>
        <v>0</v>
      </c>
      <c r="AA301" s="63">
        <f t="shared" si="134"/>
        <v>0</v>
      </c>
      <c r="AB301" s="58" t="str">
        <f t="shared" si="135"/>
        <v>ok</v>
      </c>
    </row>
    <row r="302" spans="1:28">
      <c r="A302" s="60" t="s">
        <v>387</v>
      </c>
      <c r="D302" s="60" t="s">
        <v>510</v>
      </c>
      <c r="F302" s="76">
        <f>SUM(F296:F301)</f>
        <v>82705229.678913325</v>
      </c>
      <c r="G302" s="76">
        <f t="shared" ref="G302:P302" si="136">SUM(G296:G301)</f>
        <v>32589861.887140639</v>
      </c>
      <c r="H302" s="76">
        <f t="shared" si="136"/>
        <v>10967905.265828576</v>
      </c>
      <c r="I302" s="76">
        <f t="shared" si="136"/>
        <v>0</v>
      </c>
      <c r="J302" s="76">
        <f t="shared" si="136"/>
        <v>1007383.9882434369</v>
      </c>
      <c r="K302" s="76">
        <f t="shared" si="136"/>
        <v>12999119.35285183</v>
      </c>
      <c r="L302" s="76">
        <f t="shared" si="136"/>
        <v>0</v>
      </c>
      <c r="M302" s="76">
        <f t="shared" si="136"/>
        <v>0</v>
      </c>
      <c r="N302" s="76">
        <f t="shared" si="136"/>
        <v>10969873.430330286</v>
      </c>
      <c r="O302" s="76">
        <f>SUM(O296:O301)</f>
        <v>6343483.5002261177</v>
      </c>
      <c r="P302" s="76">
        <f t="shared" si="136"/>
        <v>6549229.8368722051</v>
      </c>
      <c r="Q302" s="76">
        <f t="shared" ref="Q302:W302" si="137">SUM(Q296:Q301)</f>
        <v>694569.93015144998</v>
      </c>
      <c r="R302" s="76">
        <f t="shared" si="137"/>
        <v>307927.00942916865</v>
      </c>
      <c r="S302" s="76">
        <f t="shared" si="137"/>
        <v>250449.17126875636</v>
      </c>
      <c r="T302" s="76">
        <f t="shared" si="137"/>
        <v>8163.7016280195403</v>
      </c>
      <c r="U302" s="76">
        <f t="shared" si="137"/>
        <v>17262.604942840753</v>
      </c>
      <c r="V302" s="76">
        <f t="shared" si="137"/>
        <v>0</v>
      </c>
      <c r="W302" s="76">
        <f t="shared" si="137"/>
        <v>0</v>
      </c>
      <c r="X302" s="62">
        <f>SUM(X296:X301)</f>
        <v>0</v>
      </c>
      <c r="Y302" s="62">
        <f>SUM(Y296:Y301)</f>
        <v>0</v>
      </c>
      <c r="Z302" s="62">
        <f>SUM(Z296:Z301)</f>
        <v>0</v>
      </c>
      <c r="AA302" s="64">
        <f t="shared" si="134"/>
        <v>82705229.67891334</v>
      </c>
      <c r="AB302" s="58" t="str">
        <f t="shared" si="135"/>
        <v>ok</v>
      </c>
    </row>
    <row r="303" spans="1:28">
      <c r="F303" s="79"/>
      <c r="G303" s="79"/>
    </row>
    <row r="304" spans="1:28" ht="15">
      <c r="A304" s="65" t="s">
        <v>1131</v>
      </c>
      <c r="F304" s="79"/>
      <c r="G304" s="79"/>
    </row>
    <row r="305" spans="1:28">
      <c r="A305" s="68" t="s">
        <v>1363</v>
      </c>
      <c r="C305" s="60" t="s">
        <v>1073</v>
      </c>
      <c r="D305" s="60" t="s">
        <v>511</v>
      </c>
      <c r="E305" s="60" t="s">
        <v>1367</v>
      </c>
      <c r="F305" s="76">
        <f>VLOOKUP(C305,'Functional Assignment'!$C$2:$AP$780,'Functional Assignment'!$N$2,)</f>
        <v>11770778.332659373</v>
      </c>
      <c r="G305" s="76">
        <f t="shared" ref="G305:P307" si="138">IF(VLOOKUP($E305,$D$6:$AN$1131,3,)=0,0,(VLOOKUP($E305,$D$6:$AN$1131,G$2,)/VLOOKUP($E305,$D$6:$AN$1131,3,))*$F305)</f>
        <v>5230791.5018595681</v>
      </c>
      <c r="H305" s="76">
        <f t="shared" si="138"/>
        <v>1505668.7733276098</v>
      </c>
      <c r="I305" s="76">
        <f t="shared" si="138"/>
        <v>0</v>
      </c>
      <c r="J305" s="76">
        <f t="shared" si="138"/>
        <v>133779.9889594329</v>
      </c>
      <c r="K305" s="76">
        <f t="shared" si="138"/>
        <v>1552731.9142005795</v>
      </c>
      <c r="L305" s="76">
        <f t="shared" si="138"/>
        <v>0</v>
      </c>
      <c r="M305" s="76">
        <f t="shared" si="138"/>
        <v>0</v>
      </c>
      <c r="N305" s="76">
        <f t="shared" si="138"/>
        <v>1412512.2278728345</v>
      </c>
      <c r="O305" s="76">
        <f t="shared" si="138"/>
        <v>838675.62857605307</v>
      </c>
      <c r="P305" s="76">
        <f t="shared" si="138"/>
        <v>868715.03239650407</v>
      </c>
      <c r="Q305" s="76">
        <f t="shared" ref="Q305:Z307" si="139">IF(VLOOKUP($E305,$D$6:$AN$1131,3,)=0,0,(VLOOKUP($E305,$D$6:$AN$1131,Q$2,)/VLOOKUP($E305,$D$6:$AN$1131,3,))*$F305)</f>
        <v>87570.30015470217</v>
      </c>
      <c r="R305" s="76">
        <f t="shared" si="139"/>
        <v>45835.554988571217</v>
      </c>
      <c r="S305" s="76">
        <f t="shared" si="139"/>
        <v>90294.028354878552</v>
      </c>
      <c r="T305" s="76">
        <f t="shared" si="139"/>
        <v>2887.8636738089626</v>
      </c>
      <c r="U305" s="76">
        <f t="shared" si="139"/>
        <v>1315.5182948320248</v>
      </c>
      <c r="V305" s="76">
        <f t="shared" si="139"/>
        <v>0</v>
      </c>
      <c r="W305" s="76">
        <f t="shared" si="139"/>
        <v>0</v>
      </c>
      <c r="X305" s="62">
        <f t="shared" si="139"/>
        <v>0</v>
      </c>
      <c r="Y305" s="62">
        <f t="shared" si="139"/>
        <v>0</v>
      </c>
      <c r="Z305" s="62">
        <f t="shared" si="139"/>
        <v>0</v>
      </c>
      <c r="AA305" s="64">
        <f>SUM(G305:Z305)</f>
        <v>11770778.332659373</v>
      </c>
      <c r="AB305" s="58" t="str">
        <f>IF(ABS(F305-AA305)&lt;0.01,"ok","err")</f>
        <v>ok</v>
      </c>
    </row>
    <row r="306" spans="1:28" hidden="1">
      <c r="A306" s="68" t="s">
        <v>1364</v>
      </c>
      <c r="C306" s="60" t="s">
        <v>1073</v>
      </c>
      <c r="D306" s="60" t="s">
        <v>512</v>
      </c>
      <c r="E306" s="60" t="s">
        <v>188</v>
      </c>
      <c r="F306" s="79">
        <f>VLOOKUP(C306,'Functional Assignment'!$C$2:$AP$780,'Functional Assignment'!$O$2,)</f>
        <v>0</v>
      </c>
      <c r="G306" s="79">
        <f t="shared" si="138"/>
        <v>0</v>
      </c>
      <c r="H306" s="79">
        <f t="shared" si="138"/>
        <v>0</v>
      </c>
      <c r="I306" s="79">
        <f t="shared" si="138"/>
        <v>0</v>
      </c>
      <c r="J306" s="79">
        <f t="shared" si="138"/>
        <v>0</v>
      </c>
      <c r="K306" s="79">
        <f t="shared" si="138"/>
        <v>0</v>
      </c>
      <c r="L306" s="79">
        <f t="shared" si="138"/>
        <v>0</v>
      </c>
      <c r="M306" s="79">
        <f t="shared" si="138"/>
        <v>0</v>
      </c>
      <c r="N306" s="79">
        <f t="shared" si="138"/>
        <v>0</v>
      </c>
      <c r="O306" s="79">
        <f t="shared" si="138"/>
        <v>0</v>
      </c>
      <c r="P306" s="79">
        <f t="shared" si="138"/>
        <v>0</v>
      </c>
      <c r="Q306" s="79">
        <f t="shared" si="139"/>
        <v>0</v>
      </c>
      <c r="R306" s="79">
        <f t="shared" si="139"/>
        <v>0</v>
      </c>
      <c r="S306" s="79">
        <f t="shared" si="139"/>
        <v>0</v>
      </c>
      <c r="T306" s="79">
        <f t="shared" si="139"/>
        <v>0</v>
      </c>
      <c r="U306" s="79">
        <f t="shared" si="139"/>
        <v>0</v>
      </c>
      <c r="V306" s="79">
        <f t="shared" si="139"/>
        <v>0</v>
      </c>
      <c r="W306" s="79">
        <f t="shared" si="139"/>
        <v>0</v>
      </c>
      <c r="X306" s="63">
        <f t="shared" si="139"/>
        <v>0</v>
      </c>
      <c r="Y306" s="63">
        <f t="shared" si="139"/>
        <v>0</v>
      </c>
      <c r="Z306" s="63">
        <f t="shared" si="139"/>
        <v>0</v>
      </c>
      <c r="AA306" s="63">
        <f>SUM(G306:Z306)</f>
        <v>0</v>
      </c>
      <c r="AB306" s="58" t="str">
        <f>IF(ABS(F306-AA306)&lt;0.01,"ok","err")</f>
        <v>ok</v>
      </c>
    </row>
    <row r="307" spans="1:28" hidden="1">
      <c r="A307" s="68" t="s">
        <v>1364</v>
      </c>
      <c r="C307" s="60" t="s">
        <v>1073</v>
      </c>
      <c r="D307" s="60" t="s">
        <v>513</v>
      </c>
      <c r="E307" s="60" t="s">
        <v>191</v>
      </c>
      <c r="F307" s="79">
        <f>VLOOKUP(C307,'Functional Assignment'!$C$2:$AP$780,'Functional Assignment'!$P$2,)</f>
        <v>0</v>
      </c>
      <c r="G307" s="79">
        <f t="shared" si="138"/>
        <v>0</v>
      </c>
      <c r="H307" s="79">
        <f t="shared" si="138"/>
        <v>0</v>
      </c>
      <c r="I307" s="79">
        <f t="shared" si="138"/>
        <v>0</v>
      </c>
      <c r="J307" s="79">
        <f t="shared" si="138"/>
        <v>0</v>
      </c>
      <c r="K307" s="79">
        <f t="shared" si="138"/>
        <v>0</v>
      </c>
      <c r="L307" s="79">
        <f t="shared" si="138"/>
        <v>0</v>
      </c>
      <c r="M307" s="79">
        <f t="shared" si="138"/>
        <v>0</v>
      </c>
      <c r="N307" s="79">
        <f t="shared" si="138"/>
        <v>0</v>
      </c>
      <c r="O307" s="79">
        <f t="shared" si="138"/>
        <v>0</v>
      </c>
      <c r="P307" s="79">
        <f t="shared" si="138"/>
        <v>0</v>
      </c>
      <c r="Q307" s="79">
        <f t="shared" si="139"/>
        <v>0</v>
      </c>
      <c r="R307" s="79">
        <f t="shared" si="139"/>
        <v>0</v>
      </c>
      <c r="S307" s="79">
        <f t="shared" si="139"/>
        <v>0</v>
      </c>
      <c r="T307" s="79">
        <f t="shared" si="139"/>
        <v>0</v>
      </c>
      <c r="U307" s="79">
        <f t="shared" si="139"/>
        <v>0</v>
      </c>
      <c r="V307" s="79">
        <f t="shared" si="139"/>
        <v>0</v>
      </c>
      <c r="W307" s="79">
        <f t="shared" si="139"/>
        <v>0</v>
      </c>
      <c r="X307" s="63">
        <f t="shared" si="139"/>
        <v>0</v>
      </c>
      <c r="Y307" s="63">
        <f t="shared" si="139"/>
        <v>0</v>
      </c>
      <c r="Z307" s="63">
        <f t="shared" si="139"/>
        <v>0</v>
      </c>
      <c r="AA307" s="63">
        <f>SUM(G307:Z307)</f>
        <v>0</v>
      </c>
      <c r="AB307" s="58" t="str">
        <f>IF(ABS(F307-AA307)&lt;0.01,"ok","err")</f>
        <v>ok</v>
      </c>
    </row>
    <row r="308" spans="1:28" hidden="1">
      <c r="A308" s="60" t="s">
        <v>1133</v>
      </c>
      <c r="D308" s="60" t="s">
        <v>514</v>
      </c>
      <c r="F308" s="76">
        <f>SUM(F305:F307)</f>
        <v>11770778.332659373</v>
      </c>
      <c r="G308" s="76">
        <f t="shared" ref="G308:W308" si="140">SUM(G305:G307)</f>
        <v>5230791.5018595681</v>
      </c>
      <c r="H308" s="76">
        <f t="shared" si="140"/>
        <v>1505668.7733276098</v>
      </c>
      <c r="I308" s="76">
        <f t="shared" si="140"/>
        <v>0</v>
      </c>
      <c r="J308" s="76">
        <f t="shared" si="140"/>
        <v>133779.9889594329</v>
      </c>
      <c r="K308" s="76">
        <f t="shared" si="140"/>
        <v>1552731.9142005795</v>
      </c>
      <c r="L308" s="76">
        <f t="shared" si="140"/>
        <v>0</v>
      </c>
      <c r="M308" s="76">
        <f t="shared" si="140"/>
        <v>0</v>
      </c>
      <c r="N308" s="76">
        <f t="shared" si="140"/>
        <v>1412512.2278728345</v>
      </c>
      <c r="O308" s="76">
        <f>SUM(O305:O307)</f>
        <v>838675.62857605307</v>
      </c>
      <c r="P308" s="76">
        <f t="shared" si="140"/>
        <v>868715.03239650407</v>
      </c>
      <c r="Q308" s="76">
        <f t="shared" si="140"/>
        <v>87570.30015470217</v>
      </c>
      <c r="R308" s="76">
        <f t="shared" si="140"/>
        <v>45835.554988571217</v>
      </c>
      <c r="S308" s="76">
        <f t="shared" si="140"/>
        <v>90294.028354878552</v>
      </c>
      <c r="T308" s="76">
        <f t="shared" si="140"/>
        <v>2887.8636738089626</v>
      </c>
      <c r="U308" s="76">
        <f t="shared" si="140"/>
        <v>1315.5182948320248</v>
      </c>
      <c r="V308" s="76">
        <f t="shared" si="140"/>
        <v>0</v>
      </c>
      <c r="W308" s="76">
        <f t="shared" si="140"/>
        <v>0</v>
      </c>
      <c r="X308" s="62">
        <f>SUM(X305:X307)</f>
        <v>0</v>
      </c>
      <c r="Y308" s="62">
        <f>SUM(Y305:Y307)</f>
        <v>0</v>
      </c>
      <c r="Z308" s="62">
        <f>SUM(Z305:Z307)</f>
        <v>0</v>
      </c>
      <c r="AA308" s="64">
        <f>SUM(G308:Z308)</f>
        <v>11770778.332659373</v>
      </c>
      <c r="AB308" s="58" t="str">
        <f>IF(ABS(F308-AA308)&lt;0.01,"ok","err")</f>
        <v>ok</v>
      </c>
    </row>
    <row r="309" spans="1:28">
      <c r="F309" s="79"/>
      <c r="G309" s="79"/>
    </row>
    <row r="310" spans="1:28" ht="15">
      <c r="A310" s="65" t="s">
        <v>348</v>
      </c>
      <c r="F310" s="79"/>
      <c r="G310" s="79"/>
    </row>
    <row r="311" spans="1:28">
      <c r="A311" s="68" t="s">
        <v>372</v>
      </c>
      <c r="C311" s="60" t="s">
        <v>1073</v>
      </c>
      <c r="D311" s="60" t="s">
        <v>515</v>
      </c>
      <c r="E311" s="60" t="s">
        <v>1368</v>
      </c>
      <c r="F311" s="76">
        <f>VLOOKUP(C311,'Functional Assignment'!$C$2:$AP$780,'Functional Assignment'!$Q$2,)</f>
        <v>0</v>
      </c>
      <c r="G311" s="76">
        <f t="shared" ref="G311:Z311" si="141">IF(VLOOKUP($E311,$D$6:$AN$1131,3,)=0,0,(VLOOKUP($E311,$D$6:$AN$1131,G$2,)/VLOOKUP($E311,$D$6:$AN$1131,3,))*$F311)</f>
        <v>0</v>
      </c>
      <c r="H311" s="76">
        <f t="shared" si="141"/>
        <v>0</v>
      </c>
      <c r="I311" s="76">
        <f t="shared" si="141"/>
        <v>0</v>
      </c>
      <c r="J311" s="76">
        <f t="shared" si="141"/>
        <v>0</v>
      </c>
      <c r="K311" s="76">
        <f t="shared" si="141"/>
        <v>0</v>
      </c>
      <c r="L311" s="76">
        <f t="shared" si="141"/>
        <v>0</v>
      </c>
      <c r="M311" s="76">
        <f t="shared" si="141"/>
        <v>0</v>
      </c>
      <c r="N311" s="76">
        <f t="shared" si="141"/>
        <v>0</v>
      </c>
      <c r="O311" s="76">
        <f t="shared" si="141"/>
        <v>0</v>
      </c>
      <c r="P311" s="76">
        <f t="shared" si="141"/>
        <v>0</v>
      </c>
      <c r="Q311" s="76">
        <f t="shared" si="141"/>
        <v>0</v>
      </c>
      <c r="R311" s="76">
        <f t="shared" si="141"/>
        <v>0</v>
      </c>
      <c r="S311" s="76">
        <f t="shared" si="141"/>
        <v>0</v>
      </c>
      <c r="T311" s="76">
        <f t="shared" si="141"/>
        <v>0</v>
      </c>
      <c r="U311" s="76">
        <f t="shared" si="141"/>
        <v>0</v>
      </c>
      <c r="V311" s="76">
        <f t="shared" si="141"/>
        <v>0</v>
      </c>
      <c r="W311" s="76">
        <f t="shared" si="141"/>
        <v>0</v>
      </c>
      <c r="X311" s="62">
        <f t="shared" si="141"/>
        <v>0</v>
      </c>
      <c r="Y311" s="62">
        <f t="shared" si="141"/>
        <v>0</v>
      </c>
      <c r="Z311" s="62">
        <f t="shared" si="141"/>
        <v>0</v>
      </c>
      <c r="AA311" s="64">
        <f>SUM(G311:Z311)</f>
        <v>0</v>
      </c>
      <c r="AB311" s="58" t="str">
        <f>IF(ABS(F311-AA311)&lt;0.01,"ok","err")</f>
        <v>ok</v>
      </c>
    </row>
    <row r="312" spans="1:28">
      <c r="F312" s="79"/>
    </row>
    <row r="313" spans="1:28" ht="15">
      <c r="A313" s="65" t="s">
        <v>349</v>
      </c>
      <c r="F313" s="79"/>
      <c r="G313" s="79"/>
    </row>
    <row r="314" spans="1:28">
      <c r="A314" s="68" t="s">
        <v>374</v>
      </c>
      <c r="C314" s="60" t="s">
        <v>1073</v>
      </c>
      <c r="D314" s="60" t="s">
        <v>516</v>
      </c>
      <c r="E314" s="60" t="s">
        <v>1368</v>
      </c>
      <c r="F314" s="76">
        <f>VLOOKUP(C314,'Functional Assignment'!$C$2:$AP$780,'Functional Assignment'!$R$2,)</f>
        <v>4970929.1010819944</v>
      </c>
      <c r="G314" s="76">
        <f t="shared" ref="G314:Z314" si="142">IF(VLOOKUP($E314,$D$6:$AN$1131,3,)=0,0,(VLOOKUP($E314,$D$6:$AN$1131,G$2,)/VLOOKUP($E314,$D$6:$AN$1131,3,))*$F314)</f>
        <v>2385043.3612561361</v>
      </c>
      <c r="H314" s="76">
        <f t="shared" si="142"/>
        <v>686528.09250742267</v>
      </c>
      <c r="I314" s="76">
        <f t="shared" si="142"/>
        <v>0</v>
      </c>
      <c r="J314" s="76">
        <f t="shared" si="142"/>
        <v>60998.622182356827</v>
      </c>
      <c r="K314" s="76">
        <f t="shared" si="142"/>
        <v>707987.10720128578</v>
      </c>
      <c r="L314" s="76">
        <f t="shared" si="142"/>
        <v>0</v>
      </c>
      <c r="M314" s="76">
        <f t="shared" si="142"/>
        <v>0</v>
      </c>
      <c r="N314" s="76">
        <f t="shared" si="142"/>
        <v>644052.22624215845</v>
      </c>
      <c r="O314" s="76">
        <f t="shared" si="142"/>
        <v>382404.41039783851</v>
      </c>
      <c r="P314" s="76">
        <f t="shared" si="142"/>
        <v>0</v>
      </c>
      <c r="Q314" s="76">
        <f t="shared" si="142"/>
        <v>39928.749397281339</v>
      </c>
      <c r="R314" s="76">
        <f t="shared" si="142"/>
        <v>20899.281895697564</v>
      </c>
      <c r="S314" s="76">
        <f t="shared" si="142"/>
        <v>41170.666583119732</v>
      </c>
      <c r="T314" s="76">
        <f t="shared" si="142"/>
        <v>1316.7567625247964</v>
      </c>
      <c r="U314" s="76">
        <f t="shared" si="142"/>
        <v>599.82665617329508</v>
      </c>
      <c r="V314" s="76">
        <f t="shared" si="142"/>
        <v>0</v>
      </c>
      <c r="W314" s="76">
        <f t="shared" si="142"/>
        <v>0</v>
      </c>
      <c r="X314" s="62">
        <f t="shared" si="142"/>
        <v>0</v>
      </c>
      <c r="Y314" s="62">
        <f t="shared" si="142"/>
        <v>0</v>
      </c>
      <c r="Z314" s="62">
        <f t="shared" si="142"/>
        <v>0</v>
      </c>
      <c r="AA314" s="64">
        <f>SUM(G314:Z314)</f>
        <v>4970929.1010819944</v>
      </c>
      <c r="AB314" s="58" t="str">
        <f>IF(ABS(F314-AA314)&lt;0.01,"ok","err")</f>
        <v>ok</v>
      </c>
    </row>
    <row r="315" spans="1:28">
      <c r="F315" s="79"/>
    </row>
    <row r="316" spans="1:28" ht="15">
      <c r="A316" s="65" t="s">
        <v>373</v>
      </c>
      <c r="F316" s="79"/>
    </row>
    <row r="317" spans="1:28">
      <c r="A317" s="68" t="s">
        <v>623</v>
      </c>
      <c r="C317" s="60" t="s">
        <v>1073</v>
      </c>
      <c r="D317" s="60" t="s">
        <v>517</v>
      </c>
      <c r="E317" s="60" t="s">
        <v>1368</v>
      </c>
      <c r="F317" s="76">
        <f>VLOOKUP(C317,'Functional Assignment'!$C$2:$AP$780,'Functional Assignment'!$S$2,)</f>
        <v>0</v>
      </c>
      <c r="G317" s="76">
        <f t="shared" ref="G317:P321" si="143">IF(VLOOKUP($E317,$D$6:$AN$1131,3,)=0,0,(VLOOKUP($E317,$D$6:$AN$1131,G$2,)/VLOOKUP($E317,$D$6:$AN$1131,3,))*$F317)</f>
        <v>0</v>
      </c>
      <c r="H317" s="76">
        <f t="shared" si="143"/>
        <v>0</v>
      </c>
      <c r="I317" s="76">
        <f t="shared" si="143"/>
        <v>0</v>
      </c>
      <c r="J317" s="76">
        <f t="shared" si="143"/>
        <v>0</v>
      </c>
      <c r="K317" s="76">
        <f t="shared" si="143"/>
        <v>0</v>
      </c>
      <c r="L317" s="76">
        <f t="shared" si="143"/>
        <v>0</v>
      </c>
      <c r="M317" s="76">
        <f t="shared" si="143"/>
        <v>0</v>
      </c>
      <c r="N317" s="76">
        <f t="shared" si="143"/>
        <v>0</v>
      </c>
      <c r="O317" s="76">
        <f t="shared" si="143"/>
        <v>0</v>
      </c>
      <c r="P317" s="76">
        <f t="shared" si="143"/>
        <v>0</v>
      </c>
      <c r="Q317" s="76">
        <f t="shared" ref="Q317:Z321" si="144">IF(VLOOKUP($E317,$D$6:$AN$1131,3,)=0,0,(VLOOKUP($E317,$D$6:$AN$1131,Q$2,)/VLOOKUP($E317,$D$6:$AN$1131,3,))*$F317)</f>
        <v>0</v>
      </c>
      <c r="R317" s="76">
        <f t="shared" si="144"/>
        <v>0</v>
      </c>
      <c r="S317" s="76">
        <f t="shared" si="144"/>
        <v>0</v>
      </c>
      <c r="T317" s="76">
        <f t="shared" si="144"/>
        <v>0</v>
      </c>
      <c r="U317" s="76">
        <f t="shared" si="144"/>
        <v>0</v>
      </c>
      <c r="V317" s="76">
        <f t="shared" si="144"/>
        <v>0</v>
      </c>
      <c r="W317" s="76">
        <f t="shared" si="144"/>
        <v>0</v>
      </c>
      <c r="X317" s="62">
        <f t="shared" si="144"/>
        <v>0</v>
      </c>
      <c r="Y317" s="62">
        <f t="shared" si="144"/>
        <v>0</v>
      </c>
      <c r="Z317" s="62">
        <f t="shared" si="144"/>
        <v>0</v>
      </c>
      <c r="AA317" s="64">
        <f t="shared" ref="AA317:AA322" si="145">SUM(G317:Z317)</f>
        <v>0</v>
      </c>
      <c r="AB317" s="58" t="str">
        <f t="shared" ref="AB317:AB322" si="146">IF(ABS(F317-AA317)&lt;0.01,"ok","err")</f>
        <v>ok</v>
      </c>
    </row>
    <row r="318" spans="1:28">
      <c r="A318" s="68" t="s">
        <v>624</v>
      </c>
      <c r="C318" s="60" t="s">
        <v>1073</v>
      </c>
      <c r="D318" s="60" t="s">
        <v>518</v>
      </c>
      <c r="E318" s="60" t="s">
        <v>1368</v>
      </c>
      <c r="F318" s="79">
        <f>VLOOKUP(C318,'Functional Assignment'!$C$2:$AP$780,'Functional Assignment'!$T$2,)</f>
        <v>8500800.0729133934</v>
      </c>
      <c r="G318" s="79">
        <f t="shared" si="143"/>
        <v>4078669.4734500777</v>
      </c>
      <c r="H318" s="79">
        <f t="shared" si="143"/>
        <v>1174033.6545081469</v>
      </c>
      <c r="I318" s="79">
        <f t="shared" si="143"/>
        <v>0</v>
      </c>
      <c r="J318" s="79">
        <f t="shared" si="143"/>
        <v>104313.91825373819</v>
      </c>
      <c r="K318" s="79">
        <f t="shared" si="143"/>
        <v>1210730.7769101814</v>
      </c>
      <c r="L318" s="79">
        <f t="shared" si="143"/>
        <v>0</v>
      </c>
      <c r="M318" s="79">
        <f t="shared" si="143"/>
        <v>0</v>
      </c>
      <c r="N318" s="79">
        <f t="shared" si="143"/>
        <v>1101395.5541244131</v>
      </c>
      <c r="O318" s="79">
        <f t="shared" si="143"/>
        <v>653950.87592071621</v>
      </c>
      <c r="P318" s="79">
        <f t="shared" si="143"/>
        <v>0</v>
      </c>
      <c r="Q318" s="79">
        <f t="shared" si="144"/>
        <v>68282.268542890466</v>
      </c>
      <c r="R318" s="79">
        <f t="shared" si="144"/>
        <v>35739.921743022453</v>
      </c>
      <c r="S318" s="79">
        <f t="shared" si="144"/>
        <v>70406.074674349758</v>
      </c>
      <c r="T318" s="79">
        <f t="shared" si="144"/>
        <v>2251.7895055963622</v>
      </c>
      <c r="U318" s="79">
        <f t="shared" si="144"/>
        <v>1025.7652802618875</v>
      </c>
      <c r="V318" s="79">
        <f t="shared" si="144"/>
        <v>0</v>
      </c>
      <c r="W318" s="79">
        <f t="shared" si="144"/>
        <v>0</v>
      </c>
      <c r="X318" s="63">
        <f t="shared" si="144"/>
        <v>0</v>
      </c>
      <c r="Y318" s="63">
        <f t="shared" si="144"/>
        <v>0</v>
      </c>
      <c r="Z318" s="63">
        <f t="shared" si="144"/>
        <v>0</v>
      </c>
      <c r="AA318" s="63">
        <f t="shared" si="145"/>
        <v>8500800.0729133952</v>
      </c>
      <c r="AB318" s="58" t="str">
        <f t="shared" si="146"/>
        <v>ok</v>
      </c>
    </row>
    <row r="319" spans="1:28">
      <c r="A319" s="68" t="s">
        <v>625</v>
      </c>
      <c r="C319" s="60" t="s">
        <v>1073</v>
      </c>
      <c r="D319" s="60" t="s">
        <v>519</v>
      </c>
      <c r="E319" s="60" t="s">
        <v>698</v>
      </c>
      <c r="F319" s="79">
        <f>VLOOKUP(C319,'Functional Assignment'!$C$2:$AP$780,'Functional Assignment'!$U$2,)</f>
        <v>13527932.388058219</v>
      </c>
      <c r="G319" s="79">
        <f t="shared" si="143"/>
        <v>11662609.564364776</v>
      </c>
      <c r="H319" s="79">
        <f t="shared" si="143"/>
        <v>1448965.0828982224</v>
      </c>
      <c r="I319" s="79">
        <f t="shared" si="143"/>
        <v>0</v>
      </c>
      <c r="J319" s="79">
        <f t="shared" si="143"/>
        <v>2306.1981556838873</v>
      </c>
      <c r="K319" s="79">
        <f t="shared" si="143"/>
        <v>90459.554972369151</v>
      </c>
      <c r="L319" s="79">
        <f t="shared" si="143"/>
        <v>0</v>
      </c>
      <c r="M319" s="79">
        <f t="shared" si="143"/>
        <v>0</v>
      </c>
      <c r="N319" s="79">
        <f t="shared" si="143"/>
        <v>3379.2209086756961</v>
      </c>
      <c r="O319" s="79">
        <f t="shared" si="143"/>
        <v>8840.4262634549013</v>
      </c>
      <c r="P319" s="79">
        <f t="shared" si="143"/>
        <v>0</v>
      </c>
      <c r="Q319" s="79">
        <f t="shared" si="144"/>
        <v>32.030529940053988</v>
      </c>
      <c r="R319" s="79">
        <f t="shared" si="144"/>
        <v>32.030529940053988</v>
      </c>
      <c r="S319" s="79">
        <f t="shared" si="144"/>
        <v>307500.20532006054</v>
      </c>
      <c r="T319" s="79">
        <f t="shared" si="144"/>
        <v>587.22638223432307</v>
      </c>
      <c r="U319" s="79">
        <f t="shared" si="144"/>
        <v>3220.8477328609847</v>
      </c>
      <c r="V319" s="79">
        <f t="shared" si="144"/>
        <v>0</v>
      </c>
      <c r="W319" s="79">
        <f t="shared" si="144"/>
        <v>0</v>
      </c>
      <c r="X319" s="63">
        <f t="shared" si="144"/>
        <v>0</v>
      </c>
      <c r="Y319" s="63">
        <f t="shared" si="144"/>
        <v>0</v>
      </c>
      <c r="Z319" s="63">
        <f t="shared" si="144"/>
        <v>0</v>
      </c>
      <c r="AA319" s="63">
        <f t="shared" si="145"/>
        <v>13527932.388058219</v>
      </c>
      <c r="AB319" s="58" t="str">
        <f t="shared" si="146"/>
        <v>ok</v>
      </c>
    </row>
    <row r="320" spans="1:28">
      <c r="A320" s="68" t="s">
        <v>626</v>
      </c>
      <c r="C320" s="60" t="s">
        <v>1073</v>
      </c>
      <c r="D320" s="60" t="s">
        <v>520</v>
      </c>
      <c r="E320" s="60" t="s">
        <v>678</v>
      </c>
      <c r="F320" s="79">
        <f>VLOOKUP(C320,'Functional Assignment'!$C$2:$AP$780,'Functional Assignment'!$V$2,)</f>
        <v>2336901.8861824367</v>
      </c>
      <c r="G320" s="79">
        <f t="shared" si="143"/>
        <v>1961146.8018662254</v>
      </c>
      <c r="H320" s="79">
        <f t="shared" si="143"/>
        <v>358881.01933143946</v>
      </c>
      <c r="I320" s="79">
        <f t="shared" si="143"/>
        <v>0</v>
      </c>
      <c r="J320" s="79">
        <f t="shared" si="143"/>
        <v>0</v>
      </c>
      <c r="K320" s="79">
        <f t="shared" si="143"/>
        <v>0</v>
      </c>
      <c r="L320" s="79">
        <f t="shared" si="143"/>
        <v>0</v>
      </c>
      <c r="M320" s="79">
        <f t="shared" si="143"/>
        <v>0</v>
      </c>
      <c r="N320" s="79">
        <f t="shared" si="143"/>
        <v>0</v>
      </c>
      <c r="O320" s="79">
        <f t="shared" si="143"/>
        <v>0</v>
      </c>
      <c r="P320" s="79">
        <f t="shared" si="143"/>
        <v>0</v>
      </c>
      <c r="Q320" s="79">
        <f t="shared" si="144"/>
        <v>0</v>
      </c>
      <c r="R320" s="79">
        <f t="shared" si="144"/>
        <v>0</v>
      </c>
      <c r="S320" s="79">
        <f t="shared" si="144"/>
        <v>16123.482082533224</v>
      </c>
      <c r="T320" s="79">
        <f t="shared" si="144"/>
        <v>515.67549980664512</v>
      </c>
      <c r="U320" s="79">
        <f t="shared" si="144"/>
        <v>234.90740243203251</v>
      </c>
      <c r="V320" s="79">
        <f t="shared" si="144"/>
        <v>0</v>
      </c>
      <c r="W320" s="79">
        <f t="shared" si="144"/>
        <v>0</v>
      </c>
      <c r="X320" s="63">
        <f t="shared" si="144"/>
        <v>0</v>
      </c>
      <c r="Y320" s="63">
        <f t="shared" si="144"/>
        <v>0</v>
      </c>
      <c r="Z320" s="63">
        <f t="shared" si="144"/>
        <v>0</v>
      </c>
      <c r="AA320" s="63">
        <f t="shared" si="145"/>
        <v>2336901.8861824367</v>
      </c>
      <c r="AB320" s="58" t="str">
        <f t="shared" si="146"/>
        <v>ok</v>
      </c>
    </row>
    <row r="321" spans="1:28">
      <c r="A321" s="68" t="s">
        <v>627</v>
      </c>
      <c r="C321" s="60" t="s">
        <v>1073</v>
      </c>
      <c r="D321" s="60" t="s">
        <v>521</v>
      </c>
      <c r="E321" s="60" t="s">
        <v>697</v>
      </c>
      <c r="F321" s="79">
        <f>VLOOKUP(C321,'Functional Assignment'!$C$2:$AP$780,'Functional Assignment'!$W$2,)</f>
        <v>3551287.1257454674</v>
      </c>
      <c r="G321" s="79">
        <f t="shared" si="143"/>
        <v>3085572.2593054506</v>
      </c>
      <c r="H321" s="79">
        <f t="shared" si="143"/>
        <v>383352.15114752855</v>
      </c>
      <c r="I321" s="79">
        <f t="shared" si="143"/>
        <v>0</v>
      </c>
      <c r="J321" s="79">
        <f t="shared" si="143"/>
        <v>0</v>
      </c>
      <c r="K321" s="79">
        <f t="shared" si="143"/>
        <v>0</v>
      </c>
      <c r="L321" s="79">
        <f t="shared" si="143"/>
        <v>0</v>
      </c>
      <c r="M321" s="79">
        <f t="shared" si="143"/>
        <v>0</v>
      </c>
      <c r="N321" s="79">
        <f t="shared" si="143"/>
        <v>0</v>
      </c>
      <c r="O321" s="79">
        <f t="shared" si="143"/>
        <v>0</v>
      </c>
      <c r="P321" s="79">
        <f t="shared" si="143"/>
        <v>0</v>
      </c>
      <c r="Q321" s="79">
        <f t="shared" si="144"/>
        <v>0</v>
      </c>
      <c r="R321" s="79">
        <f t="shared" si="144"/>
        <v>0</v>
      </c>
      <c r="S321" s="79">
        <f t="shared" si="144"/>
        <v>81355.214545243842</v>
      </c>
      <c r="T321" s="79">
        <f t="shared" si="144"/>
        <v>155.36226476198738</v>
      </c>
      <c r="U321" s="79">
        <f t="shared" si="144"/>
        <v>852.13848248241561</v>
      </c>
      <c r="V321" s="79">
        <f t="shared" si="144"/>
        <v>0</v>
      </c>
      <c r="W321" s="79">
        <f t="shared" si="144"/>
        <v>0</v>
      </c>
      <c r="X321" s="63">
        <f t="shared" si="144"/>
        <v>0</v>
      </c>
      <c r="Y321" s="63">
        <f t="shared" si="144"/>
        <v>0</v>
      </c>
      <c r="Z321" s="63">
        <f t="shared" si="144"/>
        <v>0</v>
      </c>
      <c r="AA321" s="63">
        <f t="shared" si="145"/>
        <v>3551287.1257454678</v>
      </c>
      <c r="AB321" s="58" t="str">
        <f t="shared" si="146"/>
        <v>ok</v>
      </c>
    </row>
    <row r="322" spans="1:28">
      <c r="A322" s="60" t="s">
        <v>378</v>
      </c>
      <c r="D322" s="60" t="s">
        <v>522</v>
      </c>
      <c r="F322" s="76">
        <f>SUM(F317:F321)</f>
        <v>27916921.472899519</v>
      </c>
      <c r="G322" s="76">
        <f t="shared" ref="G322:W322" si="147">SUM(G317:G321)</f>
        <v>20787998.098986529</v>
      </c>
      <c r="H322" s="76">
        <f t="shared" si="147"/>
        <v>3365231.9078853372</v>
      </c>
      <c r="I322" s="76">
        <f t="shared" si="147"/>
        <v>0</v>
      </c>
      <c r="J322" s="76">
        <f t="shared" si="147"/>
        <v>106620.11640942207</v>
      </c>
      <c r="K322" s="76">
        <f t="shared" si="147"/>
        <v>1301190.3318825506</v>
      </c>
      <c r="L322" s="76">
        <f t="shared" si="147"/>
        <v>0</v>
      </c>
      <c r="M322" s="76">
        <f t="shared" si="147"/>
        <v>0</v>
      </c>
      <c r="N322" s="76">
        <f t="shared" si="147"/>
        <v>1104774.7750330889</v>
      </c>
      <c r="O322" s="76">
        <f>SUM(O317:O321)</f>
        <v>662791.30218417116</v>
      </c>
      <c r="P322" s="76">
        <f t="shared" si="147"/>
        <v>0</v>
      </c>
      <c r="Q322" s="76">
        <f t="shared" si="147"/>
        <v>68314.299072830516</v>
      </c>
      <c r="R322" s="76">
        <f t="shared" si="147"/>
        <v>35771.95227296251</v>
      </c>
      <c r="S322" s="76">
        <f t="shared" si="147"/>
        <v>475384.97662218736</v>
      </c>
      <c r="T322" s="76">
        <f t="shared" si="147"/>
        <v>3510.0536523993173</v>
      </c>
      <c r="U322" s="76">
        <f t="shared" si="147"/>
        <v>5333.6588980373199</v>
      </c>
      <c r="V322" s="76">
        <f t="shared" si="147"/>
        <v>0</v>
      </c>
      <c r="W322" s="76">
        <f t="shared" si="147"/>
        <v>0</v>
      </c>
      <c r="X322" s="62">
        <f>SUM(X317:X321)</f>
        <v>0</v>
      </c>
      <c r="Y322" s="62">
        <f>SUM(Y317:Y321)</f>
        <v>0</v>
      </c>
      <c r="Z322" s="62">
        <f>SUM(Z317:Z321)</f>
        <v>0</v>
      </c>
      <c r="AA322" s="64">
        <f t="shared" si="145"/>
        <v>27916921.472899515</v>
      </c>
      <c r="AB322" s="58" t="str">
        <f t="shared" si="146"/>
        <v>ok</v>
      </c>
    </row>
    <row r="323" spans="1:28">
      <c r="F323" s="79"/>
    </row>
    <row r="324" spans="1:28" ht="15">
      <c r="A324" s="65" t="s">
        <v>634</v>
      </c>
      <c r="F324" s="79"/>
    </row>
    <row r="325" spans="1:28">
      <c r="A325" s="68" t="s">
        <v>1090</v>
      </c>
      <c r="C325" s="60" t="s">
        <v>1073</v>
      </c>
      <c r="D325" s="60" t="s">
        <v>523</v>
      </c>
      <c r="E325" s="60" t="s">
        <v>1336</v>
      </c>
      <c r="F325" s="76">
        <f>VLOOKUP(C325,'Functional Assignment'!$C$2:$AP$780,'Functional Assignment'!$X$2,)</f>
        <v>3230303.464011176</v>
      </c>
      <c r="G325" s="76">
        <f t="shared" ref="G325:P326" si="148">IF(VLOOKUP($E325,$D$6:$AN$1131,3,)=0,0,(VLOOKUP($E325,$D$6:$AN$1131,G$2,)/VLOOKUP($E325,$D$6:$AN$1131,3,))*$F325)</f>
        <v>2241186.9060360873</v>
      </c>
      <c r="H325" s="76">
        <f t="shared" si="148"/>
        <v>410127.09532255126</v>
      </c>
      <c r="I325" s="76">
        <f t="shared" si="148"/>
        <v>0</v>
      </c>
      <c r="J325" s="76">
        <f t="shared" si="148"/>
        <v>0</v>
      </c>
      <c r="K325" s="76">
        <f t="shared" si="148"/>
        <v>361201.83749819291</v>
      </c>
      <c r="L325" s="76">
        <f t="shared" si="148"/>
        <v>0</v>
      </c>
      <c r="M325" s="76">
        <f t="shared" si="148"/>
        <v>0</v>
      </c>
      <c r="N325" s="76">
        <f t="shared" si="148"/>
        <v>0</v>
      </c>
      <c r="O325" s="76">
        <f t="shared" si="148"/>
        <v>198504.0440070871</v>
      </c>
      <c r="P325" s="76">
        <f t="shared" si="148"/>
        <v>0</v>
      </c>
      <c r="Q325" s="76">
        <f t="shared" ref="Q325:Z326" si="149">IF(VLOOKUP($E325,$D$6:$AN$1131,3,)=0,0,(VLOOKUP($E325,$D$6:$AN$1131,Q$2,)/VLOOKUP($E325,$D$6:$AN$1131,3,))*$F325)</f>
        <v>0</v>
      </c>
      <c r="R325" s="76">
        <f t="shared" si="149"/>
        <v>0</v>
      </c>
      <c r="S325" s="76">
        <f t="shared" si="149"/>
        <v>18425.819468840473</v>
      </c>
      <c r="T325" s="76">
        <f t="shared" si="149"/>
        <v>589.31089545692384</v>
      </c>
      <c r="U325" s="76">
        <f t="shared" si="149"/>
        <v>268.45078296057761</v>
      </c>
      <c r="V325" s="76">
        <f t="shared" si="149"/>
        <v>0</v>
      </c>
      <c r="W325" s="76">
        <f t="shared" si="149"/>
        <v>0</v>
      </c>
      <c r="X325" s="62">
        <f t="shared" si="149"/>
        <v>0</v>
      </c>
      <c r="Y325" s="62">
        <f t="shared" si="149"/>
        <v>0</v>
      </c>
      <c r="Z325" s="62">
        <f t="shared" si="149"/>
        <v>0</v>
      </c>
      <c r="AA325" s="64">
        <f>SUM(G325:Z325)</f>
        <v>3230303.4640111765</v>
      </c>
      <c r="AB325" s="58" t="str">
        <f>IF(ABS(F325-AA325)&lt;0.01,"ok","err")</f>
        <v>ok</v>
      </c>
    </row>
    <row r="326" spans="1:28">
      <c r="A326" s="68" t="s">
        <v>1093</v>
      </c>
      <c r="C326" s="60" t="s">
        <v>1073</v>
      </c>
      <c r="D326" s="60" t="s">
        <v>524</v>
      </c>
      <c r="E326" s="60" t="s">
        <v>1334</v>
      </c>
      <c r="F326" s="79">
        <f>VLOOKUP(C326,'Functional Assignment'!$C$2:$AP$780,'Functional Assignment'!$Y$2,)</f>
        <v>2259120.3319751727</v>
      </c>
      <c r="G326" s="79">
        <f t="shared" si="148"/>
        <v>1948445.6444739888</v>
      </c>
      <c r="H326" s="79">
        <f t="shared" si="148"/>
        <v>242075.29963056819</v>
      </c>
      <c r="I326" s="79">
        <f t="shared" si="148"/>
        <v>0</v>
      </c>
      <c r="J326" s="79">
        <f t="shared" si="148"/>
        <v>0</v>
      </c>
      <c r="K326" s="79">
        <f t="shared" si="148"/>
        <v>15112.872030417497</v>
      </c>
      <c r="L326" s="79">
        <f t="shared" si="148"/>
        <v>0</v>
      </c>
      <c r="M326" s="79">
        <f t="shared" si="148"/>
        <v>0</v>
      </c>
      <c r="N326" s="79">
        <f t="shared" si="148"/>
        <v>0</v>
      </c>
      <c r="O326" s="79">
        <f t="shared" si="148"/>
        <v>1476.9499015857998</v>
      </c>
      <c r="P326" s="79">
        <f t="shared" si="148"/>
        <v>0</v>
      </c>
      <c r="Q326" s="79">
        <f t="shared" si="149"/>
        <v>0</v>
      </c>
      <c r="R326" s="79">
        <f t="shared" si="149"/>
        <v>0</v>
      </c>
      <c r="S326" s="79">
        <f t="shared" si="149"/>
        <v>51373.359660554059</v>
      </c>
      <c r="T326" s="79">
        <f t="shared" si="149"/>
        <v>98.106575588428711</v>
      </c>
      <c r="U326" s="79">
        <f t="shared" si="149"/>
        <v>538.09970246986666</v>
      </c>
      <c r="V326" s="79">
        <f t="shared" si="149"/>
        <v>0</v>
      </c>
      <c r="W326" s="79">
        <f t="shared" si="149"/>
        <v>0</v>
      </c>
      <c r="X326" s="63">
        <f t="shared" si="149"/>
        <v>0</v>
      </c>
      <c r="Y326" s="63">
        <f t="shared" si="149"/>
        <v>0</v>
      </c>
      <c r="Z326" s="63">
        <f t="shared" si="149"/>
        <v>0</v>
      </c>
      <c r="AA326" s="63">
        <f>SUM(G326:Z326)</f>
        <v>2259120.3319751727</v>
      </c>
      <c r="AB326" s="58" t="str">
        <f>IF(ABS(F326-AA326)&lt;0.01,"ok","err")</f>
        <v>ok</v>
      </c>
    </row>
    <row r="327" spans="1:28">
      <c r="A327" s="60" t="s">
        <v>712</v>
      </c>
      <c r="D327" s="60" t="s">
        <v>525</v>
      </c>
      <c r="F327" s="76">
        <f>F325+F326</f>
        <v>5489423.7959863488</v>
      </c>
      <c r="G327" s="76">
        <f t="shared" ref="G327:W327" si="150">G325+G326</f>
        <v>4189632.5505100759</v>
      </c>
      <c r="H327" s="76">
        <f t="shared" si="150"/>
        <v>652202.39495311945</v>
      </c>
      <c r="I327" s="76">
        <f t="shared" si="150"/>
        <v>0</v>
      </c>
      <c r="J327" s="76">
        <f t="shared" si="150"/>
        <v>0</v>
      </c>
      <c r="K327" s="76">
        <f t="shared" si="150"/>
        <v>376314.7095286104</v>
      </c>
      <c r="L327" s="76">
        <f t="shared" si="150"/>
        <v>0</v>
      </c>
      <c r="M327" s="76">
        <f t="shared" si="150"/>
        <v>0</v>
      </c>
      <c r="N327" s="76">
        <f t="shared" si="150"/>
        <v>0</v>
      </c>
      <c r="O327" s="76">
        <f>O325+O326</f>
        <v>199980.99390867288</v>
      </c>
      <c r="P327" s="76">
        <f t="shared" si="150"/>
        <v>0</v>
      </c>
      <c r="Q327" s="76">
        <f t="shared" si="150"/>
        <v>0</v>
      </c>
      <c r="R327" s="76">
        <f t="shared" si="150"/>
        <v>0</v>
      </c>
      <c r="S327" s="76">
        <f t="shared" si="150"/>
        <v>69799.179129394528</v>
      </c>
      <c r="T327" s="76">
        <f t="shared" si="150"/>
        <v>687.41747104535261</v>
      </c>
      <c r="U327" s="76">
        <f t="shared" si="150"/>
        <v>806.55048543044427</v>
      </c>
      <c r="V327" s="76">
        <f t="shared" si="150"/>
        <v>0</v>
      </c>
      <c r="W327" s="76">
        <f t="shared" si="150"/>
        <v>0</v>
      </c>
      <c r="X327" s="62">
        <f>X325+X326</f>
        <v>0</v>
      </c>
      <c r="Y327" s="62">
        <f>Y325+Y326</f>
        <v>0</v>
      </c>
      <c r="Z327" s="62">
        <f>Z325+Z326</f>
        <v>0</v>
      </c>
      <c r="AA327" s="64">
        <f>SUM(G327:Z327)</f>
        <v>5489423.7959863488</v>
      </c>
      <c r="AB327" s="58" t="str">
        <f>IF(ABS(F327-AA327)&lt;0.01,"ok","err")</f>
        <v>ok</v>
      </c>
    </row>
    <row r="328" spans="1:28">
      <c r="F328" s="79"/>
    </row>
    <row r="329" spans="1:28" ht="15">
      <c r="A329" s="65" t="s">
        <v>354</v>
      </c>
      <c r="F329" s="79"/>
    </row>
    <row r="330" spans="1:28">
      <c r="A330" s="68" t="s">
        <v>1093</v>
      </c>
      <c r="C330" s="60" t="s">
        <v>1073</v>
      </c>
      <c r="D330" s="60" t="s">
        <v>526</v>
      </c>
      <c r="E330" s="60" t="s">
        <v>1095</v>
      </c>
      <c r="F330" s="76">
        <f>VLOOKUP(C330,'Functional Assignment'!$C$2:$AP$780,'Functional Assignment'!$Z$2,)</f>
        <v>1121921.3970883086</v>
      </c>
      <c r="G330" s="76">
        <f t="shared" ref="G330:Z330" si="151">IF(VLOOKUP($E330,$D$6:$AN$1131,3,)=0,0,(VLOOKUP($E330,$D$6:$AN$1131,G$2,)/VLOOKUP($E330,$D$6:$AN$1131,3,))*$F330)</f>
        <v>862327.18603707431</v>
      </c>
      <c r="H330" s="76">
        <f t="shared" si="151"/>
        <v>217020.38436520658</v>
      </c>
      <c r="I330" s="76">
        <f t="shared" si="151"/>
        <v>0</v>
      </c>
      <c r="J330" s="76">
        <f t="shared" si="151"/>
        <v>0</v>
      </c>
      <c r="K330" s="76">
        <f t="shared" si="151"/>
        <v>37860.596574806492</v>
      </c>
      <c r="L330" s="76">
        <f t="shared" si="151"/>
        <v>0</v>
      </c>
      <c r="M330" s="76">
        <f t="shared" si="151"/>
        <v>0</v>
      </c>
      <c r="N330" s="76">
        <f t="shared" si="151"/>
        <v>0</v>
      </c>
      <c r="O330" s="76">
        <f t="shared" si="151"/>
        <v>4713.2301112210152</v>
      </c>
      <c r="P330" s="76">
        <f t="shared" si="151"/>
        <v>0</v>
      </c>
      <c r="Q330" s="76">
        <f t="shared" si="151"/>
        <v>0</v>
      </c>
      <c r="R330" s="76">
        <f t="shared" si="151"/>
        <v>0</v>
      </c>
      <c r="S330" s="76">
        <f t="shared" si="151"/>
        <v>0</v>
      </c>
      <c r="T330" s="76">
        <f t="shared" si="151"/>
        <v>0</v>
      </c>
      <c r="U330" s="76">
        <f t="shared" si="151"/>
        <v>0</v>
      </c>
      <c r="V330" s="76">
        <f t="shared" si="151"/>
        <v>0</v>
      </c>
      <c r="W330" s="76">
        <f t="shared" si="151"/>
        <v>0</v>
      </c>
      <c r="X330" s="62">
        <f t="shared" si="151"/>
        <v>0</v>
      </c>
      <c r="Y330" s="62">
        <f t="shared" si="151"/>
        <v>0</v>
      </c>
      <c r="Z330" s="62">
        <f t="shared" si="151"/>
        <v>0</v>
      </c>
      <c r="AA330" s="64">
        <f>SUM(G330:Z330)</f>
        <v>1121921.3970883086</v>
      </c>
      <c r="AB330" s="58" t="str">
        <f>IF(ABS(F330-AA330)&lt;0.01,"ok","err")</f>
        <v>ok</v>
      </c>
    </row>
    <row r="331" spans="1:28">
      <c r="F331" s="79"/>
    </row>
    <row r="332" spans="1:28" ht="15">
      <c r="A332" s="65" t="s">
        <v>353</v>
      </c>
      <c r="F332" s="79"/>
    </row>
    <row r="333" spans="1:28">
      <c r="A333" s="68" t="s">
        <v>1093</v>
      </c>
      <c r="C333" s="60" t="s">
        <v>1073</v>
      </c>
      <c r="D333" s="60" t="s">
        <v>527</v>
      </c>
      <c r="E333" s="60" t="s">
        <v>1096</v>
      </c>
      <c r="F333" s="76">
        <f>VLOOKUP(C333,'Functional Assignment'!$C$2:$AP$780,'Functional Assignment'!$AA$2,)</f>
        <v>1301397.4831913491</v>
      </c>
      <c r="G333" s="76">
        <f t="shared" ref="G333:Z333" si="152">IF(VLOOKUP($E333,$D$6:$AN$1131,3,)=0,0,(VLOOKUP($E333,$D$6:$AN$1131,G$2,)/VLOOKUP($E333,$D$6:$AN$1131,3,))*$F333)</f>
        <v>910874.07727906585</v>
      </c>
      <c r="H333" s="76">
        <f t="shared" si="152"/>
        <v>267802.20714278496</v>
      </c>
      <c r="I333" s="76">
        <f t="shared" si="152"/>
        <v>0</v>
      </c>
      <c r="J333" s="76">
        <f t="shared" si="152"/>
        <v>10425.103719729314</v>
      </c>
      <c r="K333" s="76">
        <f t="shared" si="152"/>
        <v>72041.346807462018</v>
      </c>
      <c r="L333" s="76">
        <f t="shared" si="152"/>
        <v>0</v>
      </c>
      <c r="M333" s="76">
        <f t="shared" si="152"/>
        <v>0</v>
      </c>
      <c r="N333" s="76">
        <f t="shared" si="152"/>
        <v>16324.722697761943</v>
      </c>
      <c r="O333" s="76">
        <f t="shared" si="152"/>
        <v>7589.5034352562661</v>
      </c>
      <c r="P333" s="76">
        <f t="shared" si="152"/>
        <v>13354.282075087158</v>
      </c>
      <c r="Q333" s="76">
        <f t="shared" si="152"/>
        <v>154.73670803565824</v>
      </c>
      <c r="R333" s="76">
        <f t="shared" si="152"/>
        <v>154.73670803565824</v>
      </c>
      <c r="S333" s="76">
        <f t="shared" si="152"/>
        <v>0</v>
      </c>
      <c r="T333" s="76">
        <f t="shared" si="152"/>
        <v>412.77242242197286</v>
      </c>
      <c r="U333" s="76">
        <f t="shared" si="152"/>
        <v>2263.994195708397</v>
      </c>
      <c r="V333" s="76">
        <f t="shared" si="152"/>
        <v>0</v>
      </c>
      <c r="W333" s="76">
        <f t="shared" si="152"/>
        <v>0</v>
      </c>
      <c r="X333" s="62">
        <f t="shared" si="152"/>
        <v>0</v>
      </c>
      <c r="Y333" s="62">
        <f t="shared" si="152"/>
        <v>0</v>
      </c>
      <c r="Z333" s="62">
        <f t="shared" si="152"/>
        <v>0</v>
      </c>
      <c r="AA333" s="64">
        <f>SUM(G333:Z333)</f>
        <v>1301397.4831913488</v>
      </c>
      <c r="AB333" s="58" t="str">
        <f>IF(ABS(F333-AA333)&lt;0.01,"ok","err")</f>
        <v>ok</v>
      </c>
    </row>
    <row r="334" spans="1:28">
      <c r="F334" s="79"/>
    </row>
    <row r="335" spans="1:28" ht="15">
      <c r="A335" s="65" t="s">
        <v>371</v>
      </c>
      <c r="F335" s="79"/>
    </row>
    <row r="336" spans="1:28">
      <c r="A336" s="68" t="s">
        <v>1093</v>
      </c>
      <c r="C336" s="60" t="s">
        <v>1073</v>
      </c>
      <c r="D336" s="60" t="s">
        <v>528</v>
      </c>
      <c r="E336" s="60" t="s">
        <v>1097</v>
      </c>
      <c r="F336" s="76">
        <f>VLOOKUP(C336,'Functional Assignment'!$C$2:$AP$780,'Functional Assignment'!$AB$2,)</f>
        <v>3565925.2438173825</v>
      </c>
      <c r="G336" s="76">
        <f t="shared" ref="G336:Z336" si="153">IF(VLOOKUP($E336,$D$6:$AN$1131,3,)=0,0,(VLOOKUP($E336,$D$6:$AN$1131,G$2,)/VLOOKUP($E336,$D$6:$AN$1131,3,))*$F336)</f>
        <v>0</v>
      </c>
      <c r="H336" s="76">
        <f t="shared" si="153"/>
        <v>0</v>
      </c>
      <c r="I336" s="76">
        <f t="shared" si="153"/>
        <v>0</v>
      </c>
      <c r="J336" s="76">
        <f t="shared" si="153"/>
        <v>0</v>
      </c>
      <c r="K336" s="76">
        <f t="shared" si="153"/>
        <v>0</v>
      </c>
      <c r="L336" s="76">
        <f t="shared" si="153"/>
        <v>0</v>
      </c>
      <c r="M336" s="76">
        <f t="shared" si="153"/>
        <v>0</v>
      </c>
      <c r="N336" s="76">
        <f t="shared" si="153"/>
        <v>0</v>
      </c>
      <c r="O336" s="76">
        <f t="shared" si="153"/>
        <v>0</v>
      </c>
      <c r="P336" s="76">
        <f t="shared" si="153"/>
        <v>0</v>
      </c>
      <c r="Q336" s="76">
        <f t="shared" si="153"/>
        <v>0</v>
      </c>
      <c r="R336" s="76">
        <f t="shared" si="153"/>
        <v>0</v>
      </c>
      <c r="S336" s="76">
        <f t="shared" si="153"/>
        <v>3565925.2438173825</v>
      </c>
      <c r="T336" s="76">
        <f t="shared" si="153"/>
        <v>0</v>
      </c>
      <c r="U336" s="76">
        <f t="shared" si="153"/>
        <v>0</v>
      </c>
      <c r="V336" s="76">
        <f t="shared" si="153"/>
        <v>0</v>
      </c>
      <c r="W336" s="76">
        <f t="shared" si="153"/>
        <v>0</v>
      </c>
      <c r="X336" s="62">
        <f t="shared" si="153"/>
        <v>0</v>
      </c>
      <c r="Y336" s="62">
        <f t="shared" si="153"/>
        <v>0</v>
      </c>
      <c r="Z336" s="62">
        <f t="shared" si="153"/>
        <v>0</v>
      </c>
      <c r="AA336" s="64">
        <f>SUM(G336:Z336)</f>
        <v>3565925.2438173825</v>
      </c>
      <c r="AB336" s="58" t="str">
        <f>IF(ABS(F336-AA336)&lt;0.01,"ok","err")</f>
        <v>ok</v>
      </c>
    </row>
    <row r="337" spans="1:28">
      <c r="F337" s="79"/>
    </row>
    <row r="338" spans="1:28" ht="15">
      <c r="A338" s="65" t="s">
        <v>1025</v>
      </c>
      <c r="F338" s="79"/>
    </row>
    <row r="339" spans="1:28">
      <c r="A339" s="68" t="s">
        <v>1093</v>
      </c>
      <c r="C339" s="60" t="s">
        <v>1073</v>
      </c>
      <c r="D339" s="60" t="s">
        <v>529</v>
      </c>
      <c r="E339" s="60" t="s">
        <v>1098</v>
      </c>
      <c r="F339" s="76">
        <f>VLOOKUP(C339,'Functional Assignment'!$C$2:$AP$780,'Functional Assignment'!$AC$2,)</f>
        <v>0</v>
      </c>
      <c r="G339" s="76">
        <f t="shared" ref="G339:Z339" si="154">IF(VLOOKUP($E339,$D$6:$AN$1131,3,)=0,0,(VLOOKUP($E339,$D$6:$AN$1131,G$2,)/VLOOKUP($E339,$D$6:$AN$1131,3,))*$F339)</f>
        <v>0</v>
      </c>
      <c r="H339" s="76">
        <f t="shared" si="154"/>
        <v>0</v>
      </c>
      <c r="I339" s="76">
        <f t="shared" si="154"/>
        <v>0</v>
      </c>
      <c r="J339" s="76">
        <f t="shared" si="154"/>
        <v>0</v>
      </c>
      <c r="K339" s="76">
        <f t="shared" si="154"/>
        <v>0</v>
      </c>
      <c r="L339" s="76">
        <f t="shared" si="154"/>
        <v>0</v>
      </c>
      <c r="M339" s="76">
        <f t="shared" si="154"/>
        <v>0</v>
      </c>
      <c r="N339" s="76">
        <f t="shared" si="154"/>
        <v>0</v>
      </c>
      <c r="O339" s="76">
        <f t="shared" si="154"/>
        <v>0</v>
      </c>
      <c r="P339" s="76">
        <f t="shared" si="154"/>
        <v>0</v>
      </c>
      <c r="Q339" s="76">
        <f t="shared" si="154"/>
        <v>0</v>
      </c>
      <c r="R339" s="76">
        <f t="shared" si="154"/>
        <v>0</v>
      </c>
      <c r="S339" s="76">
        <f t="shared" si="154"/>
        <v>0</v>
      </c>
      <c r="T339" s="76">
        <f t="shared" si="154"/>
        <v>0</v>
      </c>
      <c r="U339" s="76">
        <f t="shared" si="154"/>
        <v>0</v>
      </c>
      <c r="V339" s="76">
        <f t="shared" si="154"/>
        <v>0</v>
      </c>
      <c r="W339" s="76">
        <f t="shared" si="154"/>
        <v>0</v>
      </c>
      <c r="X339" s="62">
        <f t="shared" si="154"/>
        <v>0</v>
      </c>
      <c r="Y339" s="62">
        <f t="shared" si="154"/>
        <v>0</v>
      </c>
      <c r="Z339" s="62">
        <f t="shared" si="154"/>
        <v>0</v>
      </c>
      <c r="AA339" s="64">
        <f>SUM(G339:Z339)</f>
        <v>0</v>
      </c>
      <c r="AB339" s="58" t="str">
        <f>IF(ABS(F339-AA339)&lt;0.01,"ok","err")</f>
        <v>ok</v>
      </c>
    </row>
    <row r="340" spans="1:28">
      <c r="F340" s="79"/>
    </row>
    <row r="341" spans="1:28" ht="15">
      <c r="A341" s="65" t="s">
        <v>351</v>
      </c>
      <c r="F341" s="79"/>
    </row>
    <row r="342" spans="1:28">
      <c r="A342" s="68" t="s">
        <v>1093</v>
      </c>
      <c r="C342" s="60" t="s">
        <v>1073</v>
      </c>
      <c r="D342" s="60" t="s">
        <v>530</v>
      </c>
      <c r="E342" s="60" t="s">
        <v>1098</v>
      </c>
      <c r="F342" s="76">
        <f>VLOOKUP(C342,'Functional Assignment'!$C$2:$AP$780,'Functional Assignment'!$AD$2,)</f>
        <v>0</v>
      </c>
      <c r="G342" s="76">
        <f t="shared" ref="G342:Z342" si="155">IF(VLOOKUP($E342,$D$6:$AN$1131,3,)=0,0,(VLOOKUP($E342,$D$6:$AN$1131,G$2,)/VLOOKUP($E342,$D$6:$AN$1131,3,))*$F342)</f>
        <v>0</v>
      </c>
      <c r="H342" s="76">
        <f t="shared" si="155"/>
        <v>0</v>
      </c>
      <c r="I342" s="76">
        <f t="shared" si="155"/>
        <v>0</v>
      </c>
      <c r="J342" s="76">
        <f t="shared" si="155"/>
        <v>0</v>
      </c>
      <c r="K342" s="76">
        <f t="shared" si="155"/>
        <v>0</v>
      </c>
      <c r="L342" s="76">
        <f t="shared" si="155"/>
        <v>0</v>
      </c>
      <c r="M342" s="76">
        <f t="shared" si="155"/>
        <v>0</v>
      </c>
      <c r="N342" s="76">
        <f t="shared" si="155"/>
        <v>0</v>
      </c>
      <c r="O342" s="76">
        <f t="shared" si="155"/>
        <v>0</v>
      </c>
      <c r="P342" s="76">
        <f t="shared" si="155"/>
        <v>0</v>
      </c>
      <c r="Q342" s="76">
        <f t="shared" si="155"/>
        <v>0</v>
      </c>
      <c r="R342" s="76">
        <f t="shared" si="155"/>
        <v>0</v>
      </c>
      <c r="S342" s="76">
        <f t="shared" si="155"/>
        <v>0</v>
      </c>
      <c r="T342" s="76">
        <f t="shared" si="155"/>
        <v>0</v>
      </c>
      <c r="U342" s="76">
        <f t="shared" si="155"/>
        <v>0</v>
      </c>
      <c r="V342" s="76">
        <f t="shared" si="155"/>
        <v>0</v>
      </c>
      <c r="W342" s="76">
        <f t="shared" si="155"/>
        <v>0</v>
      </c>
      <c r="X342" s="62">
        <f t="shared" si="155"/>
        <v>0</v>
      </c>
      <c r="Y342" s="62">
        <f t="shared" si="155"/>
        <v>0</v>
      </c>
      <c r="Z342" s="62">
        <f t="shared" si="155"/>
        <v>0</v>
      </c>
      <c r="AA342" s="64">
        <f>SUM(G342:Z342)</f>
        <v>0</v>
      </c>
      <c r="AB342" s="58" t="str">
        <f>IF(ABS(F342-AA342)&lt;0.01,"ok","err")</f>
        <v>ok</v>
      </c>
    </row>
    <row r="343" spans="1:28">
      <c r="F343" s="79"/>
    </row>
    <row r="344" spans="1:28" ht="15">
      <c r="A344" s="65" t="s">
        <v>350</v>
      </c>
      <c r="F344" s="79"/>
    </row>
    <row r="345" spans="1:28">
      <c r="A345" s="68" t="s">
        <v>1093</v>
      </c>
      <c r="C345" s="60" t="s">
        <v>1073</v>
      </c>
      <c r="D345" s="60" t="s">
        <v>531</v>
      </c>
      <c r="E345" s="60" t="s">
        <v>1099</v>
      </c>
      <c r="F345" s="76">
        <f>VLOOKUP(C345,'Functional Assignment'!$C$2:$AP$780,'Functional Assignment'!$AE$2,)</f>
        <v>0</v>
      </c>
      <c r="G345" s="76">
        <f t="shared" ref="G345:Z345" si="156">IF(VLOOKUP($E345,$D$6:$AN$1131,3,)=0,0,(VLOOKUP($E345,$D$6:$AN$1131,G$2,)/VLOOKUP($E345,$D$6:$AN$1131,3,))*$F345)</f>
        <v>0</v>
      </c>
      <c r="H345" s="76">
        <f t="shared" si="156"/>
        <v>0</v>
      </c>
      <c r="I345" s="76">
        <f t="shared" si="156"/>
        <v>0</v>
      </c>
      <c r="J345" s="76">
        <f t="shared" si="156"/>
        <v>0</v>
      </c>
      <c r="K345" s="76">
        <f t="shared" si="156"/>
        <v>0</v>
      </c>
      <c r="L345" s="76">
        <f t="shared" si="156"/>
        <v>0</v>
      </c>
      <c r="M345" s="76">
        <f t="shared" si="156"/>
        <v>0</v>
      </c>
      <c r="N345" s="76">
        <f t="shared" si="156"/>
        <v>0</v>
      </c>
      <c r="O345" s="76">
        <f t="shared" si="156"/>
        <v>0</v>
      </c>
      <c r="P345" s="76">
        <f t="shared" si="156"/>
        <v>0</v>
      </c>
      <c r="Q345" s="76">
        <f t="shared" si="156"/>
        <v>0</v>
      </c>
      <c r="R345" s="76">
        <f t="shared" si="156"/>
        <v>0</v>
      </c>
      <c r="S345" s="76">
        <f t="shared" si="156"/>
        <v>0</v>
      </c>
      <c r="T345" s="76">
        <f t="shared" si="156"/>
        <v>0</v>
      </c>
      <c r="U345" s="76">
        <f t="shared" si="156"/>
        <v>0</v>
      </c>
      <c r="V345" s="76">
        <f t="shared" si="156"/>
        <v>0</v>
      </c>
      <c r="W345" s="76">
        <f t="shared" si="156"/>
        <v>0</v>
      </c>
      <c r="X345" s="62">
        <f t="shared" si="156"/>
        <v>0</v>
      </c>
      <c r="Y345" s="62">
        <f t="shared" si="156"/>
        <v>0</v>
      </c>
      <c r="Z345" s="62">
        <f t="shared" si="156"/>
        <v>0</v>
      </c>
      <c r="AA345" s="64">
        <f>SUM(G345:Z345)</f>
        <v>0</v>
      </c>
      <c r="AB345" s="58" t="str">
        <f>IF(ABS(F345-AA345)&lt;0.01,"ok","err")</f>
        <v>ok</v>
      </c>
    </row>
    <row r="346" spans="1:28">
      <c r="F346" s="79"/>
    </row>
    <row r="347" spans="1:28">
      <c r="A347" s="60" t="s">
        <v>922</v>
      </c>
      <c r="D347" s="60" t="s">
        <v>532</v>
      </c>
      <c r="F347" s="76">
        <f>F302+F308+F311+F314+F322+F327+F330+F333+F336+F339+F342+F345</f>
        <v>138842526.50563762</v>
      </c>
      <c r="G347" s="76">
        <f t="shared" ref="G347:Z347" si="157">G302+G308+G311+G314+G322+G327+G330+G333+G336+G339+G342+G345</f>
        <v>66956528.663069092</v>
      </c>
      <c r="H347" s="76">
        <f t="shared" si="157"/>
        <v>17662359.026010059</v>
      </c>
      <c r="I347" s="76">
        <f t="shared" si="157"/>
        <v>0</v>
      </c>
      <c r="J347" s="76">
        <f t="shared" si="157"/>
        <v>1319207.819514378</v>
      </c>
      <c r="K347" s="76">
        <f t="shared" si="157"/>
        <v>17047245.359047126</v>
      </c>
      <c r="L347" s="76">
        <f t="shared" si="157"/>
        <v>0</v>
      </c>
      <c r="M347" s="76">
        <f t="shared" si="157"/>
        <v>0</v>
      </c>
      <c r="N347" s="76">
        <f t="shared" si="157"/>
        <v>14147537.382176131</v>
      </c>
      <c r="O347" s="76">
        <f>O302+O308+O311+O314+O322+O327+O330+O333+O336+O339+O342+O345</f>
        <v>8439638.5688393302</v>
      </c>
      <c r="P347" s="76">
        <f t="shared" si="157"/>
        <v>7431299.1513437964</v>
      </c>
      <c r="Q347" s="76">
        <f t="shared" si="157"/>
        <v>890538.01548429963</v>
      </c>
      <c r="R347" s="76">
        <f t="shared" si="157"/>
        <v>410588.53529443557</v>
      </c>
      <c r="S347" s="76">
        <f t="shared" si="157"/>
        <v>4493023.2657757187</v>
      </c>
      <c r="T347" s="76">
        <f t="shared" si="157"/>
        <v>16978.565610219943</v>
      </c>
      <c r="U347" s="76">
        <f t="shared" si="157"/>
        <v>27582.153473022237</v>
      </c>
      <c r="V347" s="76">
        <f t="shared" si="157"/>
        <v>0</v>
      </c>
      <c r="W347" s="76">
        <f t="shared" si="157"/>
        <v>0</v>
      </c>
      <c r="X347" s="62">
        <f t="shared" si="157"/>
        <v>0</v>
      </c>
      <c r="Y347" s="62">
        <f t="shared" si="157"/>
        <v>0</v>
      </c>
      <c r="Z347" s="62">
        <f t="shared" si="157"/>
        <v>0</v>
      </c>
      <c r="AA347" s="64">
        <f>SUM(G347:Z347)</f>
        <v>138842526.50563762</v>
      </c>
      <c r="AB347" s="58" t="str">
        <f>IF(ABS(F347-AA347)&lt;0.01,"ok","err")</f>
        <v>ok</v>
      </c>
    </row>
    <row r="350" spans="1:28" ht="15">
      <c r="A350" s="231" t="s">
        <v>759</v>
      </c>
    </row>
    <row r="352" spans="1:28" ht="15">
      <c r="A352" s="65" t="s">
        <v>364</v>
      </c>
    </row>
    <row r="353" spans="1:28">
      <c r="A353" s="68" t="s">
        <v>359</v>
      </c>
      <c r="C353" s="111" t="s">
        <v>765</v>
      </c>
      <c r="D353" s="60" t="s">
        <v>766</v>
      </c>
      <c r="E353" s="60" t="s">
        <v>869</v>
      </c>
      <c r="F353" s="76">
        <f>VLOOKUP(C353,'Functional Assignment'!$C$2:$AP$780,'Functional Assignment'!$H$2,)</f>
        <v>0</v>
      </c>
      <c r="G353" s="76">
        <f t="shared" ref="G353:P358" si="158">IF(VLOOKUP($E353,$D$6:$AN$1131,3,)=0,0,(VLOOKUP($E353,$D$6:$AN$1131,G$2,)/VLOOKUP($E353,$D$6:$AN$1131,3,))*$F353)</f>
        <v>0</v>
      </c>
      <c r="H353" s="76">
        <f t="shared" si="158"/>
        <v>0</v>
      </c>
      <c r="I353" s="76">
        <f t="shared" si="158"/>
        <v>0</v>
      </c>
      <c r="J353" s="76">
        <f t="shared" si="158"/>
        <v>0</v>
      </c>
      <c r="K353" s="76">
        <f t="shared" si="158"/>
        <v>0</v>
      </c>
      <c r="L353" s="76">
        <f t="shared" si="158"/>
        <v>0</v>
      </c>
      <c r="M353" s="76">
        <f t="shared" si="158"/>
        <v>0</v>
      </c>
      <c r="N353" s="76">
        <f t="shared" si="158"/>
        <v>0</v>
      </c>
      <c r="O353" s="76">
        <f t="shared" si="158"/>
        <v>0</v>
      </c>
      <c r="P353" s="76">
        <f t="shared" si="158"/>
        <v>0</v>
      </c>
      <c r="Q353" s="76">
        <f t="shared" ref="Q353:Z358" si="159">IF(VLOOKUP($E353,$D$6:$AN$1131,3,)=0,0,(VLOOKUP($E353,$D$6:$AN$1131,Q$2,)/VLOOKUP($E353,$D$6:$AN$1131,3,))*$F353)</f>
        <v>0</v>
      </c>
      <c r="R353" s="76">
        <f t="shared" si="159"/>
        <v>0</v>
      </c>
      <c r="S353" s="76">
        <f t="shared" si="159"/>
        <v>0</v>
      </c>
      <c r="T353" s="76">
        <f t="shared" si="159"/>
        <v>0</v>
      </c>
      <c r="U353" s="76">
        <f t="shared" si="159"/>
        <v>0</v>
      </c>
      <c r="V353" s="76">
        <f t="shared" si="159"/>
        <v>0</v>
      </c>
      <c r="W353" s="76">
        <f t="shared" si="159"/>
        <v>0</v>
      </c>
      <c r="X353" s="62">
        <f t="shared" si="159"/>
        <v>0</v>
      </c>
      <c r="Y353" s="62">
        <f t="shared" si="159"/>
        <v>0</v>
      </c>
      <c r="Z353" s="62">
        <f t="shared" si="159"/>
        <v>0</v>
      </c>
      <c r="AA353" s="64">
        <f t="shared" ref="AA353:AA359" si="160">SUM(G353:Z353)</f>
        <v>0</v>
      </c>
      <c r="AB353" s="58" t="str">
        <f t="shared" ref="AB353:AB359" si="161">IF(ABS(F353-AA353)&lt;0.01,"ok","err")</f>
        <v>ok</v>
      </c>
    </row>
    <row r="354" spans="1:28">
      <c r="A354" s="68" t="s">
        <v>1255</v>
      </c>
      <c r="C354" s="111" t="s">
        <v>765</v>
      </c>
      <c r="D354" s="60" t="s">
        <v>767</v>
      </c>
      <c r="E354" s="60" t="s">
        <v>188</v>
      </c>
      <c r="F354" s="79">
        <f>VLOOKUP(C354,'Functional Assignment'!$C$2:$AP$780,'Functional Assignment'!$I$2,)</f>
        <v>0</v>
      </c>
      <c r="G354" s="79">
        <f t="shared" si="158"/>
        <v>0</v>
      </c>
      <c r="H354" s="79">
        <f t="shared" si="158"/>
        <v>0</v>
      </c>
      <c r="I354" s="79">
        <f t="shared" si="158"/>
        <v>0</v>
      </c>
      <c r="J354" s="79">
        <f t="shared" si="158"/>
        <v>0</v>
      </c>
      <c r="K354" s="79">
        <f t="shared" si="158"/>
        <v>0</v>
      </c>
      <c r="L354" s="79">
        <f t="shared" si="158"/>
        <v>0</v>
      </c>
      <c r="M354" s="79">
        <f t="shared" si="158"/>
        <v>0</v>
      </c>
      <c r="N354" s="79">
        <f t="shared" si="158"/>
        <v>0</v>
      </c>
      <c r="O354" s="79">
        <f t="shared" si="158"/>
        <v>0</v>
      </c>
      <c r="P354" s="79">
        <f t="shared" si="158"/>
        <v>0</v>
      </c>
      <c r="Q354" s="79">
        <f t="shared" si="159"/>
        <v>0</v>
      </c>
      <c r="R354" s="79">
        <f t="shared" si="159"/>
        <v>0</v>
      </c>
      <c r="S354" s="79">
        <f t="shared" si="159"/>
        <v>0</v>
      </c>
      <c r="T354" s="79">
        <f t="shared" si="159"/>
        <v>0</v>
      </c>
      <c r="U354" s="79">
        <f t="shared" si="159"/>
        <v>0</v>
      </c>
      <c r="V354" s="79">
        <f t="shared" si="159"/>
        <v>0</v>
      </c>
      <c r="W354" s="79">
        <f t="shared" si="159"/>
        <v>0</v>
      </c>
      <c r="X354" s="63">
        <f t="shared" si="159"/>
        <v>0</v>
      </c>
      <c r="Y354" s="63">
        <f t="shared" si="159"/>
        <v>0</v>
      </c>
      <c r="Z354" s="63">
        <f t="shared" si="159"/>
        <v>0</v>
      </c>
      <c r="AA354" s="63">
        <f t="shared" si="160"/>
        <v>0</v>
      </c>
      <c r="AB354" s="58" t="str">
        <f t="shared" si="161"/>
        <v>ok</v>
      </c>
    </row>
    <row r="355" spans="1:28">
      <c r="A355" s="68" t="s">
        <v>1256</v>
      </c>
      <c r="C355" s="111" t="s">
        <v>765</v>
      </c>
      <c r="D355" s="60" t="s">
        <v>768</v>
      </c>
      <c r="E355" s="60" t="s">
        <v>191</v>
      </c>
      <c r="F355" s="79">
        <f>VLOOKUP(C355,'Functional Assignment'!$C$2:$AP$780,'Functional Assignment'!$J$2,)</f>
        <v>0</v>
      </c>
      <c r="G355" s="79">
        <f t="shared" si="158"/>
        <v>0</v>
      </c>
      <c r="H355" s="79">
        <f t="shared" si="158"/>
        <v>0</v>
      </c>
      <c r="I355" s="79">
        <f t="shared" si="158"/>
        <v>0</v>
      </c>
      <c r="J355" s="79">
        <f t="shared" si="158"/>
        <v>0</v>
      </c>
      <c r="K355" s="79">
        <f t="shared" si="158"/>
        <v>0</v>
      </c>
      <c r="L355" s="79">
        <f t="shared" si="158"/>
        <v>0</v>
      </c>
      <c r="M355" s="79">
        <f t="shared" si="158"/>
        <v>0</v>
      </c>
      <c r="N355" s="79">
        <f t="shared" si="158"/>
        <v>0</v>
      </c>
      <c r="O355" s="79">
        <f t="shared" si="158"/>
        <v>0</v>
      </c>
      <c r="P355" s="79">
        <f t="shared" si="158"/>
        <v>0</v>
      </c>
      <c r="Q355" s="79">
        <f t="shared" si="159"/>
        <v>0</v>
      </c>
      <c r="R355" s="79">
        <f t="shared" si="159"/>
        <v>0</v>
      </c>
      <c r="S355" s="79">
        <f t="shared" si="159"/>
        <v>0</v>
      </c>
      <c r="T355" s="79">
        <f t="shared" si="159"/>
        <v>0</v>
      </c>
      <c r="U355" s="79">
        <f t="shared" si="159"/>
        <v>0</v>
      </c>
      <c r="V355" s="79">
        <f t="shared" si="159"/>
        <v>0</v>
      </c>
      <c r="W355" s="79">
        <f t="shared" si="159"/>
        <v>0</v>
      </c>
      <c r="X355" s="63">
        <f t="shared" si="159"/>
        <v>0</v>
      </c>
      <c r="Y355" s="63">
        <f t="shared" si="159"/>
        <v>0</v>
      </c>
      <c r="Z355" s="63">
        <f t="shared" si="159"/>
        <v>0</v>
      </c>
      <c r="AA355" s="63">
        <f t="shared" si="160"/>
        <v>0</v>
      </c>
      <c r="AB355" s="58" t="str">
        <f t="shared" si="161"/>
        <v>ok</v>
      </c>
    </row>
    <row r="356" spans="1:28">
      <c r="A356" s="68" t="s">
        <v>1257</v>
      </c>
      <c r="C356" s="111" t="s">
        <v>765</v>
      </c>
      <c r="D356" s="60" t="s">
        <v>769</v>
      </c>
      <c r="E356" s="60" t="s">
        <v>1091</v>
      </c>
      <c r="F356" s="79">
        <f>VLOOKUP(C356,'Functional Assignment'!$C$2:$AP$780,'Functional Assignment'!$K$2,)</f>
        <v>0</v>
      </c>
      <c r="G356" s="79">
        <f t="shared" si="158"/>
        <v>0</v>
      </c>
      <c r="H356" s="79">
        <f t="shared" si="158"/>
        <v>0</v>
      </c>
      <c r="I356" s="79">
        <f t="shared" si="158"/>
        <v>0</v>
      </c>
      <c r="J356" s="79">
        <f t="shared" si="158"/>
        <v>0</v>
      </c>
      <c r="K356" s="79">
        <f t="shared" si="158"/>
        <v>0</v>
      </c>
      <c r="L356" s="79">
        <f t="shared" si="158"/>
        <v>0</v>
      </c>
      <c r="M356" s="79">
        <f t="shared" si="158"/>
        <v>0</v>
      </c>
      <c r="N356" s="79">
        <f t="shared" si="158"/>
        <v>0</v>
      </c>
      <c r="O356" s="79">
        <f t="shared" si="158"/>
        <v>0</v>
      </c>
      <c r="P356" s="79">
        <f t="shared" si="158"/>
        <v>0</v>
      </c>
      <c r="Q356" s="79">
        <f t="shared" si="159"/>
        <v>0</v>
      </c>
      <c r="R356" s="79">
        <f t="shared" si="159"/>
        <v>0</v>
      </c>
      <c r="S356" s="79">
        <f t="shared" si="159"/>
        <v>0</v>
      </c>
      <c r="T356" s="79">
        <f t="shared" si="159"/>
        <v>0</v>
      </c>
      <c r="U356" s="79">
        <f t="shared" si="159"/>
        <v>0</v>
      </c>
      <c r="V356" s="79">
        <f t="shared" si="159"/>
        <v>0</v>
      </c>
      <c r="W356" s="79">
        <f t="shared" si="159"/>
        <v>0</v>
      </c>
      <c r="X356" s="63">
        <f t="shared" si="159"/>
        <v>0</v>
      </c>
      <c r="Y356" s="63">
        <f t="shared" si="159"/>
        <v>0</v>
      </c>
      <c r="Z356" s="63">
        <f t="shared" si="159"/>
        <v>0</v>
      </c>
      <c r="AA356" s="63">
        <f t="shared" si="160"/>
        <v>0</v>
      </c>
      <c r="AB356" s="58" t="str">
        <f t="shared" si="161"/>
        <v>ok</v>
      </c>
    </row>
    <row r="357" spans="1:28">
      <c r="A357" s="68" t="s">
        <v>1258</v>
      </c>
      <c r="C357" s="111" t="s">
        <v>765</v>
      </c>
      <c r="D357" s="60" t="s">
        <v>770</v>
      </c>
      <c r="E357" s="60" t="s">
        <v>1091</v>
      </c>
      <c r="F357" s="79">
        <f>VLOOKUP(C357,'Functional Assignment'!$C$2:$AP$780,'Functional Assignment'!$L$2,)</f>
        <v>0</v>
      </c>
      <c r="G357" s="79">
        <f t="shared" si="158"/>
        <v>0</v>
      </c>
      <c r="H357" s="79">
        <f t="shared" si="158"/>
        <v>0</v>
      </c>
      <c r="I357" s="79">
        <f t="shared" si="158"/>
        <v>0</v>
      </c>
      <c r="J357" s="79">
        <f t="shared" si="158"/>
        <v>0</v>
      </c>
      <c r="K357" s="79">
        <f t="shared" si="158"/>
        <v>0</v>
      </c>
      <c r="L357" s="79">
        <f t="shared" si="158"/>
        <v>0</v>
      </c>
      <c r="M357" s="79">
        <f t="shared" si="158"/>
        <v>0</v>
      </c>
      <c r="N357" s="79">
        <f t="shared" si="158"/>
        <v>0</v>
      </c>
      <c r="O357" s="79">
        <f t="shared" si="158"/>
        <v>0</v>
      </c>
      <c r="P357" s="79">
        <f t="shared" si="158"/>
        <v>0</v>
      </c>
      <c r="Q357" s="79">
        <f t="shared" si="159"/>
        <v>0</v>
      </c>
      <c r="R357" s="79">
        <f t="shared" si="159"/>
        <v>0</v>
      </c>
      <c r="S357" s="79">
        <f t="shared" si="159"/>
        <v>0</v>
      </c>
      <c r="T357" s="79">
        <f t="shared" si="159"/>
        <v>0</v>
      </c>
      <c r="U357" s="79">
        <f t="shared" si="159"/>
        <v>0</v>
      </c>
      <c r="V357" s="79">
        <f t="shared" si="159"/>
        <v>0</v>
      </c>
      <c r="W357" s="79">
        <f t="shared" si="159"/>
        <v>0</v>
      </c>
      <c r="X357" s="63">
        <f t="shared" si="159"/>
        <v>0</v>
      </c>
      <c r="Y357" s="63">
        <f t="shared" si="159"/>
        <v>0</v>
      </c>
      <c r="Z357" s="63">
        <f t="shared" si="159"/>
        <v>0</v>
      </c>
      <c r="AA357" s="63">
        <f t="shared" si="160"/>
        <v>0</v>
      </c>
      <c r="AB357" s="58" t="str">
        <f t="shared" si="161"/>
        <v>ok</v>
      </c>
    </row>
    <row r="358" spans="1:28">
      <c r="A358" s="68" t="s">
        <v>1258</v>
      </c>
      <c r="C358" s="111" t="s">
        <v>765</v>
      </c>
      <c r="D358" s="60" t="s">
        <v>771</v>
      </c>
      <c r="E358" s="60" t="s">
        <v>1091</v>
      </c>
      <c r="F358" s="79">
        <f>VLOOKUP(C358,'Functional Assignment'!$C$2:$AP$780,'Functional Assignment'!$M$2,)</f>
        <v>0</v>
      </c>
      <c r="G358" s="79">
        <f t="shared" si="158"/>
        <v>0</v>
      </c>
      <c r="H358" s="79">
        <f t="shared" si="158"/>
        <v>0</v>
      </c>
      <c r="I358" s="79">
        <f t="shared" si="158"/>
        <v>0</v>
      </c>
      <c r="J358" s="79">
        <f t="shared" si="158"/>
        <v>0</v>
      </c>
      <c r="K358" s="79">
        <f t="shared" si="158"/>
        <v>0</v>
      </c>
      <c r="L358" s="79">
        <f t="shared" si="158"/>
        <v>0</v>
      </c>
      <c r="M358" s="79">
        <f t="shared" si="158"/>
        <v>0</v>
      </c>
      <c r="N358" s="79">
        <f t="shared" si="158"/>
        <v>0</v>
      </c>
      <c r="O358" s="79">
        <f t="shared" si="158"/>
        <v>0</v>
      </c>
      <c r="P358" s="79">
        <f t="shared" si="158"/>
        <v>0</v>
      </c>
      <c r="Q358" s="79">
        <f t="shared" si="159"/>
        <v>0</v>
      </c>
      <c r="R358" s="79">
        <f t="shared" si="159"/>
        <v>0</v>
      </c>
      <c r="S358" s="79">
        <f t="shared" si="159"/>
        <v>0</v>
      </c>
      <c r="T358" s="79">
        <f t="shared" si="159"/>
        <v>0</v>
      </c>
      <c r="U358" s="79">
        <f t="shared" si="159"/>
        <v>0</v>
      </c>
      <c r="V358" s="79">
        <f t="shared" si="159"/>
        <v>0</v>
      </c>
      <c r="W358" s="79">
        <f t="shared" si="159"/>
        <v>0</v>
      </c>
      <c r="X358" s="63">
        <f t="shared" si="159"/>
        <v>0</v>
      </c>
      <c r="Y358" s="63">
        <f t="shared" si="159"/>
        <v>0</v>
      </c>
      <c r="Z358" s="63">
        <f t="shared" si="159"/>
        <v>0</v>
      </c>
      <c r="AA358" s="63">
        <f t="shared" si="160"/>
        <v>0</v>
      </c>
      <c r="AB358" s="58" t="str">
        <f t="shared" si="161"/>
        <v>ok</v>
      </c>
    </row>
    <row r="359" spans="1:28">
      <c r="A359" s="60" t="s">
        <v>387</v>
      </c>
      <c r="D359" s="60" t="s">
        <v>772</v>
      </c>
      <c r="F359" s="76">
        <f t="shared" ref="F359:P359" si="162">SUM(F353:F358)</f>
        <v>0</v>
      </c>
      <c r="G359" s="76">
        <f t="shared" si="162"/>
        <v>0</v>
      </c>
      <c r="H359" s="76">
        <f t="shared" si="162"/>
        <v>0</v>
      </c>
      <c r="I359" s="76">
        <f t="shared" si="162"/>
        <v>0</v>
      </c>
      <c r="J359" s="76">
        <f t="shared" si="162"/>
        <v>0</v>
      </c>
      <c r="K359" s="76">
        <f t="shared" si="162"/>
        <v>0</v>
      </c>
      <c r="L359" s="76">
        <f t="shared" si="162"/>
        <v>0</v>
      </c>
      <c r="M359" s="76">
        <f t="shared" si="162"/>
        <v>0</v>
      </c>
      <c r="N359" s="76">
        <f t="shared" si="162"/>
        <v>0</v>
      </c>
      <c r="O359" s="76">
        <f>SUM(O353:O358)</f>
        <v>0</v>
      </c>
      <c r="P359" s="76">
        <f t="shared" si="162"/>
        <v>0</v>
      </c>
      <c r="Q359" s="76">
        <f t="shared" ref="Q359:Z359" si="163">SUM(Q353:Q358)</f>
        <v>0</v>
      </c>
      <c r="R359" s="76">
        <f t="shared" si="163"/>
        <v>0</v>
      </c>
      <c r="S359" s="76">
        <f t="shared" si="163"/>
        <v>0</v>
      </c>
      <c r="T359" s="76">
        <f t="shared" si="163"/>
        <v>0</v>
      </c>
      <c r="U359" s="76">
        <f t="shared" si="163"/>
        <v>0</v>
      </c>
      <c r="V359" s="76">
        <f t="shared" si="163"/>
        <v>0</v>
      </c>
      <c r="W359" s="76">
        <f t="shared" si="163"/>
        <v>0</v>
      </c>
      <c r="X359" s="62">
        <f t="shared" si="163"/>
        <v>0</v>
      </c>
      <c r="Y359" s="62">
        <f t="shared" si="163"/>
        <v>0</v>
      </c>
      <c r="Z359" s="62">
        <f t="shared" si="163"/>
        <v>0</v>
      </c>
      <c r="AA359" s="64">
        <f t="shared" si="160"/>
        <v>0</v>
      </c>
      <c r="AB359" s="58" t="str">
        <f t="shared" si="161"/>
        <v>ok</v>
      </c>
    </row>
    <row r="360" spans="1:28">
      <c r="F360" s="79"/>
      <c r="G360" s="79"/>
    </row>
    <row r="361" spans="1:28" ht="15">
      <c r="A361" s="65" t="s">
        <v>1131</v>
      </c>
      <c r="F361" s="79"/>
      <c r="G361" s="79"/>
    </row>
    <row r="362" spans="1:28">
      <c r="A362" s="68" t="s">
        <v>1363</v>
      </c>
      <c r="C362" s="111" t="s">
        <v>765</v>
      </c>
      <c r="D362" s="60" t="s">
        <v>773</v>
      </c>
      <c r="E362" s="60" t="s">
        <v>1367</v>
      </c>
      <c r="F362" s="76">
        <f>VLOOKUP(C362,'Functional Assignment'!$C$2:$AP$780,'Functional Assignment'!$N$2,)</f>
        <v>0</v>
      </c>
      <c r="G362" s="76">
        <f t="shared" ref="G362:P364" si="164">IF(VLOOKUP($E362,$D$6:$AN$1131,3,)=0,0,(VLOOKUP($E362,$D$6:$AN$1131,G$2,)/VLOOKUP($E362,$D$6:$AN$1131,3,))*$F362)</f>
        <v>0</v>
      </c>
      <c r="H362" s="76">
        <f t="shared" si="164"/>
        <v>0</v>
      </c>
      <c r="I362" s="76">
        <f t="shared" si="164"/>
        <v>0</v>
      </c>
      <c r="J362" s="76">
        <f t="shared" si="164"/>
        <v>0</v>
      </c>
      <c r="K362" s="76">
        <f t="shared" si="164"/>
        <v>0</v>
      </c>
      <c r="L362" s="76">
        <f t="shared" si="164"/>
        <v>0</v>
      </c>
      <c r="M362" s="76">
        <f t="shared" si="164"/>
        <v>0</v>
      </c>
      <c r="N362" s="76">
        <f t="shared" si="164"/>
        <v>0</v>
      </c>
      <c r="O362" s="76">
        <f t="shared" si="164"/>
        <v>0</v>
      </c>
      <c r="P362" s="76">
        <f t="shared" si="164"/>
        <v>0</v>
      </c>
      <c r="Q362" s="76">
        <f t="shared" ref="Q362:Z364" si="165">IF(VLOOKUP($E362,$D$6:$AN$1131,3,)=0,0,(VLOOKUP($E362,$D$6:$AN$1131,Q$2,)/VLOOKUP($E362,$D$6:$AN$1131,3,))*$F362)</f>
        <v>0</v>
      </c>
      <c r="R362" s="76">
        <f t="shared" si="165"/>
        <v>0</v>
      </c>
      <c r="S362" s="76">
        <f t="shared" si="165"/>
        <v>0</v>
      </c>
      <c r="T362" s="76">
        <f t="shared" si="165"/>
        <v>0</v>
      </c>
      <c r="U362" s="76">
        <f t="shared" si="165"/>
        <v>0</v>
      </c>
      <c r="V362" s="76">
        <f t="shared" si="165"/>
        <v>0</v>
      </c>
      <c r="W362" s="76">
        <f t="shared" si="165"/>
        <v>0</v>
      </c>
      <c r="X362" s="62">
        <f t="shared" si="165"/>
        <v>0</v>
      </c>
      <c r="Y362" s="62">
        <f t="shared" si="165"/>
        <v>0</v>
      </c>
      <c r="Z362" s="62">
        <f t="shared" si="165"/>
        <v>0</v>
      </c>
      <c r="AA362" s="64">
        <f>SUM(G362:Z362)</f>
        <v>0</v>
      </c>
      <c r="AB362" s="58" t="str">
        <f>IF(ABS(F362-AA362)&lt;0.01,"ok","err")</f>
        <v>ok</v>
      </c>
    </row>
    <row r="363" spans="1:28" hidden="1">
      <c r="A363" s="68" t="s">
        <v>1364</v>
      </c>
      <c r="C363" s="111" t="s">
        <v>765</v>
      </c>
      <c r="D363" s="60" t="s">
        <v>774</v>
      </c>
      <c r="E363" s="60" t="s">
        <v>188</v>
      </c>
      <c r="F363" s="79">
        <f>VLOOKUP(C363,'Functional Assignment'!$C$2:$AP$780,'Functional Assignment'!$O$2,)</f>
        <v>0</v>
      </c>
      <c r="G363" s="79">
        <f t="shared" si="164"/>
        <v>0</v>
      </c>
      <c r="H363" s="79">
        <f t="shared" si="164"/>
        <v>0</v>
      </c>
      <c r="I363" s="79">
        <f t="shared" si="164"/>
        <v>0</v>
      </c>
      <c r="J363" s="79">
        <f t="shared" si="164"/>
        <v>0</v>
      </c>
      <c r="K363" s="79">
        <f t="shared" si="164"/>
        <v>0</v>
      </c>
      <c r="L363" s="79">
        <f t="shared" si="164"/>
        <v>0</v>
      </c>
      <c r="M363" s="79">
        <f t="shared" si="164"/>
        <v>0</v>
      </c>
      <c r="N363" s="79">
        <f t="shared" si="164"/>
        <v>0</v>
      </c>
      <c r="O363" s="79">
        <f t="shared" si="164"/>
        <v>0</v>
      </c>
      <c r="P363" s="79">
        <f t="shared" si="164"/>
        <v>0</v>
      </c>
      <c r="Q363" s="79">
        <f t="shared" si="165"/>
        <v>0</v>
      </c>
      <c r="R363" s="79">
        <f t="shared" si="165"/>
        <v>0</v>
      </c>
      <c r="S363" s="79">
        <f t="shared" si="165"/>
        <v>0</v>
      </c>
      <c r="T363" s="79">
        <f t="shared" si="165"/>
        <v>0</v>
      </c>
      <c r="U363" s="79">
        <f t="shared" si="165"/>
        <v>0</v>
      </c>
      <c r="V363" s="79">
        <f t="shared" si="165"/>
        <v>0</v>
      </c>
      <c r="W363" s="79">
        <f t="shared" si="165"/>
        <v>0</v>
      </c>
      <c r="X363" s="63">
        <f t="shared" si="165"/>
        <v>0</v>
      </c>
      <c r="Y363" s="63">
        <f t="shared" si="165"/>
        <v>0</v>
      </c>
      <c r="Z363" s="63">
        <f t="shared" si="165"/>
        <v>0</v>
      </c>
      <c r="AA363" s="63">
        <f>SUM(G363:Z363)</f>
        <v>0</v>
      </c>
      <c r="AB363" s="58" t="str">
        <f>IF(ABS(F363-AA363)&lt;0.01,"ok","err")</f>
        <v>ok</v>
      </c>
    </row>
    <row r="364" spans="1:28" hidden="1">
      <c r="A364" s="68" t="s">
        <v>1364</v>
      </c>
      <c r="C364" s="111" t="s">
        <v>765</v>
      </c>
      <c r="D364" s="60" t="s">
        <v>775</v>
      </c>
      <c r="E364" s="60" t="s">
        <v>191</v>
      </c>
      <c r="F364" s="79">
        <f>VLOOKUP(C364,'Functional Assignment'!$C$2:$AP$780,'Functional Assignment'!$P$2,)</f>
        <v>0</v>
      </c>
      <c r="G364" s="79">
        <f t="shared" si="164"/>
        <v>0</v>
      </c>
      <c r="H364" s="79">
        <f t="shared" si="164"/>
        <v>0</v>
      </c>
      <c r="I364" s="79">
        <f t="shared" si="164"/>
        <v>0</v>
      </c>
      <c r="J364" s="79">
        <f t="shared" si="164"/>
        <v>0</v>
      </c>
      <c r="K364" s="79">
        <f t="shared" si="164"/>
        <v>0</v>
      </c>
      <c r="L364" s="79">
        <f t="shared" si="164"/>
        <v>0</v>
      </c>
      <c r="M364" s="79">
        <f t="shared" si="164"/>
        <v>0</v>
      </c>
      <c r="N364" s="79">
        <f t="shared" si="164"/>
        <v>0</v>
      </c>
      <c r="O364" s="79">
        <f t="shared" si="164"/>
        <v>0</v>
      </c>
      <c r="P364" s="79">
        <f t="shared" si="164"/>
        <v>0</v>
      </c>
      <c r="Q364" s="79">
        <f t="shared" si="165"/>
        <v>0</v>
      </c>
      <c r="R364" s="79">
        <f t="shared" si="165"/>
        <v>0</v>
      </c>
      <c r="S364" s="79">
        <f t="shared" si="165"/>
        <v>0</v>
      </c>
      <c r="T364" s="79">
        <f t="shared" si="165"/>
        <v>0</v>
      </c>
      <c r="U364" s="79">
        <f t="shared" si="165"/>
        <v>0</v>
      </c>
      <c r="V364" s="79">
        <f t="shared" si="165"/>
        <v>0</v>
      </c>
      <c r="W364" s="79">
        <f t="shared" si="165"/>
        <v>0</v>
      </c>
      <c r="X364" s="63">
        <f t="shared" si="165"/>
        <v>0</v>
      </c>
      <c r="Y364" s="63">
        <f t="shared" si="165"/>
        <v>0</v>
      </c>
      <c r="Z364" s="63">
        <f t="shared" si="165"/>
        <v>0</v>
      </c>
      <c r="AA364" s="63">
        <f>SUM(G364:Z364)</f>
        <v>0</v>
      </c>
      <c r="AB364" s="58" t="str">
        <f>IF(ABS(F364-AA364)&lt;0.01,"ok","err")</f>
        <v>ok</v>
      </c>
    </row>
    <row r="365" spans="1:28" hidden="1">
      <c r="A365" s="60" t="s">
        <v>1133</v>
      </c>
      <c r="D365" s="60" t="s">
        <v>776</v>
      </c>
      <c r="F365" s="76">
        <f t="shared" ref="F365:P365" si="166">SUM(F362:F364)</f>
        <v>0</v>
      </c>
      <c r="G365" s="76">
        <f t="shared" si="166"/>
        <v>0</v>
      </c>
      <c r="H365" s="76">
        <f t="shared" si="166"/>
        <v>0</v>
      </c>
      <c r="I365" s="76">
        <f t="shared" si="166"/>
        <v>0</v>
      </c>
      <c r="J365" s="76">
        <f t="shared" si="166"/>
        <v>0</v>
      </c>
      <c r="K365" s="76">
        <f t="shared" si="166"/>
        <v>0</v>
      </c>
      <c r="L365" s="76">
        <f t="shared" si="166"/>
        <v>0</v>
      </c>
      <c r="M365" s="76">
        <f t="shared" si="166"/>
        <v>0</v>
      </c>
      <c r="N365" s="76">
        <f t="shared" si="166"/>
        <v>0</v>
      </c>
      <c r="O365" s="76">
        <f>SUM(O362:O364)</f>
        <v>0</v>
      </c>
      <c r="P365" s="76">
        <f t="shared" si="166"/>
        <v>0</v>
      </c>
      <c r="Q365" s="76">
        <f t="shared" ref="Q365:Z365" si="167">SUM(Q362:Q364)</f>
        <v>0</v>
      </c>
      <c r="R365" s="76">
        <f t="shared" si="167"/>
        <v>0</v>
      </c>
      <c r="S365" s="76">
        <f t="shared" si="167"/>
        <v>0</v>
      </c>
      <c r="T365" s="76">
        <f t="shared" si="167"/>
        <v>0</v>
      </c>
      <c r="U365" s="76">
        <f t="shared" si="167"/>
        <v>0</v>
      </c>
      <c r="V365" s="76">
        <f t="shared" si="167"/>
        <v>0</v>
      </c>
      <c r="W365" s="76">
        <f t="shared" si="167"/>
        <v>0</v>
      </c>
      <c r="X365" s="62">
        <f t="shared" si="167"/>
        <v>0</v>
      </c>
      <c r="Y365" s="62">
        <f t="shared" si="167"/>
        <v>0</v>
      </c>
      <c r="Z365" s="62">
        <f t="shared" si="167"/>
        <v>0</v>
      </c>
      <c r="AA365" s="64">
        <f>SUM(G365:Z365)</f>
        <v>0</v>
      </c>
      <c r="AB365" s="58" t="str">
        <f>IF(ABS(F365-AA365)&lt;0.01,"ok","err")</f>
        <v>ok</v>
      </c>
    </row>
    <row r="366" spans="1:28">
      <c r="F366" s="79"/>
      <c r="G366" s="79"/>
    </row>
    <row r="367" spans="1:28" ht="15">
      <c r="A367" s="65" t="s">
        <v>348</v>
      </c>
      <c r="F367" s="79"/>
      <c r="G367" s="79"/>
    </row>
    <row r="368" spans="1:28">
      <c r="A368" s="68" t="s">
        <v>372</v>
      </c>
      <c r="C368" s="111" t="s">
        <v>765</v>
      </c>
      <c r="D368" s="60" t="s">
        <v>777</v>
      </c>
      <c r="E368" s="60" t="s">
        <v>1368</v>
      </c>
      <c r="F368" s="76">
        <f>VLOOKUP(C368,'Functional Assignment'!$C$2:$AP$780,'Functional Assignment'!$Q$2,)</f>
        <v>0</v>
      </c>
      <c r="G368" s="76">
        <f t="shared" ref="G368:Z368" si="168">IF(VLOOKUP($E368,$D$6:$AN$1131,3,)=0,0,(VLOOKUP($E368,$D$6:$AN$1131,G$2,)/VLOOKUP($E368,$D$6:$AN$1131,3,))*$F368)</f>
        <v>0</v>
      </c>
      <c r="H368" s="76">
        <f t="shared" si="168"/>
        <v>0</v>
      </c>
      <c r="I368" s="76">
        <f t="shared" si="168"/>
        <v>0</v>
      </c>
      <c r="J368" s="76">
        <f t="shared" si="168"/>
        <v>0</v>
      </c>
      <c r="K368" s="76">
        <f t="shared" si="168"/>
        <v>0</v>
      </c>
      <c r="L368" s="76">
        <f t="shared" si="168"/>
        <v>0</v>
      </c>
      <c r="M368" s="76">
        <f t="shared" si="168"/>
        <v>0</v>
      </c>
      <c r="N368" s="76">
        <f t="shared" si="168"/>
        <v>0</v>
      </c>
      <c r="O368" s="76">
        <f t="shared" si="168"/>
        <v>0</v>
      </c>
      <c r="P368" s="76">
        <f t="shared" si="168"/>
        <v>0</v>
      </c>
      <c r="Q368" s="76">
        <f t="shared" si="168"/>
        <v>0</v>
      </c>
      <c r="R368" s="76">
        <f t="shared" si="168"/>
        <v>0</v>
      </c>
      <c r="S368" s="76">
        <f t="shared" si="168"/>
        <v>0</v>
      </c>
      <c r="T368" s="76">
        <f t="shared" si="168"/>
        <v>0</v>
      </c>
      <c r="U368" s="76">
        <f t="shared" si="168"/>
        <v>0</v>
      </c>
      <c r="V368" s="76">
        <f t="shared" si="168"/>
        <v>0</v>
      </c>
      <c r="W368" s="76">
        <f t="shared" si="168"/>
        <v>0</v>
      </c>
      <c r="X368" s="62">
        <f t="shared" si="168"/>
        <v>0</v>
      </c>
      <c r="Y368" s="62">
        <f t="shared" si="168"/>
        <v>0</v>
      </c>
      <c r="Z368" s="62">
        <f t="shared" si="168"/>
        <v>0</v>
      </c>
      <c r="AA368" s="64">
        <f>SUM(G368:Z368)</f>
        <v>0</v>
      </c>
      <c r="AB368" s="58" t="str">
        <f>IF(ABS(F368-AA368)&lt;0.01,"ok","err")</f>
        <v>ok</v>
      </c>
    </row>
    <row r="369" spans="1:28">
      <c r="F369" s="79"/>
    </row>
    <row r="370" spans="1:28" ht="15">
      <c r="A370" s="65" t="s">
        <v>349</v>
      </c>
      <c r="F370" s="79"/>
      <c r="G370" s="79"/>
    </row>
    <row r="371" spans="1:28">
      <c r="A371" s="68" t="s">
        <v>374</v>
      </c>
      <c r="C371" s="111" t="s">
        <v>765</v>
      </c>
      <c r="D371" s="60" t="s">
        <v>778</v>
      </c>
      <c r="E371" s="60" t="s">
        <v>1368</v>
      </c>
      <c r="F371" s="76">
        <f>VLOOKUP(C371,'Functional Assignment'!$C$2:$AP$780,'Functional Assignment'!$R$2,)</f>
        <v>0</v>
      </c>
      <c r="G371" s="76">
        <f t="shared" ref="G371:Z371" si="169">IF(VLOOKUP($E371,$D$6:$AN$1131,3,)=0,0,(VLOOKUP($E371,$D$6:$AN$1131,G$2,)/VLOOKUP($E371,$D$6:$AN$1131,3,))*$F371)</f>
        <v>0</v>
      </c>
      <c r="H371" s="76">
        <f t="shared" si="169"/>
        <v>0</v>
      </c>
      <c r="I371" s="76">
        <f t="shared" si="169"/>
        <v>0</v>
      </c>
      <c r="J371" s="76">
        <f t="shared" si="169"/>
        <v>0</v>
      </c>
      <c r="K371" s="76">
        <f t="shared" si="169"/>
        <v>0</v>
      </c>
      <c r="L371" s="76">
        <f t="shared" si="169"/>
        <v>0</v>
      </c>
      <c r="M371" s="76">
        <f t="shared" si="169"/>
        <v>0</v>
      </c>
      <c r="N371" s="76">
        <f t="shared" si="169"/>
        <v>0</v>
      </c>
      <c r="O371" s="76">
        <f t="shared" si="169"/>
        <v>0</v>
      </c>
      <c r="P371" s="76">
        <f t="shared" si="169"/>
        <v>0</v>
      </c>
      <c r="Q371" s="76">
        <f t="shared" si="169"/>
        <v>0</v>
      </c>
      <c r="R371" s="76">
        <f t="shared" si="169"/>
        <v>0</v>
      </c>
      <c r="S371" s="76">
        <f t="shared" si="169"/>
        <v>0</v>
      </c>
      <c r="T371" s="76">
        <f t="shared" si="169"/>
        <v>0</v>
      </c>
      <c r="U371" s="76">
        <f t="shared" si="169"/>
        <v>0</v>
      </c>
      <c r="V371" s="76">
        <f t="shared" si="169"/>
        <v>0</v>
      </c>
      <c r="W371" s="76">
        <f t="shared" si="169"/>
        <v>0</v>
      </c>
      <c r="X371" s="62">
        <f t="shared" si="169"/>
        <v>0</v>
      </c>
      <c r="Y371" s="62">
        <f t="shared" si="169"/>
        <v>0</v>
      </c>
      <c r="Z371" s="62">
        <f t="shared" si="169"/>
        <v>0</v>
      </c>
      <c r="AA371" s="64">
        <f>SUM(G371:Z371)</f>
        <v>0</v>
      </c>
      <c r="AB371" s="58" t="str">
        <f>IF(ABS(F371-AA371)&lt;0.01,"ok","err")</f>
        <v>ok</v>
      </c>
    </row>
    <row r="372" spans="1:28">
      <c r="F372" s="79"/>
    </row>
    <row r="373" spans="1:28" ht="15">
      <c r="A373" s="65" t="s">
        <v>373</v>
      </c>
      <c r="F373" s="79"/>
    </row>
    <row r="374" spans="1:28">
      <c r="A374" s="68" t="s">
        <v>623</v>
      </c>
      <c r="C374" s="111" t="s">
        <v>765</v>
      </c>
      <c r="D374" s="60" t="s">
        <v>779</v>
      </c>
      <c r="E374" s="60" t="s">
        <v>1368</v>
      </c>
      <c r="F374" s="76">
        <f>VLOOKUP(C374,'Functional Assignment'!$C$2:$AP$780,'Functional Assignment'!$S$2,)</f>
        <v>0</v>
      </c>
      <c r="G374" s="76">
        <f t="shared" ref="G374:P378" si="170">IF(VLOOKUP($E374,$D$6:$AN$1131,3,)=0,0,(VLOOKUP($E374,$D$6:$AN$1131,G$2,)/VLOOKUP($E374,$D$6:$AN$1131,3,))*$F374)</f>
        <v>0</v>
      </c>
      <c r="H374" s="76">
        <f t="shared" si="170"/>
        <v>0</v>
      </c>
      <c r="I374" s="76">
        <f t="shared" si="170"/>
        <v>0</v>
      </c>
      <c r="J374" s="76">
        <f t="shared" si="170"/>
        <v>0</v>
      </c>
      <c r="K374" s="76">
        <f t="shared" si="170"/>
        <v>0</v>
      </c>
      <c r="L374" s="76">
        <f t="shared" si="170"/>
        <v>0</v>
      </c>
      <c r="M374" s="76">
        <f t="shared" si="170"/>
        <v>0</v>
      </c>
      <c r="N374" s="76">
        <f t="shared" si="170"/>
        <v>0</v>
      </c>
      <c r="O374" s="76">
        <f t="shared" si="170"/>
        <v>0</v>
      </c>
      <c r="P374" s="76">
        <f t="shared" si="170"/>
        <v>0</v>
      </c>
      <c r="Q374" s="76">
        <f t="shared" ref="Q374:Z378" si="171">IF(VLOOKUP($E374,$D$6:$AN$1131,3,)=0,0,(VLOOKUP($E374,$D$6:$AN$1131,Q$2,)/VLOOKUP($E374,$D$6:$AN$1131,3,))*$F374)</f>
        <v>0</v>
      </c>
      <c r="R374" s="76">
        <f t="shared" si="171"/>
        <v>0</v>
      </c>
      <c r="S374" s="76">
        <f t="shared" si="171"/>
        <v>0</v>
      </c>
      <c r="T374" s="76">
        <f t="shared" si="171"/>
        <v>0</v>
      </c>
      <c r="U374" s="76">
        <f t="shared" si="171"/>
        <v>0</v>
      </c>
      <c r="V374" s="76">
        <f t="shared" si="171"/>
        <v>0</v>
      </c>
      <c r="W374" s="76">
        <f t="shared" si="171"/>
        <v>0</v>
      </c>
      <c r="X374" s="62">
        <f t="shared" si="171"/>
        <v>0</v>
      </c>
      <c r="Y374" s="62">
        <f t="shared" si="171"/>
        <v>0</v>
      </c>
      <c r="Z374" s="62">
        <f t="shared" si="171"/>
        <v>0</v>
      </c>
      <c r="AA374" s="64">
        <f t="shared" ref="AA374:AA379" si="172">SUM(G374:Z374)</f>
        <v>0</v>
      </c>
      <c r="AB374" s="58" t="str">
        <f t="shared" ref="AB374:AB379" si="173">IF(ABS(F374-AA374)&lt;0.01,"ok","err")</f>
        <v>ok</v>
      </c>
    </row>
    <row r="375" spans="1:28">
      <c r="A375" s="68" t="s">
        <v>624</v>
      </c>
      <c r="C375" s="111" t="s">
        <v>765</v>
      </c>
      <c r="D375" s="60" t="s">
        <v>780</v>
      </c>
      <c r="E375" s="60" t="s">
        <v>1368</v>
      </c>
      <c r="F375" s="79">
        <f>VLOOKUP(C375,'Functional Assignment'!$C$2:$AP$780,'Functional Assignment'!$T$2,)</f>
        <v>0</v>
      </c>
      <c r="G375" s="79">
        <f t="shared" si="170"/>
        <v>0</v>
      </c>
      <c r="H375" s="79">
        <f t="shared" si="170"/>
        <v>0</v>
      </c>
      <c r="I375" s="79">
        <f t="shared" si="170"/>
        <v>0</v>
      </c>
      <c r="J375" s="79">
        <f t="shared" si="170"/>
        <v>0</v>
      </c>
      <c r="K375" s="79">
        <f t="shared" si="170"/>
        <v>0</v>
      </c>
      <c r="L375" s="79">
        <f t="shared" si="170"/>
        <v>0</v>
      </c>
      <c r="M375" s="79">
        <f t="shared" si="170"/>
        <v>0</v>
      </c>
      <c r="N375" s="79">
        <f t="shared" si="170"/>
        <v>0</v>
      </c>
      <c r="O375" s="79">
        <f t="shared" si="170"/>
        <v>0</v>
      </c>
      <c r="P375" s="79">
        <f t="shared" si="170"/>
        <v>0</v>
      </c>
      <c r="Q375" s="79">
        <f t="shared" si="171"/>
        <v>0</v>
      </c>
      <c r="R375" s="79">
        <f t="shared" si="171"/>
        <v>0</v>
      </c>
      <c r="S375" s="79">
        <f t="shared" si="171"/>
        <v>0</v>
      </c>
      <c r="T375" s="79">
        <f t="shared" si="171"/>
        <v>0</v>
      </c>
      <c r="U375" s="79">
        <f t="shared" si="171"/>
        <v>0</v>
      </c>
      <c r="V375" s="79">
        <f t="shared" si="171"/>
        <v>0</v>
      </c>
      <c r="W375" s="79">
        <f t="shared" si="171"/>
        <v>0</v>
      </c>
      <c r="X375" s="63">
        <f t="shared" si="171"/>
        <v>0</v>
      </c>
      <c r="Y375" s="63">
        <f t="shared" si="171"/>
        <v>0</v>
      </c>
      <c r="Z375" s="63">
        <f t="shared" si="171"/>
        <v>0</v>
      </c>
      <c r="AA375" s="63">
        <f t="shared" si="172"/>
        <v>0</v>
      </c>
      <c r="AB375" s="58" t="str">
        <f t="shared" si="173"/>
        <v>ok</v>
      </c>
    </row>
    <row r="376" spans="1:28">
      <c r="A376" s="68" t="s">
        <v>625</v>
      </c>
      <c r="C376" s="111" t="s">
        <v>765</v>
      </c>
      <c r="D376" s="60" t="s">
        <v>781</v>
      </c>
      <c r="E376" s="60" t="s">
        <v>698</v>
      </c>
      <c r="F376" s="79">
        <f>VLOOKUP(C376,'Functional Assignment'!$C$2:$AP$780,'Functional Assignment'!$U$2,)</f>
        <v>0</v>
      </c>
      <c r="G376" s="79">
        <f t="shared" si="170"/>
        <v>0</v>
      </c>
      <c r="H376" s="79">
        <f t="shared" si="170"/>
        <v>0</v>
      </c>
      <c r="I376" s="79">
        <f t="shared" si="170"/>
        <v>0</v>
      </c>
      <c r="J376" s="79">
        <f t="shared" si="170"/>
        <v>0</v>
      </c>
      <c r="K376" s="79">
        <f t="shared" si="170"/>
        <v>0</v>
      </c>
      <c r="L376" s="79">
        <f t="shared" si="170"/>
        <v>0</v>
      </c>
      <c r="M376" s="79">
        <f t="shared" si="170"/>
        <v>0</v>
      </c>
      <c r="N376" s="79">
        <f t="shared" si="170"/>
        <v>0</v>
      </c>
      <c r="O376" s="79">
        <f t="shared" si="170"/>
        <v>0</v>
      </c>
      <c r="P376" s="79">
        <f t="shared" si="170"/>
        <v>0</v>
      </c>
      <c r="Q376" s="79">
        <f t="shared" si="171"/>
        <v>0</v>
      </c>
      <c r="R376" s="79">
        <f t="shared" si="171"/>
        <v>0</v>
      </c>
      <c r="S376" s="79">
        <f t="shared" si="171"/>
        <v>0</v>
      </c>
      <c r="T376" s="79">
        <f t="shared" si="171"/>
        <v>0</v>
      </c>
      <c r="U376" s="79">
        <f t="shared" si="171"/>
        <v>0</v>
      </c>
      <c r="V376" s="79">
        <f t="shared" si="171"/>
        <v>0</v>
      </c>
      <c r="W376" s="79">
        <f t="shared" si="171"/>
        <v>0</v>
      </c>
      <c r="X376" s="63">
        <f t="shared" si="171"/>
        <v>0</v>
      </c>
      <c r="Y376" s="63">
        <f t="shared" si="171"/>
        <v>0</v>
      </c>
      <c r="Z376" s="63">
        <f t="shared" si="171"/>
        <v>0</v>
      </c>
      <c r="AA376" s="63">
        <f t="shared" si="172"/>
        <v>0</v>
      </c>
      <c r="AB376" s="58" t="str">
        <f t="shared" si="173"/>
        <v>ok</v>
      </c>
    </row>
    <row r="377" spans="1:28">
      <c r="A377" s="68" t="s">
        <v>626</v>
      </c>
      <c r="C377" s="111" t="s">
        <v>765</v>
      </c>
      <c r="D377" s="60" t="s">
        <v>782</v>
      </c>
      <c r="E377" s="60" t="s">
        <v>678</v>
      </c>
      <c r="F377" s="79">
        <f>VLOOKUP(C377,'Functional Assignment'!$C$2:$AP$780,'Functional Assignment'!$V$2,)</f>
        <v>0</v>
      </c>
      <c r="G377" s="79">
        <f t="shared" si="170"/>
        <v>0</v>
      </c>
      <c r="H377" s="79">
        <f t="shared" si="170"/>
        <v>0</v>
      </c>
      <c r="I377" s="79">
        <f t="shared" si="170"/>
        <v>0</v>
      </c>
      <c r="J377" s="79">
        <f t="shared" si="170"/>
        <v>0</v>
      </c>
      <c r="K377" s="79">
        <f t="shared" si="170"/>
        <v>0</v>
      </c>
      <c r="L377" s="79">
        <f t="shared" si="170"/>
        <v>0</v>
      </c>
      <c r="M377" s="79">
        <f t="shared" si="170"/>
        <v>0</v>
      </c>
      <c r="N377" s="79">
        <f t="shared" si="170"/>
        <v>0</v>
      </c>
      <c r="O377" s="79">
        <f t="shared" si="170"/>
        <v>0</v>
      </c>
      <c r="P377" s="79">
        <f t="shared" si="170"/>
        <v>0</v>
      </c>
      <c r="Q377" s="79">
        <f t="shared" si="171"/>
        <v>0</v>
      </c>
      <c r="R377" s="79">
        <f t="shared" si="171"/>
        <v>0</v>
      </c>
      <c r="S377" s="79">
        <f t="shared" si="171"/>
        <v>0</v>
      </c>
      <c r="T377" s="79">
        <f t="shared" si="171"/>
        <v>0</v>
      </c>
      <c r="U377" s="79">
        <f t="shared" si="171"/>
        <v>0</v>
      </c>
      <c r="V377" s="79">
        <f t="shared" si="171"/>
        <v>0</v>
      </c>
      <c r="W377" s="79">
        <f t="shared" si="171"/>
        <v>0</v>
      </c>
      <c r="X377" s="63">
        <f t="shared" si="171"/>
        <v>0</v>
      </c>
      <c r="Y377" s="63">
        <f t="shared" si="171"/>
        <v>0</v>
      </c>
      <c r="Z377" s="63">
        <f t="shared" si="171"/>
        <v>0</v>
      </c>
      <c r="AA377" s="63">
        <f t="shared" si="172"/>
        <v>0</v>
      </c>
      <c r="AB377" s="58" t="str">
        <f t="shared" si="173"/>
        <v>ok</v>
      </c>
    </row>
    <row r="378" spans="1:28">
      <c r="A378" s="68" t="s">
        <v>627</v>
      </c>
      <c r="C378" s="111" t="s">
        <v>765</v>
      </c>
      <c r="D378" s="60" t="s">
        <v>783</v>
      </c>
      <c r="E378" s="60" t="s">
        <v>697</v>
      </c>
      <c r="F378" s="79">
        <f>VLOOKUP(C378,'Functional Assignment'!$C$2:$AP$780,'Functional Assignment'!$W$2,)</f>
        <v>0</v>
      </c>
      <c r="G378" s="79">
        <f t="shared" si="170"/>
        <v>0</v>
      </c>
      <c r="H378" s="79">
        <f t="shared" si="170"/>
        <v>0</v>
      </c>
      <c r="I378" s="79">
        <f t="shared" si="170"/>
        <v>0</v>
      </c>
      <c r="J378" s="79">
        <f t="shared" si="170"/>
        <v>0</v>
      </c>
      <c r="K378" s="79">
        <f t="shared" si="170"/>
        <v>0</v>
      </c>
      <c r="L378" s="79">
        <f t="shared" si="170"/>
        <v>0</v>
      </c>
      <c r="M378" s="79">
        <f t="shared" si="170"/>
        <v>0</v>
      </c>
      <c r="N378" s="79">
        <f t="shared" si="170"/>
        <v>0</v>
      </c>
      <c r="O378" s="79">
        <f t="shared" si="170"/>
        <v>0</v>
      </c>
      <c r="P378" s="79">
        <f t="shared" si="170"/>
        <v>0</v>
      </c>
      <c r="Q378" s="79">
        <f t="shared" si="171"/>
        <v>0</v>
      </c>
      <c r="R378" s="79">
        <f t="shared" si="171"/>
        <v>0</v>
      </c>
      <c r="S378" s="79">
        <f t="shared" si="171"/>
        <v>0</v>
      </c>
      <c r="T378" s="79">
        <f t="shared" si="171"/>
        <v>0</v>
      </c>
      <c r="U378" s="79">
        <f t="shared" si="171"/>
        <v>0</v>
      </c>
      <c r="V378" s="79">
        <f t="shared" si="171"/>
        <v>0</v>
      </c>
      <c r="W378" s="79">
        <f t="shared" si="171"/>
        <v>0</v>
      </c>
      <c r="X378" s="63">
        <f t="shared" si="171"/>
        <v>0</v>
      </c>
      <c r="Y378" s="63">
        <f t="shared" si="171"/>
        <v>0</v>
      </c>
      <c r="Z378" s="63">
        <f t="shared" si="171"/>
        <v>0</v>
      </c>
      <c r="AA378" s="63">
        <f t="shared" si="172"/>
        <v>0</v>
      </c>
      <c r="AB378" s="58" t="str">
        <f t="shared" si="173"/>
        <v>ok</v>
      </c>
    </row>
    <row r="379" spans="1:28">
      <c r="A379" s="60" t="s">
        <v>378</v>
      </c>
      <c r="D379" s="60" t="s">
        <v>784</v>
      </c>
      <c r="F379" s="76">
        <f t="shared" ref="F379:P379" si="174">SUM(F374:F378)</f>
        <v>0</v>
      </c>
      <c r="G379" s="76">
        <f t="shared" si="174"/>
        <v>0</v>
      </c>
      <c r="H379" s="76">
        <f t="shared" si="174"/>
        <v>0</v>
      </c>
      <c r="I379" s="76">
        <f t="shared" si="174"/>
        <v>0</v>
      </c>
      <c r="J379" s="76">
        <f t="shared" si="174"/>
        <v>0</v>
      </c>
      <c r="K379" s="76">
        <f t="shared" si="174"/>
        <v>0</v>
      </c>
      <c r="L379" s="76">
        <f t="shared" si="174"/>
        <v>0</v>
      </c>
      <c r="M379" s="76">
        <f t="shared" si="174"/>
        <v>0</v>
      </c>
      <c r="N379" s="76">
        <f t="shared" si="174"/>
        <v>0</v>
      </c>
      <c r="O379" s="76">
        <f>SUM(O374:O378)</f>
        <v>0</v>
      </c>
      <c r="P379" s="76">
        <f t="shared" si="174"/>
        <v>0</v>
      </c>
      <c r="Q379" s="76">
        <f t="shared" ref="Q379:Z379" si="175">SUM(Q374:Q378)</f>
        <v>0</v>
      </c>
      <c r="R379" s="76">
        <f t="shared" si="175"/>
        <v>0</v>
      </c>
      <c r="S379" s="76">
        <f t="shared" si="175"/>
        <v>0</v>
      </c>
      <c r="T379" s="76">
        <f t="shared" si="175"/>
        <v>0</v>
      </c>
      <c r="U379" s="76">
        <f t="shared" si="175"/>
        <v>0</v>
      </c>
      <c r="V379" s="76">
        <f t="shared" si="175"/>
        <v>0</v>
      </c>
      <c r="W379" s="76">
        <f t="shared" si="175"/>
        <v>0</v>
      </c>
      <c r="X379" s="62">
        <f t="shared" si="175"/>
        <v>0</v>
      </c>
      <c r="Y379" s="62">
        <f t="shared" si="175"/>
        <v>0</v>
      </c>
      <c r="Z379" s="62">
        <f t="shared" si="175"/>
        <v>0</v>
      </c>
      <c r="AA379" s="64">
        <f t="shared" si="172"/>
        <v>0</v>
      </c>
      <c r="AB379" s="58" t="str">
        <f t="shared" si="173"/>
        <v>ok</v>
      </c>
    </row>
    <row r="380" spans="1:28">
      <c r="F380" s="79"/>
    </row>
    <row r="381" spans="1:28" ht="15">
      <c r="A381" s="65" t="s">
        <v>634</v>
      </c>
      <c r="F381" s="79"/>
    </row>
    <row r="382" spans="1:28">
      <c r="A382" s="68" t="s">
        <v>1090</v>
      </c>
      <c r="C382" s="111" t="s">
        <v>765</v>
      </c>
      <c r="D382" s="60" t="s">
        <v>785</v>
      </c>
      <c r="E382" s="60" t="s">
        <v>1336</v>
      </c>
      <c r="F382" s="76">
        <f>VLOOKUP(C382,'Functional Assignment'!$C$2:$AP$780,'Functional Assignment'!$X$2,)</f>
        <v>0</v>
      </c>
      <c r="G382" s="76">
        <f t="shared" ref="G382:P383" si="176">IF(VLOOKUP($E382,$D$6:$AN$1131,3,)=0,0,(VLOOKUP($E382,$D$6:$AN$1131,G$2,)/VLOOKUP($E382,$D$6:$AN$1131,3,))*$F382)</f>
        <v>0</v>
      </c>
      <c r="H382" s="76">
        <f t="shared" si="176"/>
        <v>0</v>
      </c>
      <c r="I382" s="76">
        <f t="shared" si="176"/>
        <v>0</v>
      </c>
      <c r="J382" s="76">
        <f t="shared" si="176"/>
        <v>0</v>
      </c>
      <c r="K382" s="76">
        <f t="shared" si="176"/>
        <v>0</v>
      </c>
      <c r="L382" s="76">
        <f t="shared" si="176"/>
        <v>0</v>
      </c>
      <c r="M382" s="76">
        <f t="shared" si="176"/>
        <v>0</v>
      </c>
      <c r="N382" s="76">
        <f t="shared" si="176"/>
        <v>0</v>
      </c>
      <c r="O382" s="76">
        <f t="shared" si="176"/>
        <v>0</v>
      </c>
      <c r="P382" s="76">
        <f t="shared" si="176"/>
        <v>0</v>
      </c>
      <c r="Q382" s="76">
        <f t="shared" ref="Q382:Z383" si="177">IF(VLOOKUP($E382,$D$6:$AN$1131,3,)=0,0,(VLOOKUP($E382,$D$6:$AN$1131,Q$2,)/VLOOKUP($E382,$D$6:$AN$1131,3,))*$F382)</f>
        <v>0</v>
      </c>
      <c r="R382" s="76">
        <f t="shared" si="177"/>
        <v>0</v>
      </c>
      <c r="S382" s="76">
        <f t="shared" si="177"/>
        <v>0</v>
      </c>
      <c r="T382" s="76">
        <f t="shared" si="177"/>
        <v>0</v>
      </c>
      <c r="U382" s="76">
        <f t="shared" si="177"/>
        <v>0</v>
      </c>
      <c r="V382" s="76">
        <f t="shared" si="177"/>
        <v>0</v>
      </c>
      <c r="W382" s="76">
        <f t="shared" si="177"/>
        <v>0</v>
      </c>
      <c r="X382" s="62">
        <f t="shared" si="177"/>
        <v>0</v>
      </c>
      <c r="Y382" s="62">
        <f t="shared" si="177"/>
        <v>0</v>
      </c>
      <c r="Z382" s="62">
        <f t="shared" si="177"/>
        <v>0</v>
      </c>
      <c r="AA382" s="64">
        <f>SUM(G382:Z382)</f>
        <v>0</v>
      </c>
      <c r="AB382" s="58" t="str">
        <f>IF(ABS(F382-AA382)&lt;0.01,"ok","err")</f>
        <v>ok</v>
      </c>
    </row>
    <row r="383" spans="1:28">
      <c r="A383" s="68" t="s">
        <v>1093</v>
      </c>
      <c r="C383" s="111" t="s">
        <v>765</v>
      </c>
      <c r="D383" s="60" t="s">
        <v>786</v>
      </c>
      <c r="E383" s="60" t="s">
        <v>1334</v>
      </c>
      <c r="F383" s="79">
        <f>VLOOKUP(C383,'Functional Assignment'!$C$2:$AP$780,'Functional Assignment'!$Y$2,)</f>
        <v>0</v>
      </c>
      <c r="G383" s="79">
        <f t="shared" si="176"/>
        <v>0</v>
      </c>
      <c r="H383" s="79">
        <f t="shared" si="176"/>
        <v>0</v>
      </c>
      <c r="I383" s="79">
        <f t="shared" si="176"/>
        <v>0</v>
      </c>
      <c r="J383" s="79">
        <f t="shared" si="176"/>
        <v>0</v>
      </c>
      <c r="K383" s="79">
        <f t="shared" si="176"/>
        <v>0</v>
      </c>
      <c r="L383" s="79">
        <f t="shared" si="176"/>
        <v>0</v>
      </c>
      <c r="M383" s="79">
        <f t="shared" si="176"/>
        <v>0</v>
      </c>
      <c r="N383" s="79">
        <f t="shared" si="176"/>
        <v>0</v>
      </c>
      <c r="O383" s="79">
        <f t="shared" si="176"/>
        <v>0</v>
      </c>
      <c r="P383" s="79">
        <f t="shared" si="176"/>
        <v>0</v>
      </c>
      <c r="Q383" s="79">
        <f t="shared" si="177"/>
        <v>0</v>
      </c>
      <c r="R383" s="79">
        <f t="shared" si="177"/>
        <v>0</v>
      </c>
      <c r="S383" s="79">
        <f t="shared" si="177"/>
        <v>0</v>
      </c>
      <c r="T383" s="79">
        <f t="shared" si="177"/>
        <v>0</v>
      </c>
      <c r="U383" s="79">
        <f t="shared" si="177"/>
        <v>0</v>
      </c>
      <c r="V383" s="79">
        <f t="shared" si="177"/>
        <v>0</v>
      </c>
      <c r="W383" s="79">
        <f t="shared" si="177"/>
        <v>0</v>
      </c>
      <c r="X383" s="63">
        <f t="shared" si="177"/>
        <v>0</v>
      </c>
      <c r="Y383" s="63">
        <f t="shared" si="177"/>
        <v>0</v>
      </c>
      <c r="Z383" s="63">
        <f t="shared" si="177"/>
        <v>0</v>
      </c>
      <c r="AA383" s="63">
        <f>SUM(G383:Z383)</f>
        <v>0</v>
      </c>
      <c r="AB383" s="58" t="str">
        <f>IF(ABS(F383-AA383)&lt;0.01,"ok","err")</f>
        <v>ok</v>
      </c>
    </row>
    <row r="384" spans="1:28">
      <c r="A384" s="60" t="s">
        <v>712</v>
      </c>
      <c r="D384" s="60" t="s">
        <v>787</v>
      </c>
      <c r="F384" s="76">
        <f t="shared" ref="F384:P384" si="178">F382+F383</f>
        <v>0</v>
      </c>
      <c r="G384" s="76">
        <f t="shared" si="178"/>
        <v>0</v>
      </c>
      <c r="H384" s="76">
        <f t="shared" si="178"/>
        <v>0</v>
      </c>
      <c r="I384" s="76">
        <f t="shared" si="178"/>
        <v>0</v>
      </c>
      <c r="J384" s="76">
        <f t="shared" si="178"/>
        <v>0</v>
      </c>
      <c r="K384" s="76">
        <f t="shared" si="178"/>
        <v>0</v>
      </c>
      <c r="L384" s="76">
        <f t="shared" si="178"/>
        <v>0</v>
      </c>
      <c r="M384" s="76">
        <f t="shared" si="178"/>
        <v>0</v>
      </c>
      <c r="N384" s="76">
        <f t="shared" si="178"/>
        <v>0</v>
      </c>
      <c r="O384" s="76">
        <f>O382+O383</f>
        <v>0</v>
      </c>
      <c r="P384" s="76">
        <f t="shared" si="178"/>
        <v>0</v>
      </c>
      <c r="Q384" s="76">
        <f t="shared" ref="Q384:Z384" si="179">Q382+Q383</f>
        <v>0</v>
      </c>
      <c r="R384" s="76">
        <f t="shared" si="179"/>
        <v>0</v>
      </c>
      <c r="S384" s="76">
        <f t="shared" si="179"/>
        <v>0</v>
      </c>
      <c r="T384" s="76">
        <f t="shared" si="179"/>
        <v>0</v>
      </c>
      <c r="U384" s="76">
        <f t="shared" si="179"/>
        <v>0</v>
      </c>
      <c r="V384" s="76">
        <f t="shared" si="179"/>
        <v>0</v>
      </c>
      <c r="W384" s="76">
        <f t="shared" si="179"/>
        <v>0</v>
      </c>
      <c r="X384" s="62">
        <f t="shared" si="179"/>
        <v>0</v>
      </c>
      <c r="Y384" s="62">
        <f t="shared" si="179"/>
        <v>0</v>
      </c>
      <c r="Z384" s="62">
        <f t="shared" si="179"/>
        <v>0</v>
      </c>
      <c r="AA384" s="64">
        <f>SUM(G384:Z384)</f>
        <v>0</v>
      </c>
      <c r="AB384" s="58" t="str">
        <f>IF(ABS(F384-AA384)&lt;0.01,"ok","err")</f>
        <v>ok</v>
      </c>
    </row>
    <row r="385" spans="1:28">
      <c r="F385" s="79"/>
    </row>
    <row r="386" spans="1:28" ht="15">
      <c r="A386" s="65" t="s">
        <v>354</v>
      </c>
      <c r="F386" s="79"/>
    </row>
    <row r="387" spans="1:28">
      <c r="A387" s="68" t="s">
        <v>1093</v>
      </c>
      <c r="C387" s="111" t="s">
        <v>765</v>
      </c>
      <c r="D387" s="60" t="s">
        <v>788</v>
      </c>
      <c r="E387" s="60" t="s">
        <v>1095</v>
      </c>
      <c r="F387" s="76">
        <f>VLOOKUP(C387,'Functional Assignment'!$C$2:$AP$780,'Functional Assignment'!$Z$2,)</f>
        <v>0</v>
      </c>
      <c r="G387" s="76">
        <f t="shared" ref="G387:Z387" si="180">IF(VLOOKUP($E387,$D$6:$AN$1131,3,)=0,0,(VLOOKUP($E387,$D$6:$AN$1131,G$2,)/VLOOKUP($E387,$D$6:$AN$1131,3,))*$F387)</f>
        <v>0</v>
      </c>
      <c r="H387" s="76">
        <f t="shared" si="180"/>
        <v>0</v>
      </c>
      <c r="I387" s="76">
        <f t="shared" si="180"/>
        <v>0</v>
      </c>
      <c r="J387" s="76">
        <f t="shared" si="180"/>
        <v>0</v>
      </c>
      <c r="K387" s="76">
        <f t="shared" si="180"/>
        <v>0</v>
      </c>
      <c r="L387" s="76">
        <f t="shared" si="180"/>
        <v>0</v>
      </c>
      <c r="M387" s="76">
        <f t="shared" si="180"/>
        <v>0</v>
      </c>
      <c r="N387" s="76">
        <f t="shared" si="180"/>
        <v>0</v>
      </c>
      <c r="O387" s="76">
        <f t="shared" si="180"/>
        <v>0</v>
      </c>
      <c r="P387" s="76">
        <f t="shared" si="180"/>
        <v>0</v>
      </c>
      <c r="Q387" s="76">
        <f t="shared" si="180"/>
        <v>0</v>
      </c>
      <c r="R387" s="76">
        <f t="shared" si="180"/>
        <v>0</v>
      </c>
      <c r="S387" s="76">
        <f t="shared" si="180"/>
        <v>0</v>
      </c>
      <c r="T387" s="76">
        <f t="shared" si="180"/>
        <v>0</v>
      </c>
      <c r="U387" s="76">
        <f t="shared" si="180"/>
        <v>0</v>
      </c>
      <c r="V387" s="76">
        <f t="shared" si="180"/>
        <v>0</v>
      </c>
      <c r="W387" s="76">
        <f t="shared" si="180"/>
        <v>0</v>
      </c>
      <c r="X387" s="62">
        <f t="shared" si="180"/>
        <v>0</v>
      </c>
      <c r="Y387" s="62">
        <f t="shared" si="180"/>
        <v>0</v>
      </c>
      <c r="Z387" s="62">
        <f t="shared" si="180"/>
        <v>0</v>
      </c>
      <c r="AA387" s="64">
        <f>SUM(G387:Z387)</f>
        <v>0</v>
      </c>
      <c r="AB387" s="58" t="str">
        <f>IF(ABS(F387-AA387)&lt;0.01,"ok","err")</f>
        <v>ok</v>
      </c>
    </row>
    <row r="388" spans="1:28">
      <c r="A388" s="68"/>
      <c r="C388" s="111"/>
      <c r="F388" s="79"/>
      <c r="AB388" s="58"/>
    </row>
    <row r="389" spans="1:28" hidden="1">
      <c r="F389" s="79">
        <v>-481.11596323706613</v>
      </c>
      <c r="G389" s="60">
        <v>-282.97749498118196</v>
      </c>
      <c r="H389" s="60">
        <v>-81.183507636622537</v>
      </c>
      <c r="I389" s="60">
        <v>0</v>
      </c>
      <c r="J389" s="60">
        <v>-86.606165658267514</v>
      </c>
      <c r="K389" s="60">
        <v>0</v>
      </c>
      <c r="L389" s="60">
        <v>-1.6617745370208263</v>
      </c>
      <c r="M389" s="60">
        <v>0</v>
      </c>
      <c r="N389" s="60">
        <v>-26.887646721466677</v>
      </c>
      <c r="O389" s="60">
        <v>0</v>
      </c>
      <c r="P389" s="60">
        <v>0</v>
      </c>
      <c r="Q389" s="60">
        <v>0</v>
      </c>
      <c r="R389" s="60">
        <v>0</v>
      </c>
      <c r="S389" s="60">
        <v>0</v>
      </c>
      <c r="T389" s="60">
        <v>-0.14048586126522331</v>
      </c>
      <c r="U389" s="60">
        <v>-0.66586449312009954</v>
      </c>
      <c r="V389" s="60">
        <v>0</v>
      </c>
      <c r="W389" s="60">
        <v>-0.99302334812130444</v>
      </c>
      <c r="AA389" s="44">
        <v>-482.10898658518755</v>
      </c>
    </row>
    <row r="390" spans="1:28" ht="15">
      <c r="A390" s="65" t="s">
        <v>353</v>
      </c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62"/>
      <c r="Y390" s="62"/>
      <c r="Z390" s="62"/>
      <c r="AA390" s="64"/>
    </row>
    <row r="391" spans="1:28">
      <c r="A391" s="68" t="s">
        <v>1093</v>
      </c>
      <c r="C391" s="111" t="s">
        <v>765</v>
      </c>
      <c r="D391" s="60" t="s">
        <v>789</v>
      </c>
      <c r="E391" s="60" t="s">
        <v>1096</v>
      </c>
      <c r="F391" s="76">
        <f>VLOOKUP(C391,'Functional Assignment'!$C$2:$AP$780,'Functional Assignment'!$AA$2,)</f>
        <v>0</v>
      </c>
      <c r="G391" s="76">
        <f t="shared" ref="G391:Z391" si="181">IF(VLOOKUP($E391,$D$6:$AN$1131,3,)=0,0,(VLOOKUP($E391,$D$6:$AN$1131,G$2,)/VLOOKUP($E391,$D$6:$AN$1131,3,))*$F391)</f>
        <v>0</v>
      </c>
      <c r="H391" s="76">
        <f t="shared" si="181"/>
        <v>0</v>
      </c>
      <c r="I391" s="76">
        <f t="shared" si="181"/>
        <v>0</v>
      </c>
      <c r="J391" s="76">
        <f t="shared" si="181"/>
        <v>0</v>
      </c>
      <c r="K391" s="76">
        <f t="shared" si="181"/>
        <v>0</v>
      </c>
      <c r="L391" s="76">
        <f t="shared" si="181"/>
        <v>0</v>
      </c>
      <c r="M391" s="76">
        <f t="shared" si="181"/>
        <v>0</v>
      </c>
      <c r="N391" s="76">
        <f t="shared" si="181"/>
        <v>0</v>
      </c>
      <c r="O391" s="76">
        <f t="shared" si="181"/>
        <v>0</v>
      </c>
      <c r="P391" s="76">
        <f t="shared" si="181"/>
        <v>0</v>
      </c>
      <c r="Q391" s="76">
        <f t="shared" si="181"/>
        <v>0</v>
      </c>
      <c r="R391" s="76">
        <f t="shared" si="181"/>
        <v>0</v>
      </c>
      <c r="S391" s="76">
        <f t="shared" si="181"/>
        <v>0</v>
      </c>
      <c r="T391" s="76">
        <f t="shared" si="181"/>
        <v>0</v>
      </c>
      <c r="U391" s="76">
        <f t="shared" si="181"/>
        <v>0</v>
      </c>
      <c r="V391" s="76">
        <f t="shared" si="181"/>
        <v>0</v>
      </c>
      <c r="W391" s="76">
        <f t="shared" si="181"/>
        <v>0</v>
      </c>
      <c r="X391" s="62">
        <f t="shared" si="181"/>
        <v>0</v>
      </c>
      <c r="Y391" s="62">
        <f t="shared" si="181"/>
        <v>0</v>
      </c>
      <c r="Z391" s="62">
        <f t="shared" si="181"/>
        <v>0</v>
      </c>
      <c r="AA391" s="64">
        <f>SUM(G391:Z391)</f>
        <v>0</v>
      </c>
      <c r="AB391" s="58" t="str">
        <f>IF(ABS(F391-AA391)&lt;0.01,"ok","err")</f>
        <v>ok</v>
      </c>
    </row>
    <row r="392" spans="1:28">
      <c r="F392" s="79"/>
    </row>
    <row r="393" spans="1:28" ht="15">
      <c r="A393" s="65" t="s">
        <v>371</v>
      </c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62"/>
      <c r="Y393" s="62"/>
      <c r="Z393" s="62"/>
      <c r="AA393" s="64"/>
    </row>
    <row r="394" spans="1:28">
      <c r="A394" s="68" t="s">
        <v>1093</v>
      </c>
      <c r="C394" s="111" t="s">
        <v>765</v>
      </c>
      <c r="D394" s="60" t="s">
        <v>790</v>
      </c>
      <c r="E394" s="60" t="s">
        <v>1097</v>
      </c>
      <c r="F394" s="76">
        <f>VLOOKUP(C394,'Functional Assignment'!$C$2:$AP$780,'Functional Assignment'!$AB$2,)</f>
        <v>0</v>
      </c>
      <c r="G394" s="76">
        <f t="shared" ref="G394:Z394" si="182">IF(VLOOKUP($E394,$D$6:$AN$1131,3,)=0,0,(VLOOKUP($E394,$D$6:$AN$1131,G$2,)/VLOOKUP($E394,$D$6:$AN$1131,3,))*$F394)</f>
        <v>0</v>
      </c>
      <c r="H394" s="76">
        <f t="shared" si="182"/>
        <v>0</v>
      </c>
      <c r="I394" s="76">
        <f t="shared" si="182"/>
        <v>0</v>
      </c>
      <c r="J394" s="76">
        <f t="shared" si="182"/>
        <v>0</v>
      </c>
      <c r="K394" s="76">
        <f t="shared" si="182"/>
        <v>0</v>
      </c>
      <c r="L394" s="76">
        <f t="shared" si="182"/>
        <v>0</v>
      </c>
      <c r="M394" s="76">
        <f t="shared" si="182"/>
        <v>0</v>
      </c>
      <c r="N394" s="76">
        <f t="shared" si="182"/>
        <v>0</v>
      </c>
      <c r="O394" s="76">
        <f t="shared" si="182"/>
        <v>0</v>
      </c>
      <c r="P394" s="76">
        <f t="shared" si="182"/>
        <v>0</v>
      </c>
      <c r="Q394" s="76">
        <f t="shared" si="182"/>
        <v>0</v>
      </c>
      <c r="R394" s="76">
        <f t="shared" si="182"/>
        <v>0</v>
      </c>
      <c r="S394" s="76">
        <f t="shared" si="182"/>
        <v>0</v>
      </c>
      <c r="T394" s="76">
        <f t="shared" si="182"/>
        <v>0</v>
      </c>
      <c r="U394" s="76">
        <f t="shared" si="182"/>
        <v>0</v>
      </c>
      <c r="V394" s="76">
        <f t="shared" si="182"/>
        <v>0</v>
      </c>
      <c r="W394" s="76">
        <f t="shared" si="182"/>
        <v>0</v>
      </c>
      <c r="X394" s="62">
        <f t="shared" si="182"/>
        <v>0</v>
      </c>
      <c r="Y394" s="62">
        <f t="shared" si="182"/>
        <v>0</v>
      </c>
      <c r="Z394" s="62">
        <f t="shared" si="182"/>
        <v>0</v>
      </c>
      <c r="AA394" s="64">
        <f>SUM(G394:Z394)</f>
        <v>0</v>
      </c>
      <c r="AB394" s="58" t="str">
        <f>IF(ABS(F394-AA394)&lt;0.01,"ok","err")</f>
        <v>ok</v>
      </c>
    </row>
    <row r="395" spans="1:28">
      <c r="F395" s="79"/>
    </row>
    <row r="396" spans="1:28" ht="15">
      <c r="A396" s="65" t="s">
        <v>1025</v>
      </c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62"/>
      <c r="Y396" s="62"/>
      <c r="Z396" s="62"/>
      <c r="AA396" s="64"/>
    </row>
    <row r="397" spans="1:28">
      <c r="A397" s="68" t="s">
        <v>1093</v>
      </c>
      <c r="C397" s="111" t="s">
        <v>765</v>
      </c>
      <c r="D397" s="60" t="s">
        <v>791</v>
      </c>
      <c r="E397" s="60" t="s">
        <v>1098</v>
      </c>
      <c r="F397" s="76">
        <f>VLOOKUP(C397,'Functional Assignment'!$C$2:$AP$780,'Functional Assignment'!$AC$2,)</f>
        <v>0</v>
      </c>
      <c r="G397" s="76">
        <f t="shared" ref="G397:Z397" si="183">IF(VLOOKUP($E397,$D$6:$AN$1131,3,)=0,0,(VLOOKUP($E397,$D$6:$AN$1131,G$2,)/VLOOKUP($E397,$D$6:$AN$1131,3,))*$F397)</f>
        <v>0</v>
      </c>
      <c r="H397" s="76">
        <f t="shared" si="183"/>
        <v>0</v>
      </c>
      <c r="I397" s="76">
        <f t="shared" si="183"/>
        <v>0</v>
      </c>
      <c r="J397" s="76">
        <f t="shared" si="183"/>
        <v>0</v>
      </c>
      <c r="K397" s="76">
        <f t="shared" si="183"/>
        <v>0</v>
      </c>
      <c r="L397" s="76">
        <f t="shared" si="183"/>
        <v>0</v>
      </c>
      <c r="M397" s="76">
        <f t="shared" si="183"/>
        <v>0</v>
      </c>
      <c r="N397" s="76">
        <f t="shared" si="183"/>
        <v>0</v>
      </c>
      <c r="O397" s="76">
        <f t="shared" si="183"/>
        <v>0</v>
      </c>
      <c r="P397" s="76">
        <f t="shared" si="183"/>
        <v>0</v>
      </c>
      <c r="Q397" s="76">
        <f t="shared" si="183"/>
        <v>0</v>
      </c>
      <c r="R397" s="76">
        <f t="shared" si="183"/>
        <v>0</v>
      </c>
      <c r="S397" s="76">
        <f t="shared" si="183"/>
        <v>0</v>
      </c>
      <c r="T397" s="76">
        <f t="shared" si="183"/>
        <v>0</v>
      </c>
      <c r="U397" s="76">
        <f t="shared" si="183"/>
        <v>0</v>
      </c>
      <c r="V397" s="76">
        <f t="shared" si="183"/>
        <v>0</v>
      </c>
      <c r="W397" s="76">
        <f t="shared" si="183"/>
        <v>0</v>
      </c>
      <c r="X397" s="62">
        <f t="shared" si="183"/>
        <v>0</v>
      </c>
      <c r="Y397" s="62">
        <f t="shared" si="183"/>
        <v>0</v>
      </c>
      <c r="Z397" s="62">
        <f t="shared" si="183"/>
        <v>0</v>
      </c>
      <c r="AA397" s="64">
        <f>SUM(G397:Z397)</f>
        <v>0</v>
      </c>
      <c r="AB397" s="58" t="str">
        <f>IF(ABS(F397-AA397)&lt;0.01,"ok","err")</f>
        <v>ok</v>
      </c>
    </row>
    <row r="398" spans="1:28">
      <c r="F398" s="79"/>
    </row>
    <row r="399" spans="1:28" ht="15">
      <c r="A399" s="65" t="s">
        <v>351</v>
      </c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62"/>
      <c r="Y399" s="62"/>
      <c r="Z399" s="62"/>
      <c r="AA399" s="64"/>
    </row>
    <row r="400" spans="1:28">
      <c r="A400" s="68" t="s">
        <v>1093</v>
      </c>
      <c r="C400" s="111" t="s">
        <v>765</v>
      </c>
      <c r="D400" s="60" t="s">
        <v>792</v>
      </c>
      <c r="E400" s="60" t="s">
        <v>1098</v>
      </c>
      <c r="F400" s="76">
        <f>VLOOKUP(C400,'Functional Assignment'!$C$2:$AP$780,'Functional Assignment'!$AD$2,)</f>
        <v>0</v>
      </c>
      <c r="G400" s="76">
        <f t="shared" ref="G400:Z400" si="184">IF(VLOOKUP($E400,$D$6:$AN$1131,3,)=0,0,(VLOOKUP($E400,$D$6:$AN$1131,G$2,)/VLOOKUP($E400,$D$6:$AN$1131,3,))*$F400)</f>
        <v>0</v>
      </c>
      <c r="H400" s="76">
        <f t="shared" si="184"/>
        <v>0</v>
      </c>
      <c r="I400" s="76">
        <f t="shared" si="184"/>
        <v>0</v>
      </c>
      <c r="J400" s="76">
        <f t="shared" si="184"/>
        <v>0</v>
      </c>
      <c r="K400" s="76">
        <f t="shared" si="184"/>
        <v>0</v>
      </c>
      <c r="L400" s="76">
        <f t="shared" si="184"/>
        <v>0</v>
      </c>
      <c r="M400" s="76">
        <f t="shared" si="184"/>
        <v>0</v>
      </c>
      <c r="N400" s="76">
        <f t="shared" si="184"/>
        <v>0</v>
      </c>
      <c r="O400" s="76">
        <f t="shared" si="184"/>
        <v>0</v>
      </c>
      <c r="P400" s="76">
        <f t="shared" si="184"/>
        <v>0</v>
      </c>
      <c r="Q400" s="76">
        <f t="shared" si="184"/>
        <v>0</v>
      </c>
      <c r="R400" s="76">
        <f t="shared" si="184"/>
        <v>0</v>
      </c>
      <c r="S400" s="76">
        <f t="shared" si="184"/>
        <v>0</v>
      </c>
      <c r="T400" s="76">
        <f t="shared" si="184"/>
        <v>0</v>
      </c>
      <c r="U400" s="76">
        <f t="shared" si="184"/>
        <v>0</v>
      </c>
      <c r="V400" s="76">
        <f t="shared" si="184"/>
        <v>0</v>
      </c>
      <c r="W400" s="76">
        <f t="shared" si="184"/>
        <v>0</v>
      </c>
      <c r="X400" s="62">
        <f t="shared" si="184"/>
        <v>0</v>
      </c>
      <c r="Y400" s="62">
        <f t="shared" si="184"/>
        <v>0</v>
      </c>
      <c r="Z400" s="62">
        <f t="shared" si="184"/>
        <v>0</v>
      </c>
      <c r="AA400" s="64">
        <f>SUM(G400:Z400)</f>
        <v>0</v>
      </c>
      <c r="AB400" s="58" t="str">
        <f>IF(ABS(F400-AA400)&lt;0.01,"ok","err")</f>
        <v>ok</v>
      </c>
    </row>
    <row r="401" spans="1:28">
      <c r="F401" s="79"/>
    </row>
    <row r="402" spans="1:28" ht="15">
      <c r="A402" s="65" t="s">
        <v>350</v>
      </c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62"/>
      <c r="Y402" s="62"/>
      <c r="Z402" s="62"/>
      <c r="AA402" s="64"/>
    </row>
    <row r="403" spans="1:28">
      <c r="A403" s="68" t="s">
        <v>1093</v>
      </c>
      <c r="C403" s="111" t="s">
        <v>765</v>
      </c>
      <c r="D403" s="60" t="s">
        <v>793</v>
      </c>
      <c r="E403" s="60" t="s">
        <v>1099</v>
      </c>
      <c r="F403" s="76">
        <f>VLOOKUP(C403,'Functional Assignment'!$C$2:$AP$780,'Functional Assignment'!$AE$2,)</f>
        <v>0</v>
      </c>
      <c r="G403" s="76">
        <f t="shared" ref="G403:Z403" si="185">IF(VLOOKUP($E403,$D$6:$AN$1131,3,)=0,0,(VLOOKUP($E403,$D$6:$AN$1131,G$2,)/VLOOKUP($E403,$D$6:$AN$1131,3,))*$F403)</f>
        <v>0</v>
      </c>
      <c r="H403" s="76">
        <f t="shared" si="185"/>
        <v>0</v>
      </c>
      <c r="I403" s="76">
        <f t="shared" si="185"/>
        <v>0</v>
      </c>
      <c r="J403" s="76">
        <f t="shared" si="185"/>
        <v>0</v>
      </c>
      <c r="K403" s="76">
        <f t="shared" si="185"/>
        <v>0</v>
      </c>
      <c r="L403" s="76">
        <f t="shared" si="185"/>
        <v>0</v>
      </c>
      <c r="M403" s="76">
        <f t="shared" si="185"/>
        <v>0</v>
      </c>
      <c r="N403" s="76">
        <f t="shared" si="185"/>
        <v>0</v>
      </c>
      <c r="O403" s="76">
        <f t="shared" si="185"/>
        <v>0</v>
      </c>
      <c r="P403" s="76">
        <f t="shared" si="185"/>
        <v>0</v>
      </c>
      <c r="Q403" s="76">
        <f t="shared" si="185"/>
        <v>0</v>
      </c>
      <c r="R403" s="76">
        <f t="shared" si="185"/>
        <v>0</v>
      </c>
      <c r="S403" s="76">
        <f t="shared" si="185"/>
        <v>0</v>
      </c>
      <c r="T403" s="76">
        <f t="shared" si="185"/>
        <v>0</v>
      </c>
      <c r="U403" s="76">
        <f t="shared" si="185"/>
        <v>0</v>
      </c>
      <c r="V403" s="76">
        <f t="shared" si="185"/>
        <v>0</v>
      </c>
      <c r="W403" s="76">
        <f t="shared" si="185"/>
        <v>0</v>
      </c>
      <c r="X403" s="62">
        <f t="shared" si="185"/>
        <v>0</v>
      </c>
      <c r="Y403" s="62">
        <f t="shared" si="185"/>
        <v>0</v>
      </c>
      <c r="Z403" s="62">
        <f t="shared" si="185"/>
        <v>0</v>
      </c>
      <c r="AA403" s="64">
        <f>SUM(G403:Z403)</f>
        <v>0</v>
      </c>
      <c r="AB403" s="58" t="str">
        <f>IF(ABS(F403-AA403)&lt;0.01,"ok","err")</f>
        <v>ok</v>
      </c>
    </row>
    <row r="404" spans="1:28"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62"/>
      <c r="Y404" s="62"/>
      <c r="Z404" s="62"/>
      <c r="AA404" s="64"/>
    </row>
    <row r="405" spans="1:28">
      <c r="A405" s="60" t="s">
        <v>922</v>
      </c>
      <c r="D405" s="60" t="s">
        <v>794</v>
      </c>
      <c r="F405" s="76">
        <f t="shared" ref="F405:P405" si="186">F359+F365+F368+F371+F379+F384+F387+F391+F394+F397+F400+F403</f>
        <v>0</v>
      </c>
      <c r="G405" s="76">
        <f t="shared" si="186"/>
        <v>0</v>
      </c>
      <c r="H405" s="76">
        <f t="shared" si="186"/>
        <v>0</v>
      </c>
      <c r="I405" s="76">
        <f t="shared" si="186"/>
        <v>0</v>
      </c>
      <c r="J405" s="76">
        <f t="shared" si="186"/>
        <v>0</v>
      </c>
      <c r="K405" s="76">
        <f t="shared" si="186"/>
        <v>0</v>
      </c>
      <c r="L405" s="76">
        <f t="shared" si="186"/>
        <v>0</v>
      </c>
      <c r="M405" s="76">
        <f t="shared" si="186"/>
        <v>0</v>
      </c>
      <c r="N405" s="76">
        <f t="shared" si="186"/>
        <v>0</v>
      </c>
      <c r="O405" s="76">
        <f>O359+O365+O368+O371+O379+O384+O387+O391+O394+O397+O400+O403</f>
        <v>0</v>
      </c>
      <c r="P405" s="76">
        <f t="shared" si="186"/>
        <v>0</v>
      </c>
      <c r="Q405" s="76">
        <f>Q359+Q365+Q368+Q371+Q379+Q384+Q387+Q391+Q394+Q397+Q400+Q403</f>
        <v>0</v>
      </c>
      <c r="R405" s="76">
        <f>R359+R365+R368+R371+R379+R384+R387+R391+R394+R397+R400+R403</f>
        <v>0</v>
      </c>
      <c r="S405" s="76">
        <f t="shared" ref="S405:Z405" si="187">S359+S365+S368+S371+S379+S384+S387+S391+S394+S397+S400+S403</f>
        <v>0</v>
      </c>
      <c r="T405" s="76">
        <f t="shared" si="187"/>
        <v>0</v>
      </c>
      <c r="U405" s="76">
        <f t="shared" si="187"/>
        <v>0</v>
      </c>
      <c r="V405" s="76">
        <f t="shared" si="187"/>
        <v>0</v>
      </c>
      <c r="W405" s="76">
        <f t="shared" si="187"/>
        <v>0</v>
      </c>
      <c r="X405" s="62">
        <f t="shared" si="187"/>
        <v>0</v>
      </c>
      <c r="Y405" s="62">
        <f t="shared" si="187"/>
        <v>0</v>
      </c>
      <c r="Z405" s="62">
        <f t="shared" si="187"/>
        <v>0</v>
      </c>
      <c r="AA405" s="64">
        <f>SUM(G405:Z405)</f>
        <v>0</v>
      </c>
      <c r="AB405" s="58" t="str">
        <f>IF(ABS(F405-AA405)&lt;0.01,"ok","err")</f>
        <v>ok</v>
      </c>
    </row>
    <row r="408" spans="1:28" ht="15">
      <c r="A408" s="65" t="s">
        <v>733</v>
      </c>
    </row>
    <row r="410" spans="1:28" ht="15">
      <c r="A410" s="65" t="s">
        <v>364</v>
      </c>
    </row>
    <row r="411" spans="1:28">
      <c r="A411" s="68" t="s">
        <v>359</v>
      </c>
      <c r="C411" s="60" t="s">
        <v>734</v>
      </c>
      <c r="D411" s="60" t="s">
        <v>735</v>
      </c>
      <c r="E411" s="60" t="s">
        <v>869</v>
      </c>
      <c r="F411" s="76">
        <f>VLOOKUP(C411,'Functional Assignment'!$C$2:$AP$780,'Functional Assignment'!$H$2,)</f>
        <v>0</v>
      </c>
      <c r="G411" s="76">
        <f t="shared" ref="G411:P416" si="188">IF(VLOOKUP($E411,$D$6:$AN$1131,3,)=0,0,(VLOOKUP($E411,$D$6:$AN$1131,G$2,)/VLOOKUP($E411,$D$6:$AN$1131,3,))*$F411)</f>
        <v>0</v>
      </c>
      <c r="H411" s="76">
        <f t="shared" si="188"/>
        <v>0</v>
      </c>
      <c r="I411" s="76">
        <f t="shared" si="188"/>
        <v>0</v>
      </c>
      <c r="J411" s="76">
        <f t="shared" si="188"/>
        <v>0</v>
      </c>
      <c r="K411" s="76">
        <f t="shared" si="188"/>
        <v>0</v>
      </c>
      <c r="L411" s="76">
        <f t="shared" si="188"/>
        <v>0</v>
      </c>
      <c r="M411" s="76">
        <f t="shared" si="188"/>
        <v>0</v>
      </c>
      <c r="N411" s="76">
        <f t="shared" si="188"/>
        <v>0</v>
      </c>
      <c r="O411" s="76">
        <f t="shared" si="188"/>
        <v>0</v>
      </c>
      <c r="P411" s="76">
        <f t="shared" si="188"/>
        <v>0</v>
      </c>
      <c r="Q411" s="76">
        <f t="shared" ref="Q411:Z416" si="189">IF(VLOOKUP($E411,$D$6:$AN$1131,3,)=0,0,(VLOOKUP($E411,$D$6:$AN$1131,Q$2,)/VLOOKUP($E411,$D$6:$AN$1131,3,))*$F411)</f>
        <v>0</v>
      </c>
      <c r="R411" s="76">
        <f t="shared" si="189"/>
        <v>0</v>
      </c>
      <c r="S411" s="76">
        <f t="shared" si="189"/>
        <v>0</v>
      </c>
      <c r="T411" s="76">
        <f t="shared" si="189"/>
        <v>0</v>
      </c>
      <c r="U411" s="76">
        <f t="shared" si="189"/>
        <v>0</v>
      </c>
      <c r="V411" s="76">
        <f t="shared" si="189"/>
        <v>0</v>
      </c>
      <c r="W411" s="76">
        <f t="shared" si="189"/>
        <v>0</v>
      </c>
      <c r="X411" s="62">
        <f t="shared" si="189"/>
        <v>0</v>
      </c>
      <c r="Y411" s="62">
        <f t="shared" si="189"/>
        <v>0</v>
      </c>
      <c r="Z411" s="62">
        <f t="shared" si="189"/>
        <v>0</v>
      </c>
      <c r="AA411" s="64">
        <f t="shared" ref="AA411:AA417" si="190">SUM(G411:Z411)</f>
        <v>0</v>
      </c>
      <c r="AB411" s="58" t="str">
        <f t="shared" ref="AB411:AB417" si="191">IF(ABS(F411-AA411)&lt;0.01,"ok","err")</f>
        <v>ok</v>
      </c>
    </row>
    <row r="412" spans="1:28">
      <c r="A412" s="68" t="s">
        <v>1255</v>
      </c>
      <c r="C412" s="60" t="s">
        <v>734</v>
      </c>
      <c r="D412" s="60" t="s">
        <v>736</v>
      </c>
      <c r="E412" s="60" t="s">
        <v>188</v>
      </c>
      <c r="F412" s="79">
        <f>VLOOKUP(C412,'Functional Assignment'!$C$2:$AP$780,'Functional Assignment'!$I$2,)</f>
        <v>0</v>
      </c>
      <c r="G412" s="79">
        <f t="shared" si="188"/>
        <v>0</v>
      </c>
      <c r="H412" s="79">
        <f t="shared" si="188"/>
        <v>0</v>
      </c>
      <c r="I412" s="79">
        <f t="shared" si="188"/>
        <v>0</v>
      </c>
      <c r="J412" s="79">
        <f t="shared" si="188"/>
        <v>0</v>
      </c>
      <c r="K412" s="79">
        <f t="shared" si="188"/>
        <v>0</v>
      </c>
      <c r="L412" s="79">
        <f t="shared" si="188"/>
        <v>0</v>
      </c>
      <c r="M412" s="79">
        <f t="shared" si="188"/>
        <v>0</v>
      </c>
      <c r="N412" s="79">
        <f t="shared" si="188"/>
        <v>0</v>
      </c>
      <c r="O412" s="79">
        <f t="shared" si="188"/>
        <v>0</v>
      </c>
      <c r="P412" s="79">
        <f t="shared" si="188"/>
        <v>0</v>
      </c>
      <c r="Q412" s="79">
        <f t="shared" si="189"/>
        <v>0</v>
      </c>
      <c r="R412" s="79">
        <f t="shared" si="189"/>
        <v>0</v>
      </c>
      <c r="S412" s="79">
        <f t="shared" si="189"/>
        <v>0</v>
      </c>
      <c r="T412" s="79">
        <f t="shared" si="189"/>
        <v>0</v>
      </c>
      <c r="U412" s="79">
        <f t="shared" si="189"/>
        <v>0</v>
      </c>
      <c r="V412" s="79">
        <f t="shared" si="189"/>
        <v>0</v>
      </c>
      <c r="W412" s="79">
        <f t="shared" si="189"/>
        <v>0</v>
      </c>
      <c r="X412" s="63">
        <f t="shared" si="189"/>
        <v>0</v>
      </c>
      <c r="Y412" s="63">
        <f t="shared" si="189"/>
        <v>0</v>
      </c>
      <c r="Z412" s="63">
        <f t="shared" si="189"/>
        <v>0</v>
      </c>
      <c r="AA412" s="63">
        <f t="shared" si="190"/>
        <v>0</v>
      </c>
      <c r="AB412" s="58" t="str">
        <f t="shared" si="191"/>
        <v>ok</v>
      </c>
    </row>
    <row r="413" spans="1:28">
      <c r="A413" s="68" t="s">
        <v>1256</v>
      </c>
      <c r="C413" s="60" t="s">
        <v>734</v>
      </c>
      <c r="D413" s="60" t="s">
        <v>737</v>
      </c>
      <c r="E413" s="60" t="s">
        <v>191</v>
      </c>
      <c r="F413" s="79">
        <f>VLOOKUP(C413,'Functional Assignment'!$C$2:$AP$780,'Functional Assignment'!$J$2,)</f>
        <v>0</v>
      </c>
      <c r="G413" s="79">
        <f t="shared" si="188"/>
        <v>0</v>
      </c>
      <c r="H413" s="79">
        <f t="shared" si="188"/>
        <v>0</v>
      </c>
      <c r="I413" s="79">
        <f t="shared" si="188"/>
        <v>0</v>
      </c>
      <c r="J413" s="79">
        <f t="shared" si="188"/>
        <v>0</v>
      </c>
      <c r="K413" s="79">
        <f t="shared" si="188"/>
        <v>0</v>
      </c>
      <c r="L413" s="79">
        <f t="shared" si="188"/>
        <v>0</v>
      </c>
      <c r="M413" s="79">
        <f t="shared" si="188"/>
        <v>0</v>
      </c>
      <c r="N413" s="79">
        <f t="shared" si="188"/>
        <v>0</v>
      </c>
      <c r="O413" s="79">
        <f t="shared" si="188"/>
        <v>0</v>
      </c>
      <c r="P413" s="79">
        <f t="shared" si="188"/>
        <v>0</v>
      </c>
      <c r="Q413" s="79">
        <f t="shared" si="189"/>
        <v>0</v>
      </c>
      <c r="R413" s="79">
        <f t="shared" si="189"/>
        <v>0</v>
      </c>
      <c r="S413" s="79">
        <f t="shared" si="189"/>
        <v>0</v>
      </c>
      <c r="T413" s="79">
        <f t="shared" si="189"/>
        <v>0</v>
      </c>
      <c r="U413" s="79">
        <f t="shared" si="189"/>
        <v>0</v>
      </c>
      <c r="V413" s="79">
        <f t="shared" si="189"/>
        <v>0</v>
      </c>
      <c r="W413" s="79">
        <f t="shared" si="189"/>
        <v>0</v>
      </c>
      <c r="X413" s="63">
        <f t="shared" si="189"/>
        <v>0</v>
      </c>
      <c r="Y413" s="63">
        <f t="shared" si="189"/>
        <v>0</v>
      </c>
      <c r="Z413" s="63">
        <f t="shared" si="189"/>
        <v>0</v>
      </c>
      <c r="AA413" s="63">
        <f t="shared" si="190"/>
        <v>0</v>
      </c>
      <c r="AB413" s="58" t="str">
        <f t="shared" si="191"/>
        <v>ok</v>
      </c>
    </row>
    <row r="414" spans="1:28">
      <c r="A414" s="68" t="s">
        <v>1257</v>
      </c>
      <c r="C414" s="60" t="s">
        <v>734</v>
      </c>
      <c r="D414" s="60" t="s">
        <v>738</v>
      </c>
      <c r="E414" s="60" t="s">
        <v>1091</v>
      </c>
      <c r="F414" s="79">
        <f>VLOOKUP(C414,'Functional Assignment'!$C$2:$AP$780,'Functional Assignment'!$K$2,)</f>
        <v>0</v>
      </c>
      <c r="G414" s="79">
        <f t="shared" si="188"/>
        <v>0</v>
      </c>
      <c r="H414" s="79">
        <f t="shared" si="188"/>
        <v>0</v>
      </c>
      <c r="I414" s="79">
        <f t="shared" si="188"/>
        <v>0</v>
      </c>
      <c r="J414" s="79">
        <f t="shared" si="188"/>
        <v>0</v>
      </c>
      <c r="K414" s="79">
        <f t="shared" si="188"/>
        <v>0</v>
      </c>
      <c r="L414" s="79">
        <f t="shared" si="188"/>
        <v>0</v>
      </c>
      <c r="M414" s="79">
        <f t="shared" si="188"/>
        <v>0</v>
      </c>
      <c r="N414" s="79">
        <f t="shared" si="188"/>
        <v>0</v>
      </c>
      <c r="O414" s="79">
        <f t="shared" si="188"/>
        <v>0</v>
      </c>
      <c r="P414" s="79">
        <f t="shared" si="188"/>
        <v>0</v>
      </c>
      <c r="Q414" s="79">
        <f t="shared" si="189"/>
        <v>0</v>
      </c>
      <c r="R414" s="79">
        <f t="shared" si="189"/>
        <v>0</v>
      </c>
      <c r="S414" s="79">
        <f t="shared" si="189"/>
        <v>0</v>
      </c>
      <c r="T414" s="79">
        <f t="shared" si="189"/>
        <v>0</v>
      </c>
      <c r="U414" s="79">
        <f t="shared" si="189"/>
        <v>0</v>
      </c>
      <c r="V414" s="79">
        <f t="shared" si="189"/>
        <v>0</v>
      </c>
      <c r="W414" s="79">
        <f t="shared" si="189"/>
        <v>0</v>
      </c>
      <c r="X414" s="63">
        <f t="shared" si="189"/>
        <v>0</v>
      </c>
      <c r="Y414" s="63">
        <f t="shared" si="189"/>
        <v>0</v>
      </c>
      <c r="Z414" s="63">
        <f t="shared" si="189"/>
        <v>0</v>
      </c>
      <c r="AA414" s="63">
        <f t="shared" si="190"/>
        <v>0</v>
      </c>
      <c r="AB414" s="58" t="str">
        <f t="shared" si="191"/>
        <v>ok</v>
      </c>
    </row>
    <row r="415" spans="1:28">
      <c r="A415" s="68" t="s">
        <v>1258</v>
      </c>
      <c r="C415" s="60" t="s">
        <v>734</v>
      </c>
      <c r="D415" s="60" t="s">
        <v>739</v>
      </c>
      <c r="E415" s="60" t="s">
        <v>1091</v>
      </c>
      <c r="F415" s="79">
        <f>VLOOKUP(C415,'Functional Assignment'!$C$2:$AP$780,'Functional Assignment'!$L$2,)</f>
        <v>0</v>
      </c>
      <c r="G415" s="79">
        <f t="shared" si="188"/>
        <v>0</v>
      </c>
      <c r="H415" s="79">
        <f t="shared" si="188"/>
        <v>0</v>
      </c>
      <c r="I415" s="79">
        <f t="shared" si="188"/>
        <v>0</v>
      </c>
      <c r="J415" s="79">
        <f t="shared" si="188"/>
        <v>0</v>
      </c>
      <c r="K415" s="79">
        <f t="shared" si="188"/>
        <v>0</v>
      </c>
      <c r="L415" s="79">
        <f t="shared" si="188"/>
        <v>0</v>
      </c>
      <c r="M415" s="79">
        <f t="shared" si="188"/>
        <v>0</v>
      </c>
      <c r="N415" s="79">
        <f t="shared" si="188"/>
        <v>0</v>
      </c>
      <c r="O415" s="79">
        <f t="shared" si="188"/>
        <v>0</v>
      </c>
      <c r="P415" s="79">
        <f t="shared" si="188"/>
        <v>0</v>
      </c>
      <c r="Q415" s="79">
        <f t="shared" si="189"/>
        <v>0</v>
      </c>
      <c r="R415" s="79">
        <f t="shared" si="189"/>
        <v>0</v>
      </c>
      <c r="S415" s="79">
        <f t="shared" si="189"/>
        <v>0</v>
      </c>
      <c r="T415" s="79">
        <f t="shared" si="189"/>
        <v>0</v>
      </c>
      <c r="U415" s="79">
        <f t="shared" si="189"/>
        <v>0</v>
      </c>
      <c r="V415" s="79">
        <f t="shared" si="189"/>
        <v>0</v>
      </c>
      <c r="W415" s="79">
        <f t="shared" si="189"/>
        <v>0</v>
      </c>
      <c r="X415" s="63">
        <f t="shared" si="189"/>
        <v>0</v>
      </c>
      <c r="Y415" s="63">
        <f t="shared" si="189"/>
        <v>0</v>
      </c>
      <c r="Z415" s="63">
        <f t="shared" si="189"/>
        <v>0</v>
      </c>
      <c r="AA415" s="63">
        <f t="shared" si="190"/>
        <v>0</v>
      </c>
      <c r="AB415" s="58" t="str">
        <f t="shared" si="191"/>
        <v>ok</v>
      </c>
    </row>
    <row r="416" spans="1:28">
      <c r="A416" s="68" t="s">
        <v>1258</v>
      </c>
      <c r="C416" s="60" t="s">
        <v>734</v>
      </c>
      <c r="D416" s="60" t="s">
        <v>740</v>
      </c>
      <c r="E416" s="60" t="s">
        <v>1091</v>
      </c>
      <c r="F416" s="79">
        <f>VLOOKUP(C416,'Functional Assignment'!$C$2:$AP$780,'Functional Assignment'!$M$2,)</f>
        <v>0</v>
      </c>
      <c r="G416" s="79">
        <f t="shared" si="188"/>
        <v>0</v>
      </c>
      <c r="H416" s="79">
        <f t="shared" si="188"/>
        <v>0</v>
      </c>
      <c r="I416" s="79">
        <f t="shared" si="188"/>
        <v>0</v>
      </c>
      <c r="J416" s="79">
        <f t="shared" si="188"/>
        <v>0</v>
      </c>
      <c r="K416" s="79">
        <f t="shared" si="188"/>
        <v>0</v>
      </c>
      <c r="L416" s="79">
        <f t="shared" si="188"/>
        <v>0</v>
      </c>
      <c r="M416" s="79">
        <f t="shared" si="188"/>
        <v>0</v>
      </c>
      <c r="N416" s="79">
        <f t="shared" si="188"/>
        <v>0</v>
      </c>
      <c r="O416" s="79">
        <f t="shared" si="188"/>
        <v>0</v>
      </c>
      <c r="P416" s="79">
        <f t="shared" si="188"/>
        <v>0</v>
      </c>
      <c r="Q416" s="79">
        <f t="shared" si="189"/>
        <v>0</v>
      </c>
      <c r="R416" s="79">
        <f t="shared" si="189"/>
        <v>0</v>
      </c>
      <c r="S416" s="79">
        <f t="shared" si="189"/>
        <v>0</v>
      </c>
      <c r="T416" s="79">
        <f t="shared" si="189"/>
        <v>0</v>
      </c>
      <c r="U416" s="79">
        <f t="shared" si="189"/>
        <v>0</v>
      </c>
      <c r="V416" s="79">
        <f t="shared" si="189"/>
        <v>0</v>
      </c>
      <c r="W416" s="79">
        <f t="shared" si="189"/>
        <v>0</v>
      </c>
      <c r="X416" s="63">
        <f t="shared" si="189"/>
        <v>0</v>
      </c>
      <c r="Y416" s="63">
        <f t="shared" si="189"/>
        <v>0</v>
      </c>
      <c r="Z416" s="63">
        <f t="shared" si="189"/>
        <v>0</v>
      </c>
      <c r="AA416" s="63">
        <f t="shared" si="190"/>
        <v>0</v>
      </c>
      <c r="AB416" s="58" t="str">
        <f t="shared" si="191"/>
        <v>ok</v>
      </c>
    </row>
    <row r="417" spans="1:28">
      <c r="A417" s="60" t="s">
        <v>387</v>
      </c>
      <c r="D417" s="60" t="s">
        <v>741</v>
      </c>
      <c r="F417" s="76">
        <f>SUM(F411:F416)</f>
        <v>0</v>
      </c>
      <c r="G417" s="76">
        <f t="shared" ref="G417:W417" si="192">SUM(G411:G416)</f>
        <v>0</v>
      </c>
      <c r="H417" s="76">
        <f t="shared" si="192"/>
        <v>0</v>
      </c>
      <c r="I417" s="76">
        <f t="shared" si="192"/>
        <v>0</v>
      </c>
      <c r="J417" s="76">
        <f t="shared" si="192"/>
        <v>0</v>
      </c>
      <c r="K417" s="76">
        <f t="shared" si="192"/>
        <v>0</v>
      </c>
      <c r="L417" s="76">
        <f t="shared" si="192"/>
        <v>0</v>
      </c>
      <c r="M417" s="76">
        <f t="shared" si="192"/>
        <v>0</v>
      </c>
      <c r="N417" s="76">
        <f t="shared" si="192"/>
        <v>0</v>
      </c>
      <c r="O417" s="76">
        <f>SUM(O411:O416)</f>
        <v>0</v>
      </c>
      <c r="P417" s="76">
        <f t="shared" si="192"/>
        <v>0</v>
      </c>
      <c r="Q417" s="76">
        <f t="shared" si="192"/>
        <v>0</v>
      </c>
      <c r="R417" s="76">
        <f t="shared" si="192"/>
        <v>0</v>
      </c>
      <c r="S417" s="76">
        <f t="shared" si="192"/>
        <v>0</v>
      </c>
      <c r="T417" s="76">
        <f t="shared" si="192"/>
        <v>0</v>
      </c>
      <c r="U417" s="76">
        <f t="shared" si="192"/>
        <v>0</v>
      </c>
      <c r="V417" s="76">
        <f t="shared" si="192"/>
        <v>0</v>
      </c>
      <c r="W417" s="76">
        <f t="shared" si="192"/>
        <v>0</v>
      </c>
      <c r="X417" s="62">
        <f>SUM(X411:X416)</f>
        <v>0</v>
      </c>
      <c r="Y417" s="62">
        <f>SUM(Y411:Y416)</f>
        <v>0</v>
      </c>
      <c r="Z417" s="62">
        <f>SUM(Z411:Z416)</f>
        <v>0</v>
      </c>
      <c r="AA417" s="64">
        <f t="shared" si="190"/>
        <v>0</v>
      </c>
      <c r="AB417" s="58" t="str">
        <f t="shared" si="191"/>
        <v>ok</v>
      </c>
    </row>
    <row r="418" spans="1:28">
      <c r="F418" s="79"/>
      <c r="G418" s="79"/>
    </row>
    <row r="419" spans="1:28" ht="15">
      <c r="A419" s="65" t="s">
        <v>1131</v>
      </c>
      <c r="F419" s="79"/>
      <c r="G419" s="79"/>
    </row>
    <row r="420" spans="1:28">
      <c r="A420" s="68" t="s">
        <v>1363</v>
      </c>
      <c r="C420" s="60" t="s">
        <v>734</v>
      </c>
      <c r="D420" s="60" t="s">
        <v>742</v>
      </c>
      <c r="E420" s="60" t="s">
        <v>1367</v>
      </c>
      <c r="F420" s="76">
        <f>VLOOKUP(C420,'Functional Assignment'!$C$2:$AP$780,'Functional Assignment'!$N$2,)</f>
        <v>0</v>
      </c>
      <c r="G420" s="76">
        <f t="shared" ref="G420:P422" si="193">IF(VLOOKUP($E420,$D$6:$AN$1131,3,)=0,0,(VLOOKUP($E420,$D$6:$AN$1131,G$2,)/VLOOKUP($E420,$D$6:$AN$1131,3,))*$F420)</f>
        <v>0</v>
      </c>
      <c r="H420" s="76">
        <f t="shared" si="193"/>
        <v>0</v>
      </c>
      <c r="I420" s="76">
        <f t="shared" si="193"/>
        <v>0</v>
      </c>
      <c r="J420" s="76">
        <f t="shared" si="193"/>
        <v>0</v>
      </c>
      <c r="K420" s="76">
        <f t="shared" si="193"/>
        <v>0</v>
      </c>
      <c r="L420" s="76">
        <f t="shared" si="193"/>
        <v>0</v>
      </c>
      <c r="M420" s="76">
        <f t="shared" si="193"/>
        <v>0</v>
      </c>
      <c r="N420" s="76">
        <f t="shared" si="193"/>
        <v>0</v>
      </c>
      <c r="O420" s="76">
        <f t="shared" si="193"/>
        <v>0</v>
      </c>
      <c r="P420" s="76">
        <f t="shared" si="193"/>
        <v>0</v>
      </c>
      <c r="Q420" s="76">
        <f t="shared" ref="Q420:Z422" si="194">IF(VLOOKUP($E420,$D$6:$AN$1131,3,)=0,0,(VLOOKUP($E420,$D$6:$AN$1131,Q$2,)/VLOOKUP($E420,$D$6:$AN$1131,3,))*$F420)</f>
        <v>0</v>
      </c>
      <c r="R420" s="76">
        <f t="shared" si="194"/>
        <v>0</v>
      </c>
      <c r="S420" s="76">
        <f t="shared" si="194"/>
        <v>0</v>
      </c>
      <c r="T420" s="76">
        <f t="shared" si="194"/>
        <v>0</v>
      </c>
      <c r="U420" s="76">
        <f t="shared" si="194"/>
        <v>0</v>
      </c>
      <c r="V420" s="76">
        <f t="shared" si="194"/>
        <v>0</v>
      </c>
      <c r="W420" s="76">
        <f t="shared" si="194"/>
        <v>0</v>
      </c>
      <c r="X420" s="62">
        <f t="shared" si="194"/>
        <v>0</v>
      </c>
      <c r="Y420" s="62">
        <f t="shared" si="194"/>
        <v>0</v>
      </c>
      <c r="Z420" s="62">
        <f t="shared" si="194"/>
        <v>0</v>
      </c>
      <c r="AA420" s="64">
        <f>SUM(G420:Z420)</f>
        <v>0</v>
      </c>
      <c r="AB420" s="58" t="str">
        <f>IF(ABS(F420-AA420)&lt;0.01,"ok","err")</f>
        <v>ok</v>
      </c>
    </row>
    <row r="421" spans="1:28" hidden="1">
      <c r="A421" s="68" t="s">
        <v>1364</v>
      </c>
      <c r="C421" s="60" t="s">
        <v>734</v>
      </c>
      <c r="D421" s="60" t="s">
        <v>743</v>
      </c>
      <c r="E421" s="60" t="s">
        <v>188</v>
      </c>
      <c r="F421" s="79">
        <f>VLOOKUP(C421,'Functional Assignment'!$C$2:$AP$780,'Functional Assignment'!$O$2,)</f>
        <v>0</v>
      </c>
      <c r="G421" s="79">
        <f t="shared" si="193"/>
        <v>0</v>
      </c>
      <c r="H421" s="79">
        <f t="shared" si="193"/>
        <v>0</v>
      </c>
      <c r="I421" s="79">
        <f t="shared" si="193"/>
        <v>0</v>
      </c>
      <c r="J421" s="79">
        <f t="shared" si="193"/>
        <v>0</v>
      </c>
      <c r="K421" s="79">
        <f t="shared" si="193"/>
        <v>0</v>
      </c>
      <c r="L421" s="79">
        <f t="shared" si="193"/>
        <v>0</v>
      </c>
      <c r="M421" s="79">
        <f t="shared" si="193"/>
        <v>0</v>
      </c>
      <c r="N421" s="79">
        <f t="shared" si="193"/>
        <v>0</v>
      </c>
      <c r="O421" s="79">
        <f t="shared" si="193"/>
        <v>0</v>
      </c>
      <c r="P421" s="79">
        <f t="shared" si="193"/>
        <v>0</v>
      </c>
      <c r="Q421" s="79">
        <f t="shared" si="194"/>
        <v>0</v>
      </c>
      <c r="R421" s="79">
        <f t="shared" si="194"/>
        <v>0</v>
      </c>
      <c r="S421" s="79">
        <f t="shared" si="194"/>
        <v>0</v>
      </c>
      <c r="T421" s="79">
        <f t="shared" si="194"/>
        <v>0</v>
      </c>
      <c r="U421" s="79">
        <f t="shared" si="194"/>
        <v>0</v>
      </c>
      <c r="V421" s="79">
        <f t="shared" si="194"/>
        <v>0</v>
      </c>
      <c r="W421" s="79">
        <f t="shared" si="194"/>
        <v>0</v>
      </c>
      <c r="X421" s="63">
        <f t="shared" si="194"/>
        <v>0</v>
      </c>
      <c r="Y421" s="63">
        <f t="shared" si="194"/>
        <v>0</v>
      </c>
      <c r="Z421" s="63">
        <f t="shared" si="194"/>
        <v>0</v>
      </c>
      <c r="AA421" s="63">
        <f>SUM(G421:Z421)</f>
        <v>0</v>
      </c>
      <c r="AB421" s="58" t="str">
        <f>IF(ABS(F421-AA421)&lt;0.01,"ok","err")</f>
        <v>ok</v>
      </c>
    </row>
    <row r="422" spans="1:28" hidden="1">
      <c r="A422" s="68" t="s">
        <v>1364</v>
      </c>
      <c r="C422" s="60" t="s">
        <v>734</v>
      </c>
      <c r="D422" s="60" t="s">
        <v>744</v>
      </c>
      <c r="E422" s="60" t="s">
        <v>191</v>
      </c>
      <c r="F422" s="79">
        <f>VLOOKUP(C422,'Functional Assignment'!$C$2:$AP$780,'Functional Assignment'!$P$2,)</f>
        <v>0</v>
      </c>
      <c r="G422" s="79">
        <f t="shared" si="193"/>
        <v>0</v>
      </c>
      <c r="H422" s="79">
        <f t="shared" si="193"/>
        <v>0</v>
      </c>
      <c r="I422" s="79">
        <f t="shared" si="193"/>
        <v>0</v>
      </c>
      <c r="J422" s="79">
        <f t="shared" si="193"/>
        <v>0</v>
      </c>
      <c r="K422" s="79">
        <f t="shared" si="193"/>
        <v>0</v>
      </c>
      <c r="L422" s="79">
        <f t="shared" si="193"/>
        <v>0</v>
      </c>
      <c r="M422" s="79">
        <f t="shared" si="193"/>
        <v>0</v>
      </c>
      <c r="N422" s="79">
        <f t="shared" si="193"/>
        <v>0</v>
      </c>
      <c r="O422" s="79">
        <f t="shared" si="193"/>
        <v>0</v>
      </c>
      <c r="P422" s="79">
        <f t="shared" si="193"/>
        <v>0</v>
      </c>
      <c r="Q422" s="79">
        <f t="shared" si="194"/>
        <v>0</v>
      </c>
      <c r="R422" s="79">
        <f t="shared" si="194"/>
        <v>0</v>
      </c>
      <c r="S422" s="79">
        <f t="shared" si="194"/>
        <v>0</v>
      </c>
      <c r="T422" s="79">
        <f t="shared" si="194"/>
        <v>0</v>
      </c>
      <c r="U422" s="79">
        <f t="shared" si="194"/>
        <v>0</v>
      </c>
      <c r="V422" s="79">
        <f t="shared" si="194"/>
        <v>0</v>
      </c>
      <c r="W422" s="79">
        <f t="shared" si="194"/>
        <v>0</v>
      </c>
      <c r="X422" s="63">
        <f t="shared" si="194"/>
        <v>0</v>
      </c>
      <c r="Y422" s="63">
        <f t="shared" si="194"/>
        <v>0</v>
      </c>
      <c r="Z422" s="63">
        <f t="shared" si="194"/>
        <v>0</v>
      </c>
      <c r="AA422" s="63">
        <f>SUM(G422:Z422)</f>
        <v>0</v>
      </c>
      <c r="AB422" s="58" t="str">
        <f>IF(ABS(F422-AA422)&lt;0.01,"ok","err")</f>
        <v>ok</v>
      </c>
    </row>
    <row r="423" spans="1:28" hidden="1">
      <c r="A423" s="60" t="s">
        <v>1133</v>
      </c>
      <c r="D423" s="60" t="s">
        <v>745</v>
      </c>
      <c r="F423" s="76">
        <f>SUM(F420:F422)</f>
        <v>0</v>
      </c>
      <c r="G423" s="76">
        <f t="shared" ref="G423:W423" si="195">SUM(G420:G422)</f>
        <v>0</v>
      </c>
      <c r="H423" s="76">
        <f t="shared" si="195"/>
        <v>0</v>
      </c>
      <c r="I423" s="76">
        <f t="shared" si="195"/>
        <v>0</v>
      </c>
      <c r="J423" s="76">
        <f t="shared" si="195"/>
        <v>0</v>
      </c>
      <c r="K423" s="76">
        <f t="shared" si="195"/>
        <v>0</v>
      </c>
      <c r="L423" s="76">
        <f t="shared" si="195"/>
        <v>0</v>
      </c>
      <c r="M423" s="76">
        <f t="shared" si="195"/>
        <v>0</v>
      </c>
      <c r="N423" s="76">
        <f t="shared" si="195"/>
        <v>0</v>
      </c>
      <c r="O423" s="76">
        <f>SUM(O420:O422)</f>
        <v>0</v>
      </c>
      <c r="P423" s="76">
        <f t="shared" si="195"/>
        <v>0</v>
      </c>
      <c r="Q423" s="76">
        <f t="shared" si="195"/>
        <v>0</v>
      </c>
      <c r="R423" s="76">
        <f t="shared" si="195"/>
        <v>0</v>
      </c>
      <c r="S423" s="76">
        <f t="shared" si="195"/>
        <v>0</v>
      </c>
      <c r="T423" s="76">
        <f t="shared" si="195"/>
        <v>0</v>
      </c>
      <c r="U423" s="76">
        <f t="shared" si="195"/>
        <v>0</v>
      </c>
      <c r="V423" s="76">
        <f t="shared" si="195"/>
        <v>0</v>
      </c>
      <c r="W423" s="76">
        <f t="shared" si="195"/>
        <v>0</v>
      </c>
      <c r="X423" s="62">
        <f>SUM(X420:X422)</f>
        <v>0</v>
      </c>
      <c r="Y423" s="62">
        <f>SUM(Y420:Y422)</f>
        <v>0</v>
      </c>
      <c r="Z423" s="62">
        <f>SUM(Z420:Z422)</f>
        <v>0</v>
      </c>
      <c r="AA423" s="64">
        <f>SUM(G423:Z423)</f>
        <v>0</v>
      </c>
      <c r="AB423" s="58" t="str">
        <f>IF(ABS(F423-AA423)&lt;0.01,"ok","err")</f>
        <v>ok</v>
      </c>
    </row>
    <row r="424" spans="1:28">
      <c r="F424" s="79"/>
      <c r="G424" s="79"/>
    </row>
    <row r="425" spans="1:28" ht="15">
      <c r="A425" s="65" t="s">
        <v>348</v>
      </c>
      <c r="F425" s="79"/>
      <c r="G425" s="79"/>
    </row>
    <row r="426" spans="1:28">
      <c r="A426" s="68" t="s">
        <v>372</v>
      </c>
      <c r="C426" s="60" t="s">
        <v>734</v>
      </c>
      <c r="D426" s="60" t="s">
        <v>746</v>
      </c>
      <c r="E426" s="60" t="s">
        <v>1368</v>
      </c>
      <c r="F426" s="76">
        <f>VLOOKUP(C426,'Functional Assignment'!$C$2:$AP$780,'Functional Assignment'!$Q$2,)</f>
        <v>0</v>
      </c>
      <c r="G426" s="76">
        <f t="shared" ref="G426:Z426" si="196">IF(VLOOKUP($E426,$D$6:$AN$1131,3,)=0,0,(VLOOKUP($E426,$D$6:$AN$1131,G$2,)/VLOOKUP($E426,$D$6:$AN$1131,3,))*$F426)</f>
        <v>0</v>
      </c>
      <c r="H426" s="76">
        <f t="shared" si="196"/>
        <v>0</v>
      </c>
      <c r="I426" s="76">
        <f t="shared" si="196"/>
        <v>0</v>
      </c>
      <c r="J426" s="76">
        <f t="shared" si="196"/>
        <v>0</v>
      </c>
      <c r="K426" s="76">
        <f t="shared" si="196"/>
        <v>0</v>
      </c>
      <c r="L426" s="76">
        <f t="shared" si="196"/>
        <v>0</v>
      </c>
      <c r="M426" s="76">
        <f t="shared" si="196"/>
        <v>0</v>
      </c>
      <c r="N426" s="76">
        <f t="shared" si="196"/>
        <v>0</v>
      </c>
      <c r="O426" s="76">
        <f t="shared" si="196"/>
        <v>0</v>
      </c>
      <c r="P426" s="76">
        <f t="shared" si="196"/>
        <v>0</v>
      </c>
      <c r="Q426" s="76">
        <f t="shared" si="196"/>
        <v>0</v>
      </c>
      <c r="R426" s="76">
        <f t="shared" si="196"/>
        <v>0</v>
      </c>
      <c r="S426" s="76">
        <f t="shared" si="196"/>
        <v>0</v>
      </c>
      <c r="T426" s="76">
        <f t="shared" si="196"/>
        <v>0</v>
      </c>
      <c r="U426" s="76">
        <f t="shared" si="196"/>
        <v>0</v>
      </c>
      <c r="V426" s="76">
        <f t="shared" si="196"/>
        <v>0</v>
      </c>
      <c r="W426" s="76">
        <f t="shared" si="196"/>
        <v>0</v>
      </c>
      <c r="X426" s="62">
        <f t="shared" si="196"/>
        <v>0</v>
      </c>
      <c r="Y426" s="62">
        <f t="shared" si="196"/>
        <v>0</v>
      </c>
      <c r="Z426" s="62">
        <f t="shared" si="196"/>
        <v>0</v>
      </c>
      <c r="AA426" s="64">
        <f>SUM(G426:Z426)</f>
        <v>0</v>
      </c>
      <c r="AB426" s="58" t="str">
        <f>IF(ABS(F426-AA426)&lt;0.01,"ok","err")</f>
        <v>ok</v>
      </c>
    </row>
    <row r="427" spans="1:28">
      <c r="F427" s="79"/>
    </row>
    <row r="428" spans="1:28" ht="15">
      <c r="A428" s="65" t="s">
        <v>349</v>
      </c>
      <c r="F428" s="79"/>
      <c r="G428" s="79"/>
    </row>
    <row r="429" spans="1:28">
      <c r="A429" s="68" t="s">
        <v>374</v>
      </c>
      <c r="C429" s="60" t="s">
        <v>734</v>
      </c>
      <c r="D429" s="60" t="s">
        <v>747</v>
      </c>
      <c r="E429" s="60" t="s">
        <v>1368</v>
      </c>
      <c r="F429" s="76">
        <f>VLOOKUP(C429,'Functional Assignment'!$C$2:$AP$780,'Functional Assignment'!$R$2,)</f>
        <v>0</v>
      </c>
      <c r="G429" s="76">
        <f t="shared" ref="G429:Z429" si="197">IF(VLOOKUP($E429,$D$6:$AN$1131,3,)=0,0,(VLOOKUP($E429,$D$6:$AN$1131,G$2,)/VLOOKUP($E429,$D$6:$AN$1131,3,))*$F429)</f>
        <v>0</v>
      </c>
      <c r="H429" s="76">
        <f t="shared" si="197"/>
        <v>0</v>
      </c>
      <c r="I429" s="76">
        <f t="shared" si="197"/>
        <v>0</v>
      </c>
      <c r="J429" s="76">
        <f t="shared" si="197"/>
        <v>0</v>
      </c>
      <c r="K429" s="76">
        <f t="shared" si="197"/>
        <v>0</v>
      </c>
      <c r="L429" s="76">
        <f t="shared" si="197"/>
        <v>0</v>
      </c>
      <c r="M429" s="76">
        <f t="shared" si="197"/>
        <v>0</v>
      </c>
      <c r="N429" s="76">
        <f t="shared" si="197"/>
        <v>0</v>
      </c>
      <c r="O429" s="76">
        <f t="shared" si="197"/>
        <v>0</v>
      </c>
      <c r="P429" s="76">
        <f t="shared" si="197"/>
        <v>0</v>
      </c>
      <c r="Q429" s="76">
        <f t="shared" si="197"/>
        <v>0</v>
      </c>
      <c r="R429" s="76">
        <f t="shared" si="197"/>
        <v>0</v>
      </c>
      <c r="S429" s="76">
        <f t="shared" si="197"/>
        <v>0</v>
      </c>
      <c r="T429" s="76">
        <f t="shared" si="197"/>
        <v>0</v>
      </c>
      <c r="U429" s="76">
        <f t="shared" si="197"/>
        <v>0</v>
      </c>
      <c r="V429" s="76">
        <f t="shared" si="197"/>
        <v>0</v>
      </c>
      <c r="W429" s="76">
        <f t="shared" si="197"/>
        <v>0</v>
      </c>
      <c r="X429" s="62">
        <f t="shared" si="197"/>
        <v>0</v>
      </c>
      <c r="Y429" s="62">
        <f t="shared" si="197"/>
        <v>0</v>
      </c>
      <c r="Z429" s="62">
        <f t="shared" si="197"/>
        <v>0</v>
      </c>
      <c r="AA429" s="64">
        <f>SUM(G429:Z429)</f>
        <v>0</v>
      </c>
      <c r="AB429" s="58" t="str">
        <f>IF(ABS(F429-AA429)&lt;0.01,"ok","err")</f>
        <v>ok</v>
      </c>
    </row>
    <row r="430" spans="1:28">
      <c r="F430" s="79"/>
    </row>
    <row r="431" spans="1:28" ht="15">
      <c r="A431" s="65" t="s">
        <v>373</v>
      </c>
      <c r="F431" s="79"/>
    </row>
    <row r="432" spans="1:28">
      <c r="A432" s="68" t="s">
        <v>623</v>
      </c>
      <c r="C432" s="60" t="s">
        <v>734</v>
      </c>
      <c r="D432" s="60" t="s">
        <v>748</v>
      </c>
      <c r="E432" s="60" t="s">
        <v>1368</v>
      </c>
      <c r="F432" s="76">
        <f>VLOOKUP(C432,'Functional Assignment'!$C$2:$AP$780,'Functional Assignment'!$S$2,)</f>
        <v>0</v>
      </c>
      <c r="G432" s="76">
        <f t="shared" ref="G432:P436" si="198">IF(VLOOKUP($E432,$D$6:$AN$1131,3,)=0,0,(VLOOKUP($E432,$D$6:$AN$1131,G$2,)/VLOOKUP($E432,$D$6:$AN$1131,3,))*$F432)</f>
        <v>0</v>
      </c>
      <c r="H432" s="76">
        <f t="shared" si="198"/>
        <v>0</v>
      </c>
      <c r="I432" s="76">
        <f t="shared" si="198"/>
        <v>0</v>
      </c>
      <c r="J432" s="76">
        <f t="shared" si="198"/>
        <v>0</v>
      </c>
      <c r="K432" s="76">
        <f t="shared" si="198"/>
        <v>0</v>
      </c>
      <c r="L432" s="76">
        <f t="shared" si="198"/>
        <v>0</v>
      </c>
      <c r="M432" s="76">
        <f t="shared" si="198"/>
        <v>0</v>
      </c>
      <c r="N432" s="76">
        <f t="shared" si="198"/>
        <v>0</v>
      </c>
      <c r="O432" s="76">
        <f t="shared" si="198"/>
        <v>0</v>
      </c>
      <c r="P432" s="76">
        <f t="shared" si="198"/>
        <v>0</v>
      </c>
      <c r="Q432" s="76">
        <f t="shared" ref="Q432:Z436" si="199">IF(VLOOKUP($E432,$D$6:$AN$1131,3,)=0,0,(VLOOKUP($E432,$D$6:$AN$1131,Q$2,)/VLOOKUP($E432,$D$6:$AN$1131,3,))*$F432)</f>
        <v>0</v>
      </c>
      <c r="R432" s="76">
        <f t="shared" si="199"/>
        <v>0</v>
      </c>
      <c r="S432" s="76">
        <f t="shared" si="199"/>
        <v>0</v>
      </c>
      <c r="T432" s="76">
        <f t="shared" si="199"/>
        <v>0</v>
      </c>
      <c r="U432" s="76">
        <f t="shared" si="199"/>
        <v>0</v>
      </c>
      <c r="V432" s="76">
        <f t="shared" si="199"/>
        <v>0</v>
      </c>
      <c r="W432" s="76">
        <f t="shared" si="199"/>
        <v>0</v>
      </c>
      <c r="X432" s="62">
        <f t="shared" si="199"/>
        <v>0</v>
      </c>
      <c r="Y432" s="62">
        <f t="shared" si="199"/>
        <v>0</v>
      </c>
      <c r="Z432" s="62">
        <f t="shared" si="199"/>
        <v>0</v>
      </c>
      <c r="AA432" s="64">
        <f t="shared" ref="AA432:AA437" si="200">SUM(G432:Z432)</f>
        <v>0</v>
      </c>
      <c r="AB432" s="58" t="str">
        <f t="shared" ref="AB432:AB437" si="201">IF(ABS(F432-AA432)&lt;0.01,"ok","err")</f>
        <v>ok</v>
      </c>
    </row>
    <row r="433" spans="1:28">
      <c r="A433" s="68" t="s">
        <v>624</v>
      </c>
      <c r="C433" s="60" t="s">
        <v>734</v>
      </c>
      <c r="D433" s="60" t="s">
        <v>749</v>
      </c>
      <c r="E433" s="60" t="s">
        <v>1368</v>
      </c>
      <c r="F433" s="79">
        <f>VLOOKUP(C433,'Functional Assignment'!$C$2:$AP$780,'Functional Assignment'!$T$2,)</f>
        <v>0</v>
      </c>
      <c r="G433" s="79">
        <f t="shared" si="198"/>
        <v>0</v>
      </c>
      <c r="H433" s="79">
        <f t="shared" si="198"/>
        <v>0</v>
      </c>
      <c r="I433" s="79">
        <f t="shared" si="198"/>
        <v>0</v>
      </c>
      <c r="J433" s="79">
        <f t="shared" si="198"/>
        <v>0</v>
      </c>
      <c r="K433" s="79">
        <f t="shared" si="198"/>
        <v>0</v>
      </c>
      <c r="L433" s="79">
        <f t="shared" si="198"/>
        <v>0</v>
      </c>
      <c r="M433" s="79">
        <f t="shared" si="198"/>
        <v>0</v>
      </c>
      <c r="N433" s="79">
        <f t="shared" si="198"/>
        <v>0</v>
      </c>
      <c r="O433" s="79">
        <f t="shared" si="198"/>
        <v>0</v>
      </c>
      <c r="P433" s="79">
        <f t="shared" si="198"/>
        <v>0</v>
      </c>
      <c r="Q433" s="79">
        <f t="shared" si="199"/>
        <v>0</v>
      </c>
      <c r="R433" s="79">
        <f t="shared" si="199"/>
        <v>0</v>
      </c>
      <c r="S433" s="79">
        <f t="shared" si="199"/>
        <v>0</v>
      </c>
      <c r="T433" s="79">
        <f t="shared" si="199"/>
        <v>0</v>
      </c>
      <c r="U433" s="79">
        <f t="shared" si="199"/>
        <v>0</v>
      </c>
      <c r="V433" s="79">
        <f t="shared" si="199"/>
        <v>0</v>
      </c>
      <c r="W433" s="79">
        <f t="shared" si="199"/>
        <v>0</v>
      </c>
      <c r="X433" s="63">
        <f t="shared" si="199"/>
        <v>0</v>
      </c>
      <c r="Y433" s="63">
        <f t="shared" si="199"/>
        <v>0</v>
      </c>
      <c r="Z433" s="63">
        <f t="shared" si="199"/>
        <v>0</v>
      </c>
      <c r="AA433" s="63">
        <f t="shared" si="200"/>
        <v>0</v>
      </c>
      <c r="AB433" s="58" t="str">
        <f t="shared" si="201"/>
        <v>ok</v>
      </c>
    </row>
    <row r="434" spans="1:28">
      <c r="A434" s="68" t="s">
        <v>625</v>
      </c>
      <c r="C434" s="60" t="s">
        <v>734</v>
      </c>
      <c r="D434" s="60" t="s">
        <v>750</v>
      </c>
      <c r="E434" s="60" t="s">
        <v>698</v>
      </c>
      <c r="F434" s="79">
        <f>VLOOKUP(C434,'Functional Assignment'!$C$2:$AP$780,'Functional Assignment'!$U$2,)</f>
        <v>0</v>
      </c>
      <c r="G434" s="79">
        <f t="shared" si="198"/>
        <v>0</v>
      </c>
      <c r="H434" s="79">
        <f t="shared" si="198"/>
        <v>0</v>
      </c>
      <c r="I434" s="79">
        <f t="shared" si="198"/>
        <v>0</v>
      </c>
      <c r="J434" s="79">
        <f t="shared" si="198"/>
        <v>0</v>
      </c>
      <c r="K434" s="79">
        <f t="shared" si="198"/>
        <v>0</v>
      </c>
      <c r="L434" s="79">
        <f t="shared" si="198"/>
        <v>0</v>
      </c>
      <c r="M434" s="79">
        <f t="shared" si="198"/>
        <v>0</v>
      </c>
      <c r="N434" s="79">
        <f t="shared" si="198"/>
        <v>0</v>
      </c>
      <c r="O434" s="79">
        <f t="shared" si="198"/>
        <v>0</v>
      </c>
      <c r="P434" s="79">
        <f t="shared" si="198"/>
        <v>0</v>
      </c>
      <c r="Q434" s="79">
        <f t="shared" si="199"/>
        <v>0</v>
      </c>
      <c r="R434" s="79">
        <f t="shared" si="199"/>
        <v>0</v>
      </c>
      <c r="S434" s="79">
        <f t="shared" si="199"/>
        <v>0</v>
      </c>
      <c r="T434" s="79">
        <f t="shared" si="199"/>
        <v>0</v>
      </c>
      <c r="U434" s="79">
        <f t="shared" si="199"/>
        <v>0</v>
      </c>
      <c r="V434" s="79">
        <f t="shared" si="199"/>
        <v>0</v>
      </c>
      <c r="W434" s="79">
        <f t="shared" si="199"/>
        <v>0</v>
      </c>
      <c r="X434" s="63">
        <f t="shared" si="199"/>
        <v>0</v>
      </c>
      <c r="Y434" s="63">
        <f t="shared" si="199"/>
        <v>0</v>
      </c>
      <c r="Z434" s="63">
        <f t="shared" si="199"/>
        <v>0</v>
      </c>
      <c r="AA434" s="63">
        <f t="shared" si="200"/>
        <v>0</v>
      </c>
      <c r="AB434" s="58" t="str">
        <f t="shared" si="201"/>
        <v>ok</v>
      </c>
    </row>
    <row r="435" spans="1:28">
      <c r="A435" s="68" t="s">
        <v>626</v>
      </c>
      <c r="C435" s="60" t="s">
        <v>734</v>
      </c>
      <c r="D435" s="60" t="s">
        <v>751</v>
      </c>
      <c r="E435" s="60" t="s">
        <v>678</v>
      </c>
      <c r="F435" s="79">
        <f>VLOOKUP(C435,'Functional Assignment'!$C$2:$AP$780,'Functional Assignment'!$V$2,)</f>
        <v>0</v>
      </c>
      <c r="G435" s="79">
        <f t="shared" si="198"/>
        <v>0</v>
      </c>
      <c r="H435" s="79">
        <f t="shared" si="198"/>
        <v>0</v>
      </c>
      <c r="I435" s="79">
        <f t="shared" si="198"/>
        <v>0</v>
      </c>
      <c r="J435" s="79">
        <f t="shared" si="198"/>
        <v>0</v>
      </c>
      <c r="K435" s="79">
        <f t="shared" si="198"/>
        <v>0</v>
      </c>
      <c r="L435" s="79">
        <f t="shared" si="198"/>
        <v>0</v>
      </c>
      <c r="M435" s="79">
        <f t="shared" si="198"/>
        <v>0</v>
      </c>
      <c r="N435" s="79">
        <f t="shared" si="198"/>
        <v>0</v>
      </c>
      <c r="O435" s="79">
        <f t="shared" si="198"/>
        <v>0</v>
      </c>
      <c r="P435" s="79">
        <f t="shared" si="198"/>
        <v>0</v>
      </c>
      <c r="Q435" s="79">
        <f t="shared" si="199"/>
        <v>0</v>
      </c>
      <c r="R435" s="79">
        <f t="shared" si="199"/>
        <v>0</v>
      </c>
      <c r="S435" s="79">
        <f t="shared" si="199"/>
        <v>0</v>
      </c>
      <c r="T435" s="79">
        <f t="shared" si="199"/>
        <v>0</v>
      </c>
      <c r="U435" s="79">
        <f t="shared" si="199"/>
        <v>0</v>
      </c>
      <c r="V435" s="79">
        <f t="shared" si="199"/>
        <v>0</v>
      </c>
      <c r="W435" s="79">
        <f t="shared" si="199"/>
        <v>0</v>
      </c>
      <c r="X435" s="63">
        <f t="shared" si="199"/>
        <v>0</v>
      </c>
      <c r="Y435" s="63">
        <f t="shared" si="199"/>
        <v>0</v>
      </c>
      <c r="Z435" s="63">
        <f t="shared" si="199"/>
        <v>0</v>
      </c>
      <c r="AA435" s="63">
        <f t="shared" si="200"/>
        <v>0</v>
      </c>
      <c r="AB435" s="58" t="str">
        <f t="shared" si="201"/>
        <v>ok</v>
      </c>
    </row>
    <row r="436" spans="1:28">
      <c r="A436" s="68" t="s">
        <v>627</v>
      </c>
      <c r="C436" s="60" t="s">
        <v>734</v>
      </c>
      <c r="D436" s="60" t="s">
        <v>752</v>
      </c>
      <c r="E436" s="60" t="s">
        <v>697</v>
      </c>
      <c r="F436" s="79">
        <f>VLOOKUP(C436,'Functional Assignment'!$C$2:$AP$780,'Functional Assignment'!$W$2,)</f>
        <v>0</v>
      </c>
      <c r="G436" s="79">
        <f t="shared" si="198"/>
        <v>0</v>
      </c>
      <c r="H436" s="79">
        <f t="shared" si="198"/>
        <v>0</v>
      </c>
      <c r="I436" s="79">
        <f t="shared" si="198"/>
        <v>0</v>
      </c>
      <c r="J436" s="79">
        <f t="shared" si="198"/>
        <v>0</v>
      </c>
      <c r="K436" s="79">
        <f t="shared" si="198"/>
        <v>0</v>
      </c>
      <c r="L436" s="79">
        <f t="shared" si="198"/>
        <v>0</v>
      </c>
      <c r="M436" s="79">
        <f t="shared" si="198"/>
        <v>0</v>
      </c>
      <c r="N436" s="79">
        <f t="shared" si="198"/>
        <v>0</v>
      </c>
      <c r="O436" s="79">
        <f t="shared" si="198"/>
        <v>0</v>
      </c>
      <c r="P436" s="79">
        <f t="shared" si="198"/>
        <v>0</v>
      </c>
      <c r="Q436" s="79">
        <f t="shared" si="199"/>
        <v>0</v>
      </c>
      <c r="R436" s="79">
        <f t="shared" si="199"/>
        <v>0</v>
      </c>
      <c r="S436" s="79">
        <f t="shared" si="199"/>
        <v>0</v>
      </c>
      <c r="T436" s="79">
        <f t="shared" si="199"/>
        <v>0</v>
      </c>
      <c r="U436" s="79">
        <f t="shared" si="199"/>
        <v>0</v>
      </c>
      <c r="V436" s="79">
        <f t="shared" si="199"/>
        <v>0</v>
      </c>
      <c r="W436" s="79">
        <f t="shared" si="199"/>
        <v>0</v>
      </c>
      <c r="X436" s="63">
        <f t="shared" si="199"/>
        <v>0</v>
      </c>
      <c r="Y436" s="63">
        <f t="shared" si="199"/>
        <v>0</v>
      </c>
      <c r="Z436" s="63">
        <f t="shared" si="199"/>
        <v>0</v>
      </c>
      <c r="AA436" s="63">
        <f t="shared" si="200"/>
        <v>0</v>
      </c>
      <c r="AB436" s="58" t="str">
        <f t="shared" si="201"/>
        <v>ok</v>
      </c>
    </row>
    <row r="437" spans="1:28">
      <c r="A437" s="60" t="s">
        <v>378</v>
      </c>
      <c r="D437" s="60" t="s">
        <v>753</v>
      </c>
      <c r="F437" s="76">
        <f>SUM(F432:F436)</f>
        <v>0</v>
      </c>
      <c r="G437" s="76">
        <f t="shared" ref="G437:W437" si="202">SUM(G432:G436)</f>
        <v>0</v>
      </c>
      <c r="H437" s="76">
        <f t="shared" si="202"/>
        <v>0</v>
      </c>
      <c r="I437" s="76">
        <f t="shared" si="202"/>
        <v>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f t="shared" si="202"/>
        <v>0</v>
      </c>
      <c r="O437" s="76">
        <f>SUM(O432:O436)</f>
        <v>0</v>
      </c>
      <c r="P437" s="76">
        <f t="shared" si="202"/>
        <v>0</v>
      </c>
      <c r="Q437" s="76">
        <f t="shared" si="202"/>
        <v>0</v>
      </c>
      <c r="R437" s="76">
        <f t="shared" si="202"/>
        <v>0</v>
      </c>
      <c r="S437" s="76">
        <f t="shared" si="202"/>
        <v>0</v>
      </c>
      <c r="T437" s="76">
        <f t="shared" si="202"/>
        <v>0</v>
      </c>
      <c r="U437" s="76">
        <f t="shared" si="202"/>
        <v>0</v>
      </c>
      <c r="V437" s="76">
        <f t="shared" si="202"/>
        <v>0</v>
      </c>
      <c r="W437" s="76">
        <f t="shared" si="202"/>
        <v>0</v>
      </c>
      <c r="X437" s="62">
        <f>SUM(X432:X436)</f>
        <v>0</v>
      </c>
      <c r="Y437" s="62">
        <f>SUM(Y432:Y436)</f>
        <v>0</v>
      </c>
      <c r="Z437" s="62">
        <f>SUM(Z432:Z436)</f>
        <v>0</v>
      </c>
      <c r="AA437" s="64">
        <f t="shared" si="200"/>
        <v>0</v>
      </c>
      <c r="AB437" s="58" t="str">
        <f t="shared" si="201"/>
        <v>ok</v>
      </c>
    </row>
    <row r="438" spans="1:28">
      <c r="F438" s="79"/>
    </row>
    <row r="439" spans="1:28" ht="15">
      <c r="A439" s="65" t="s">
        <v>634</v>
      </c>
      <c r="F439" s="79"/>
    </row>
    <row r="440" spans="1:28">
      <c r="A440" s="68" t="s">
        <v>1090</v>
      </c>
      <c r="C440" s="60" t="s">
        <v>734</v>
      </c>
      <c r="D440" s="60" t="s">
        <v>754</v>
      </c>
      <c r="E440" s="60" t="s">
        <v>1336</v>
      </c>
      <c r="F440" s="76">
        <f>VLOOKUP(C440,'Functional Assignment'!$C$2:$AP$780,'Functional Assignment'!$X$2,)</f>
        <v>0</v>
      </c>
      <c r="G440" s="76">
        <f t="shared" ref="G440:P441" si="203">IF(VLOOKUP($E440,$D$6:$AN$1131,3,)=0,0,(VLOOKUP($E440,$D$6:$AN$1131,G$2,)/VLOOKUP($E440,$D$6:$AN$1131,3,))*$F440)</f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0</v>
      </c>
      <c r="O440" s="76">
        <f t="shared" si="203"/>
        <v>0</v>
      </c>
      <c r="P440" s="76">
        <f t="shared" si="203"/>
        <v>0</v>
      </c>
      <c r="Q440" s="76">
        <f t="shared" ref="Q440:Z441" si="204">IF(VLOOKUP($E440,$D$6:$AN$1131,3,)=0,0,(VLOOKUP($E440,$D$6:$AN$1131,Q$2,)/VLOOKUP($E440,$D$6:$AN$1131,3,))*$F440)</f>
        <v>0</v>
      </c>
      <c r="R440" s="76">
        <f t="shared" si="204"/>
        <v>0</v>
      </c>
      <c r="S440" s="76">
        <f t="shared" si="204"/>
        <v>0</v>
      </c>
      <c r="T440" s="76">
        <f t="shared" si="204"/>
        <v>0</v>
      </c>
      <c r="U440" s="76">
        <f t="shared" si="204"/>
        <v>0</v>
      </c>
      <c r="V440" s="76">
        <f t="shared" si="204"/>
        <v>0</v>
      </c>
      <c r="W440" s="76">
        <f t="shared" si="204"/>
        <v>0</v>
      </c>
      <c r="X440" s="62">
        <f t="shared" si="204"/>
        <v>0</v>
      </c>
      <c r="Y440" s="62">
        <f t="shared" si="204"/>
        <v>0</v>
      </c>
      <c r="Z440" s="62">
        <f t="shared" si="204"/>
        <v>0</v>
      </c>
      <c r="AA440" s="64">
        <f>SUM(G440:Z440)</f>
        <v>0</v>
      </c>
      <c r="AB440" s="58" t="str">
        <f>IF(ABS(F440-AA440)&lt;0.01,"ok","err")</f>
        <v>ok</v>
      </c>
    </row>
    <row r="441" spans="1:28">
      <c r="A441" s="68" t="s">
        <v>1093</v>
      </c>
      <c r="C441" s="60" t="s">
        <v>734</v>
      </c>
      <c r="D441" s="60" t="s">
        <v>795</v>
      </c>
      <c r="E441" s="60" t="s">
        <v>1334</v>
      </c>
      <c r="F441" s="79">
        <f>VLOOKUP(C441,'Functional Assignment'!$C$2:$AP$780,'Functional Assignment'!$Y$2,)</f>
        <v>0</v>
      </c>
      <c r="G441" s="79">
        <f t="shared" si="203"/>
        <v>0</v>
      </c>
      <c r="H441" s="79">
        <f t="shared" si="203"/>
        <v>0</v>
      </c>
      <c r="I441" s="79">
        <f t="shared" si="203"/>
        <v>0</v>
      </c>
      <c r="J441" s="79">
        <f t="shared" si="203"/>
        <v>0</v>
      </c>
      <c r="K441" s="79">
        <f t="shared" si="203"/>
        <v>0</v>
      </c>
      <c r="L441" s="79">
        <f t="shared" si="203"/>
        <v>0</v>
      </c>
      <c r="M441" s="79">
        <f t="shared" si="203"/>
        <v>0</v>
      </c>
      <c r="N441" s="79">
        <f t="shared" si="203"/>
        <v>0</v>
      </c>
      <c r="O441" s="79">
        <f t="shared" si="203"/>
        <v>0</v>
      </c>
      <c r="P441" s="79">
        <f t="shared" si="203"/>
        <v>0</v>
      </c>
      <c r="Q441" s="79">
        <f t="shared" si="204"/>
        <v>0</v>
      </c>
      <c r="R441" s="79">
        <f t="shared" si="204"/>
        <v>0</v>
      </c>
      <c r="S441" s="79">
        <f t="shared" si="204"/>
        <v>0</v>
      </c>
      <c r="T441" s="79">
        <f t="shared" si="204"/>
        <v>0</v>
      </c>
      <c r="U441" s="79">
        <f t="shared" si="204"/>
        <v>0</v>
      </c>
      <c r="V441" s="79">
        <f t="shared" si="204"/>
        <v>0</v>
      </c>
      <c r="W441" s="79">
        <f t="shared" si="204"/>
        <v>0</v>
      </c>
      <c r="X441" s="63">
        <f t="shared" si="204"/>
        <v>0</v>
      </c>
      <c r="Y441" s="63">
        <f t="shared" si="204"/>
        <v>0</v>
      </c>
      <c r="Z441" s="63">
        <f t="shared" si="204"/>
        <v>0</v>
      </c>
      <c r="AA441" s="63">
        <f>SUM(G441:Z441)</f>
        <v>0</v>
      </c>
      <c r="AB441" s="58" t="str">
        <f>IF(ABS(F441-AA441)&lt;0.01,"ok","err")</f>
        <v>ok</v>
      </c>
    </row>
    <row r="442" spans="1:28">
      <c r="A442" s="60" t="s">
        <v>712</v>
      </c>
      <c r="D442" s="60" t="s">
        <v>796</v>
      </c>
      <c r="F442" s="76">
        <f>F440+F441</f>
        <v>0</v>
      </c>
      <c r="G442" s="76">
        <f t="shared" ref="G442:W442" si="205">G440+G441</f>
        <v>0</v>
      </c>
      <c r="H442" s="76">
        <f t="shared" si="205"/>
        <v>0</v>
      </c>
      <c r="I442" s="76">
        <f t="shared" si="205"/>
        <v>0</v>
      </c>
      <c r="J442" s="76">
        <f t="shared" si="205"/>
        <v>0</v>
      </c>
      <c r="K442" s="76">
        <f t="shared" si="205"/>
        <v>0</v>
      </c>
      <c r="L442" s="76">
        <f t="shared" si="205"/>
        <v>0</v>
      </c>
      <c r="M442" s="76">
        <f t="shared" si="205"/>
        <v>0</v>
      </c>
      <c r="N442" s="76">
        <f t="shared" si="205"/>
        <v>0</v>
      </c>
      <c r="O442" s="76">
        <f>O440+O441</f>
        <v>0</v>
      </c>
      <c r="P442" s="76">
        <f t="shared" si="205"/>
        <v>0</v>
      </c>
      <c r="Q442" s="76">
        <f t="shared" si="205"/>
        <v>0</v>
      </c>
      <c r="R442" s="76">
        <f t="shared" si="205"/>
        <v>0</v>
      </c>
      <c r="S442" s="76">
        <f t="shared" si="205"/>
        <v>0</v>
      </c>
      <c r="T442" s="76">
        <f t="shared" si="205"/>
        <v>0</v>
      </c>
      <c r="U442" s="76">
        <f t="shared" si="205"/>
        <v>0</v>
      </c>
      <c r="V442" s="76">
        <f t="shared" si="205"/>
        <v>0</v>
      </c>
      <c r="W442" s="76">
        <f t="shared" si="205"/>
        <v>0</v>
      </c>
      <c r="X442" s="62">
        <f>X440+X441</f>
        <v>0</v>
      </c>
      <c r="Y442" s="62">
        <f>Y440+Y441</f>
        <v>0</v>
      </c>
      <c r="Z442" s="62">
        <f>Z440+Z441</f>
        <v>0</v>
      </c>
      <c r="AA442" s="64">
        <f>SUM(G442:Z442)</f>
        <v>0</v>
      </c>
      <c r="AB442" s="58" t="str">
        <f>IF(ABS(F442-AA442)&lt;0.01,"ok","err")</f>
        <v>ok</v>
      </c>
    </row>
    <row r="443" spans="1:28">
      <c r="F443" s="79"/>
    </row>
    <row r="444" spans="1:28" ht="15">
      <c r="A444" s="65" t="s">
        <v>354</v>
      </c>
      <c r="F444" s="79"/>
    </row>
    <row r="445" spans="1:28">
      <c r="A445" s="68" t="s">
        <v>1093</v>
      </c>
      <c r="C445" s="60" t="s">
        <v>734</v>
      </c>
      <c r="D445" s="60" t="s">
        <v>797</v>
      </c>
      <c r="E445" s="60" t="s">
        <v>1095</v>
      </c>
      <c r="F445" s="76">
        <f>VLOOKUP(C445,'Functional Assignment'!$C$2:$AP$780,'Functional Assignment'!$Z$2,)</f>
        <v>0</v>
      </c>
      <c r="G445" s="76">
        <f t="shared" ref="G445:Z445" si="206">IF(VLOOKUP($E445,$D$6:$AN$1131,3,)=0,0,(VLOOKUP($E445,$D$6:$AN$1131,G$2,)/VLOOKUP($E445,$D$6:$AN$1131,3,))*$F445)</f>
        <v>0</v>
      </c>
      <c r="H445" s="76">
        <f t="shared" si="206"/>
        <v>0</v>
      </c>
      <c r="I445" s="76">
        <f t="shared" si="206"/>
        <v>0</v>
      </c>
      <c r="J445" s="76">
        <f t="shared" si="206"/>
        <v>0</v>
      </c>
      <c r="K445" s="76">
        <f t="shared" si="206"/>
        <v>0</v>
      </c>
      <c r="L445" s="76">
        <f t="shared" si="206"/>
        <v>0</v>
      </c>
      <c r="M445" s="76">
        <f t="shared" si="206"/>
        <v>0</v>
      </c>
      <c r="N445" s="76">
        <f t="shared" si="206"/>
        <v>0</v>
      </c>
      <c r="O445" s="76">
        <f t="shared" si="206"/>
        <v>0</v>
      </c>
      <c r="P445" s="76">
        <f t="shared" si="206"/>
        <v>0</v>
      </c>
      <c r="Q445" s="76">
        <f t="shared" si="206"/>
        <v>0</v>
      </c>
      <c r="R445" s="76">
        <f t="shared" si="206"/>
        <v>0</v>
      </c>
      <c r="S445" s="76">
        <f t="shared" si="206"/>
        <v>0</v>
      </c>
      <c r="T445" s="76">
        <f t="shared" si="206"/>
        <v>0</v>
      </c>
      <c r="U445" s="76">
        <f t="shared" si="206"/>
        <v>0</v>
      </c>
      <c r="V445" s="76">
        <f t="shared" si="206"/>
        <v>0</v>
      </c>
      <c r="W445" s="76">
        <f t="shared" si="206"/>
        <v>0</v>
      </c>
      <c r="X445" s="62">
        <f t="shared" si="206"/>
        <v>0</v>
      </c>
      <c r="Y445" s="62">
        <f t="shared" si="206"/>
        <v>0</v>
      </c>
      <c r="Z445" s="62">
        <f t="shared" si="206"/>
        <v>0</v>
      </c>
      <c r="AA445" s="64">
        <f>SUM(G445:Z445)</f>
        <v>0</v>
      </c>
      <c r="AB445" s="58" t="str">
        <f>IF(ABS(F445-AA445)&lt;0.01,"ok","err")</f>
        <v>ok</v>
      </c>
    </row>
    <row r="446" spans="1:28">
      <c r="F446" s="79"/>
    </row>
    <row r="447" spans="1:28" ht="15">
      <c r="A447" s="65" t="s">
        <v>353</v>
      </c>
      <c r="F447" s="79"/>
    </row>
    <row r="448" spans="1:28">
      <c r="A448" s="68" t="s">
        <v>1093</v>
      </c>
      <c r="C448" s="60" t="s">
        <v>734</v>
      </c>
      <c r="D448" s="60" t="s">
        <v>798</v>
      </c>
      <c r="E448" s="60" t="s">
        <v>1096</v>
      </c>
      <c r="F448" s="76">
        <f>VLOOKUP(C448,'Functional Assignment'!$C$2:$AP$780,'Functional Assignment'!$AA$2,)</f>
        <v>0</v>
      </c>
      <c r="G448" s="76">
        <f t="shared" ref="G448:Z448" si="207">IF(VLOOKUP($E448,$D$6:$AN$1131,3,)=0,0,(VLOOKUP($E448,$D$6:$AN$1131,G$2,)/VLOOKUP($E448,$D$6:$AN$1131,3,))*$F448)</f>
        <v>0</v>
      </c>
      <c r="H448" s="76">
        <f t="shared" si="207"/>
        <v>0</v>
      </c>
      <c r="I448" s="76">
        <f t="shared" si="207"/>
        <v>0</v>
      </c>
      <c r="J448" s="76">
        <f t="shared" si="207"/>
        <v>0</v>
      </c>
      <c r="K448" s="76">
        <f t="shared" si="207"/>
        <v>0</v>
      </c>
      <c r="L448" s="76">
        <f t="shared" si="207"/>
        <v>0</v>
      </c>
      <c r="M448" s="76">
        <f t="shared" si="207"/>
        <v>0</v>
      </c>
      <c r="N448" s="76">
        <f t="shared" si="207"/>
        <v>0</v>
      </c>
      <c r="O448" s="76">
        <f t="shared" si="207"/>
        <v>0</v>
      </c>
      <c r="P448" s="76">
        <f t="shared" si="207"/>
        <v>0</v>
      </c>
      <c r="Q448" s="76">
        <f t="shared" si="207"/>
        <v>0</v>
      </c>
      <c r="R448" s="76">
        <f t="shared" si="207"/>
        <v>0</v>
      </c>
      <c r="S448" s="76">
        <f t="shared" si="207"/>
        <v>0</v>
      </c>
      <c r="T448" s="76">
        <f t="shared" si="207"/>
        <v>0</v>
      </c>
      <c r="U448" s="76">
        <f t="shared" si="207"/>
        <v>0</v>
      </c>
      <c r="V448" s="76">
        <f t="shared" si="207"/>
        <v>0</v>
      </c>
      <c r="W448" s="76">
        <f t="shared" si="207"/>
        <v>0</v>
      </c>
      <c r="X448" s="62">
        <f t="shared" si="207"/>
        <v>0</v>
      </c>
      <c r="Y448" s="62">
        <f t="shared" si="207"/>
        <v>0</v>
      </c>
      <c r="Z448" s="62">
        <f t="shared" si="207"/>
        <v>0</v>
      </c>
      <c r="AA448" s="64">
        <f>SUM(G448:Z448)</f>
        <v>0</v>
      </c>
      <c r="AB448" s="58" t="str">
        <f>IF(ABS(F448-AA448)&lt;0.01,"ok","err")</f>
        <v>ok</v>
      </c>
    </row>
    <row r="449" spans="1:28"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62"/>
      <c r="Y449" s="62"/>
      <c r="Z449" s="62"/>
      <c r="AA449" s="64"/>
    </row>
    <row r="450" spans="1:28" ht="15">
      <c r="A450" s="65" t="s">
        <v>371</v>
      </c>
      <c r="F450" s="79"/>
    </row>
    <row r="451" spans="1:28">
      <c r="A451" s="68" t="s">
        <v>1093</v>
      </c>
      <c r="C451" s="60" t="s">
        <v>734</v>
      </c>
      <c r="D451" s="60" t="s">
        <v>799</v>
      </c>
      <c r="E451" s="60" t="s">
        <v>1097</v>
      </c>
      <c r="F451" s="76">
        <f>VLOOKUP(C451,'Functional Assignment'!$C$2:$AP$780,'Functional Assignment'!$AB$2,)</f>
        <v>0</v>
      </c>
      <c r="G451" s="76">
        <f t="shared" ref="G451:Z451" si="208">IF(VLOOKUP($E451,$D$6:$AN$1131,3,)=0,0,(VLOOKUP($E451,$D$6:$AN$1131,G$2,)/VLOOKUP($E451,$D$6:$AN$1131,3,))*$F451)</f>
        <v>0</v>
      </c>
      <c r="H451" s="76">
        <f t="shared" si="208"/>
        <v>0</v>
      </c>
      <c r="I451" s="76">
        <f t="shared" si="208"/>
        <v>0</v>
      </c>
      <c r="J451" s="76">
        <f t="shared" si="208"/>
        <v>0</v>
      </c>
      <c r="K451" s="76">
        <f t="shared" si="208"/>
        <v>0</v>
      </c>
      <c r="L451" s="76">
        <f t="shared" si="208"/>
        <v>0</v>
      </c>
      <c r="M451" s="76">
        <f t="shared" si="208"/>
        <v>0</v>
      </c>
      <c r="N451" s="76">
        <f t="shared" si="208"/>
        <v>0</v>
      </c>
      <c r="O451" s="76">
        <f t="shared" si="208"/>
        <v>0</v>
      </c>
      <c r="P451" s="76">
        <f t="shared" si="208"/>
        <v>0</v>
      </c>
      <c r="Q451" s="76">
        <f t="shared" si="208"/>
        <v>0</v>
      </c>
      <c r="R451" s="76">
        <f t="shared" si="208"/>
        <v>0</v>
      </c>
      <c r="S451" s="76">
        <f t="shared" si="208"/>
        <v>0</v>
      </c>
      <c r="T451" s="76">
        <f t="shared" si="208"/>
        <v>0</v>
      </c>
      <c r="U451" s="76">
        <f t="shared" si="208"/>
        <v>0</v>
      </c>
      <c r="V451" s="76">
        <f t="shared" si="208"/>
        <v>0</v>
      </c>
      <c r="W451" s="76">
        <f t="shared" si="208"/>
        <v>0</v>
      </c>
      <c r="X451" s="62">
        <f t="shared" si="208"/>
        <v>0</v>
      </c>
      <c r="Y451" s="62">
        <f t="shared" si="208"/>
        <v>0</v>
      </c>
      <c r="Z451" s="62">
        <f t="shared" si="208"/>
        <v>0</v>
      </c>
      <c r="AA451" s="64">
        <f>SUM(G451:Z451)</f>
        <v>0</v>
      </c>
      <c r="AB451" s="58" t="str">
        <f>IF(ABS(F451-AA451)&lt;0.01,"ok","err")</f>
        <v>ok</v>
      </c>
    </row>
    <row r="452" spans="1:28"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62"/>
      <c r="Y452" s="62"/>
      <c r="Z452" s="62"/>
      <c r="AA452" s="64"/>
    </row>
    <row r="453" spans="1:28" ht="15">
      <c r="A453" s="65" t="s">
        <v>1025</v>
      </c>
      <c r="F453" s="79"/>
    </row>
    <row r="454" spans="1:28">
      <c r="A454" s="68" t="s">
        <v>1093</v>
      </c>
      <c r="C454" s="60" t="s">
        <v>734</v>
      </c>
      <c r="D454" s="60" t="s">
        <v>800</v>
      </c>
      <c r="E454" s="60" t="s">
        <v>1098</v>
      </c>
      <c r="F454" s="76">
        <f>VLOOKUP(C454,'Functional Assignment'!$C$2:$AP$780,'Functional Assignment'!$AC$2,)</f>
        <v>0</v>
      </c>
      <c r="G454" s="76">
        <f t="shared" ref="G454:Z454" si="209">IF(VLOOKUP($E454,$D$6:$AN$1131,3,)=0,0,(VLOOKUP($E454,$D$6:$AN$1131,G$2,)/VLOOKUP($E454,$D$6:$AN$1131,3,))*$F454)</f>
        <v>0</v>
      </c>
      <c r="H454" s="76">
        <f t="shared" si="209"/>
        <v>0</v>
      </c>
      <c r="I454" s="76">
        <f t="shared" si="209"/>
        <v>0</v>
      </c>
      <c r="J454" s="76">
        <f t="shared" si="209"/>
        <v>0</v>
      </c>
      <c r="K454" s="76">
        <f t="shared" si="209"/>
        <v>0</v>
      </c>
      <c r="L454" s="76">
        <f t="shared" si="209"/>
        <v>0</v>
      </c>
      <c r="M454" s="76">
        <f t="shared" si="209"/>
        <v>0</v>
      </c>
      <c r="N454" s="76">
        <f t="shared" si="209"/>
        <v>0</v>
      </c>
      <c r="O454" s="76">
        <f t="shared" si="209"/>
        <v>0</v>
      </c>
      <c r="P454" s="76">
        <f t="shared" si="209"/>
        <v>0</v>
      </c>
      <c r="Q454" s="76">
        <f t="shared" si="209"/>
        <v>0</v>
      </c>
      <c r="R454" s="76">
        <f t="shared" si="209"/>
        <v>0</v>
      </c>
      <c r="S454" s="76">
        <f t="shared" si="209"/>
        <v>0</v>
      </c>
      <c r="T454" s="76">
        <f t="shared" si="209"/>
        <v>0</v>
      </c>
      <c r="U454" s="76">
        <f t="shared" si="209"/>
        <v>0</v>
      </c>
      <c r="V454" s="76">
        <f t="shared" si="209"/>
        <v>0</v>
      </c>
      <c r="W454" s="76">
        <f t="shared" si="209"/>
        <v>0</v>
      </c>
      <c r="X454" s="62">
        <f t="shared" si="209"/>
        <v>0</v>
      </c>
      <c r="Y454" s="62">
        <f t="shared" si="209"/>
        <v>0</v>
      </c>
      <c r="Z454" s="62">
        <f t="shared" si="209"/>
        <v>0</v>
      </c>
      <c r="AA454" s="64">
        <f>SUM(G454:Z454)</f>
        <v>0</v>
      </c>
      <c r="AB454" s="58" t="str">
        <f>IF(ABS(F454-AA454)&lt;0.01,"ok","err")</f>
        <v>ok</v>
      </c>
    </row>
    <row r="455" spans="1:28"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62"/>
      <c r="Y455" s="62"/>
      <c r="Z455" s="62"/>
      <c r="AA455" s="64"/>
    </row>
    <row r="456" spans="1:28" ht="15">
      <c r="A456" s="65" t="s">
        <v>351</v>
      </c>
      <c r="F456" s="79"/>
    </row>
    <row r="457" spans="1:28">
      <c r="A457" s="68" t="s">
        <v>1093</v>
      </c>
      <c r="C457" s="60" t="s">
        <v>734</v>
      </c>
      <c r="D457" s="60" t="s">
        <v>801</v>
      </c>
      <c r="E457" s="60" t="s">
        <v>1098</v>
      </c>
      <c r="F457" s="76">
        <f>VLOOKUP(C457,'Functional Assignment'!$C$2:$AP$780,'Functional Assignment'!$AD$2,)</f>
        <v>0</v>
      </c>
      <c r="G457" s="76">
        <f t="shared" ref="G457:Z457" si="210">IF(VLOOKUP($E457,$D$6:$AN$1131,3,)=0,0,(VLOOKUP($E457,$D$6:$AN$1131,G$2,)/VLOOKUP($E457,$D$6:$AN$1131,3,))*$F457)</f>
        <v>0</v>
      </c>
      <c r="H457" s="76">
        <f t="shared" si="210"/>
        <v>0</v>
      </c>
      <c r="I457" s="76">
        <f t="shared" si="210"/>
        <v>0</v>
      </c>
      <c r="J457" s="76">
        <f t="shared" si="210"/>
        <v>0</v>
      </c>
      <c r="K457" s="76">
        <f t="shared" si="210"/>
        <v>0</v>
      </c>
      <c r="L457" s="76">
        <f t="shared" si="210"/>
        <v>0</v>
      </c>
      <c r="M457" s="76">
        <f t="shared" si="210"/>
        <v>0</v>
      </c>
      <c r="N457" s="76">
        <f t="shared" si="210"/>
        <v>0</v>
      </c>
      <c r="O457" s="76">
        <f t="shared" si="210"/>
        <v>0</v>
      </c>
      <c r="P457" s="76">
        <f t="shared" si="210"/>
        <v>0</v>
      </c>
      <c r="Q457" s="76">
        <f t="shared" si="210"/>
        <v>0</v>
      </c>
      <c r="R457" s="76">
        <f t="shared" si="210"/>
        <v>0</v>
      </c>
      <c r="S457" s="76">
        <f t="shared" si="210"/>
        <v>0</v>
      </c>
      <c r="T457" s="76">
        <f t="shared" si="210"/>
        <v>0</v>
      </c>
      <c r="U457" s="76">
        <f t="shared" si="210"/>
        <v>0</v>
      </c>
      <c r="V457" s="76">
        <f t="shared" si="210"/>
        <v>0</v>
      </c>
      <c r="W457" s="76">
        <f t="shared" si="210"/>
        <v>0</v>
      </c>
      <c r="X457" s="62">
        <f t="shared" si="210"/>
        <v>0</v>
      </c>
      <c r="Y457" s="62">
        <f t="shared" si="210"/>
        <v>0</v>
      </c>
      <c r="Z457" s="62">
        <f t="shared" si="210"/>
        <v>0</v>
      </c>
      <c r="AA457" s="64">
        <f>SUM(G457:Z457)</f>
        <v>0</v>
      </c>
      <c r="AB457" s="58" t="str">
        <f>IF(ABS(F457-AA457)&lt;0.01,"ok","err")</f>
        <v>ok</v>
      </c>
    </row>
    <row r="458" spans="1:28"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62"/>
      <c r="Y458" s="62"/>
      <c r="Z458" s="62"/>
      <c r="AA458" s="64"/>
    </row>
    <row r="459" spans="1:28" ht="15">
      <c r="A459" s="65" t="s">
        <v>350</v>
      </c>
      <c r="F459" s="79"/>
    </row>
    <row r="460" spans="1:28">
      <c r="A460" s="68" t="s">
        <v>1093</v>
      </c>
      <c r="C460" s="60" t="s">
        <v>734</v>
      </c>
      <c r="D460" s="60" t="s">
        <v>802</v>
      </c>
      <c r="E460" s="60" t="s">
        <v>1099</v>
      </c>
      <c r="F460" s="76">
        <f>VLOOKUP(C460,'Functional Assignment'!$C$2:$AP$780,'Functional Assignment'!$AE$2,)</f>
        <v>0</v>
      </c>
      <c r="G460" s="76">
        <f t="shared" ref="G460:Z460" si="211">IF(VLOOKUP($E460,$D$6:$AN$1131,3,)=0,0,(VLOOKUP($E460,$D$6:$AN$1131,G$2,)/VLOOKUP($E460,$D$6:$AN$1131,3,))*$F460)</f>
        <v>0</v>
      </c>
      <c r="H460" s="76">
        <f t="shared" si="211"/>
        <v>0</v>
      </c>
      <c r="I460" s="76">
        <f t="shared" si="211"/>
        <v>0</v>
      </c>
      <c r="J460" s="76">
        <f t="shared" si="211"/>
        <v>0</v>
      </c>
      <c r="K460" s="76">
        <f t="shared" si="211"/>
        <v>0</v>
      </c>
      <c r="L460" s="76">
        <f t="shared" si="211"/>
        <v>0</v>
      </c>
      <c r="M460" s="76">
        <f t="shared" si="211"/>
        <v>0</v>
      </c>
      <c r="N460" s="76">
        <f t="shared" si="211"/>
        <v>0</v>
      </c>
      <c r="O460" s="76">
        <f t="shared" si="211"/>
        <v>0</v>
      </c>
      <c r="P460" s="76">
        <f t="shared" si="211"/>
        <v>0</v>
      </c>
      <c r="Q460" s="76">
        <f t="shared" si="211"/>
        <v>0</v>
      </c>
      <c r="R460" s="76">
        <f t="shared" si="211"/>
        <v>0</v>
      </c>
      <c r="S460" s="76">
        <f t="shared" si="211"/>
        <v>0</v>
      </c>
      <c r="T460" s="76">
        <f t="shared" si="211"/>
        <v>0</v>
      </c>
      <c r="U460" s="76">
        <f t="shared" si="211"/>
        <v>0</v>
      </c>
      <c r="V460" s="76">
        <f t="shared" si="211"/>
        <v>0</v>
      </c>
      <c r="W460" s="76">
        <f t="shared" si="211"/>
        <v>0</v>
      </c>
      <c r="X460" s="62">
        <f t="shared" si="211"/>
        <v>0</v>
      </c>
      <c r="Y460" s="62">
        <f t="shared" si="211"/>
        <v>0</v>
      </c>
      <c r="Z460" s="62">
        <f t="shared" si="211"/>
        <v>0</v>
      </c>
      <c r="AA460" s="64">
        <f>SUM(G460:Z460)</f>
        <v>0</v>
      </c>
      <c r="AB460" s="58" t="str">
        <f>IF(ABS(F460-AA460)&lt;0.01,"ok","err")</f>
        <v>ok</v>
      </c>
    </row>
    <row r="461" spans="1:28"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62"/>
      <c r="Y461" s="62"/>
      <c r="Z461" s="62"/>
      <c r="AA461" s="64"/>
    </row>
    <row r="462" spans="1:28">
      <c r="A462" s="60" t="s">
        <v>922</v>
      </c>
      <c r="D462" s="60" t="s">
        <v>803</v>
      </c>
      <c r="F462" s="76">
        <f>F417+F423+F426+F429+F437+F442+F445+F448+F451+F454+F457+F460</f>
        <v>0</v>
      </c>
      <c r="G462" s="76">
        <f t="shared" ref="G462:Z462" si="212">G417+G423+G426+G429+G437+G442+G445+G448+G451+G454+G457+G460</f>
        <v>0</v>
      </c>
      <c r="H462" s="76">
        <f t="shared" si="212"/>
        <v>0</v>
      </c>
      <c r="I462" s="76">
        <f t="shared" si="212"/>
        <v>0</v>
      </c>
      <c r="J462" s="76">
        <f t="shared" si="212"/>
        <v>0</v>
      </c>
      <c r="K462" s="76">
        <f t="shared" si="212"/>
        <v>0</v>
      </c>
      <c r="L462" s="76">
        <f t="shared" si="212"/>
        <v>0</v>
      </c>
      <c r="M462" s="76">
        <f t="shared" si="212"/>
        <v>0</v>
      </c>
      <c r="N462" s="76">
        <f t="shared" si="212"/>
        <v>0</v>
      </c>
      <c r="O462" s="76">
        <f>O417+O423+O426+O429+O437+O442+O445+O448+O451+O454+O457+O460</f>
        <v>0</v>
      </c>
      <c r="P462" s="76">
        <f t="shared" si="212"/>
        <v>0</v>
      </c>
      <c r="Q462" s="76">
        <f t="shared" si="212"/>
        <v>0</v>
      </c>
      <c r="R462" s="76">
        <f t="shared" si="212"/>
        <v>0</v>
      </c>
      <c r="S462" s="76">
        <f t="shared" si="212"/>
        <v>0</v>
      </c>
      <c r="T462" s="76">
        <f t="shared" si="212"/>
        <v>0</v>
      </c>
      <c r="U462" s="76">
        <f t="shared" si="212"/>
        <v>0</v>
      </c>
      <c r="V462" s="76">
        <f t="shared" si="212"/>
        <v>0</v>
      </c>
      <c r="W462" s="76">
        <f t="shared" si="212"/>
        <v>0</v>
      </c>
      <c r="X462" s="62">
        <f t="shared" si="212"/>
        <v>0</v>
      </c>
      <c r="Y462" s="62">
        <f t="shared" si="212"/>
        <v>0</v>
      </c>
      <c r="Z462" s="62">
        <f t="shared" si="212"/>
        <v>0</v>
      </c>
      <c r="AA462" s="64">
        <f>SUM(G462:Z462)</f>
        <v>0</v>
      </c>
      <c r="AB462" s="58" t="str">
        <f>IF(ABS(F462-AA462)&lt;0.01,"ok","err")</f>
        <v>ok</v>
      </c>
    </row>
    <row r="463" spans="1:28"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62"/>
      <c r="Y463" s="62"/>
      <c r="Z463" s="62"/>
      <c r="AA463" s="64"/>
    </row>
    <row r="465" spans="1:28" ht="15">
      <c r="A465" s="65" t="s">
        <v>805</v>
      </c>
    </row>
    <row r="467" spans="1:28" ht="15">
      <c r="A467" s="65" t="s">
        <v>364</v>
      </c>
    </row>
    <row r="468" spans="1:28">
      <c r="A468" s="68" t="s">
        <v>359</v>
      </c>
      <c r="C468" s="60" t="s">
        <v>1074</v>
      </c>
      <c r="D468" s="60" t="s">
        <v>534</v>
      </c>
      <c r="E468" s="60" t="s">
        <v>869</v>
      </c>
      <c r="F468" s="76">
        <f>VLOOKUP(C468,'Functional Assignment'!$C$2:$AP$780,'Functional Assignment'!$H$2,)</f>
        <v>6289766.8709144518</v>
      </c>
      <c r="G468" s="76">
        <f t="shared" ref="G468:P473" si="213">IF(VLOOKUP($E468,$D$6:$AN$1131,3,)=0,0,(VLOOKUP($E468,$D$6:$AN$1131,G$2,)/VLOOKUP($E468,$D$6:$AN$1131,3,))*$F468)</f>
        <v>2275499.4848266388</v>
      </c>
      <c r="H468" s="76">
        <f t="shared" si="213"/>
        <v>739455.87691865792</v>
      </c>
      <c r="I468" s="76">
        <f t="shared" si="213"/>
        <v>0</v>
      </c>
      <c r="J468" s="76">
        <f t="shared" si="213"/>
        <v>88070.452221235697</v>
      </c>
      <c r="K468" s="76">
        <f t="shared" si="213"/>
        <v>1020410.4075225753</v>
      </c>
      <c r="L468" s="76">
        <f t="shared" si="213"/>
        <v>0</v>
      </c>
      <c r="M468" s="76">
        <f t="shared" si="213"/>
        <v>0</v>
      </c>
      <c r="N468" s="76">
        <f t="shared" si="213"/>
        <v>984979.34852581611</v>
      </c>
      <c r="O468" s="76">
        <f t="shared" si="213"/>
        <v>433207.29881492746</v>
      </c>
      <c r="P468" s="76">
        <f t="shared" si="213"/>
        <v>599776.98531966703</v>
      </c>
      <c r="Q468" s="76">
        <f t="shared" ref="Q468:Z473" si="214">IF(VLOOKUP($E468,$D$6:$AN$1131,3,)=0,0,(VLOOKUP($E468,$D$6:$AN$1131,Q$2,)/VLOOKUP($E468,$D$6:$AN$1131,3,))*$F468)</f>
        <v>58541.25706285701</v>
      </c>
      <c r="R468" s="76">
        <f t="shared" si="214"/>
        <v>30927.138133863544</v>
      </c>
      <c r="S468" s="76">
        <f t="shared" si="214"/>
        <v>55400.49623411303</v>
      </c>
      <c r="T468" s="76">
        <f t="shared" si="214"/>
        <v>1805.8479451472642</v>
      </c>
      <c r="U468" s="76">
        <f t="shared" si="214"/>
        <v>1692.2773889539424</v>
      </c>
      <c r="V468" s="76">
        <f t="shared" si="214"/>
        <v>0</v>
      </c>
      <c r="W468" s="76">
        <f t="shared" si="214"/>
        <v>0</v>
      </c>
      <c r="X468" s="62">
        <f t="shared" si="214"/>
        <v>0</v>
      </c>
      <c r="Y468" s="62">
        <f t="shared" si="214"/>
        <v>0</v>
      </c>
      <c r="Z468" s="62">
        <f t="shared" si="214"/>
        <v>0</v>
      </c>
      <c r="AA468" s="64">
        <f t="shared" ref="AA468:AA474" si="215">SUM(G468:Z468)</f>
        <v>6289766.8709144536</v>
      </c>
      <c r="AB468" s="58" t="str">
        <f t="shared" ref="AB468:AB474" si="216">IF(ABS(F468-AA468)&lt;0.01,"ok","err")</f>
        <v>ok</v>
      </c>
    </row>
    <row r="469" spans="1:28">
      <c r="A469" s="68" t="s">
        <v>1255</v>
      </c>
      <c r="C469" s="60" t="s">
        <v>1074</v>
      </c>
      <c r="D469" s="60" t="s">
        <v>535</v>
      </c>
      <c r="E469" s="60" t="s">
        <v>188</v>
      </c>
      <c r="F469" s="79">
        <f>VLOOKUP(C469,'Functional Assignment'!$C$2:$AP$780,'Functional Assignment'!$I$2,)</f>
        <v>6588928.9038168211</v>
      </c>
      <c r="G469" s="79">
        <f t="shared" si="213"/>
        <v>2815569.13323115</v>
      </c>
      <c r="H469" s="79">
        <f t="shared" si="213"/>
        <v>921317.42944424902</v>
      </c>
      <c r="I469" s="79">
        <f t="shared" si="213"/>
        <v>0</v>
      </c>
      <c r="J469" s="79">
        <f t="shared" si="213"/>
        <v>71645.419293829807</v>
      </c>
      <c r="K469" s="79">
        <f t="shared" si="213"/>
        <v>964070.97784275026</v>
      </c>
      <c r="L469" s="79">
        <f t="shared" si="213"/>
        <v>0</v>
      </c>
      <c r="M469" s="79">
        <f t="shared" si="213"/>
        <v>0</v>
      </c>
      <c r="N469" s="79">
        <f t="shared" si="213"/>
        <v>767733.11856286624</v>
      </c>
      <c r="O469" s="79">
        <f t="shared" si="213"/>
        <v>514852.65061861399</v>
      </c>
      <c r="P469" s="79">
        <f t="shared" si="213"/>
        <v>459206.75192324771</v>
      </c>
      <c r="Q469" s="79">
        <f t="shared" si="214"/>
        <v>53018.331865509565</v>
      </c>
      <c r="R469" s="79">
        <f t="shared" si="214"/>
        <v>20152.473920940323</v>
      </c>
      <c r="S469" s="79">
        <f t="shared" si="214"/>
        <v>0</v>
      </c>
      <c r="T469" s="79">
        <f t="shared" si="214"/>
        <v>0</v>
      </c>
      <c r="U469" s="79">
        <f t="shared" si="214"/>
        <v>1362.617113664455</v>
      </c>
      <c r="V469" s="79">
        <f t="shared" si="214"/>
        <v>0</v>
      </c>
      <c r="W469" s="79">
        <f t="shared" si="214"/>
        <v>0</v>
      </c>
      <c r="X469" s="63">
        <f t="shared" si="214"/>
        <v>0</v>
      </c>
      <c r="Y469" s="63">
        <f t="shared" si="214"/>
        <v>0</v>
      </c>
      <c r="Z469" s="63">
        <f t="shared" si="214"/>
        <v>0</v>
      </c>
      <c r="AA469" s="63">
        <f t="shared" si="215"/>
        <v>6588928.903816822</v>
      </c>
      <c r="AB469" s="58" t="str">
        <f t="shared" si="216"/>
        <v>ok</v>
      </c>
    </row>
    <row r="470" spans="1:28">
      <c r="A470" s="68" t="s">
        <v>1256</v>
      </c>
      <c r="C470" s="60" t="s">
        <v>1074</v>
      </c>
      <c r="D470" s="60" t="s">
        <v>536</v>
      </c>
      <c r="E470" s="60" t="s">
        <v>191</v>
      </c>
      <c r="F470" s="79">
        <f>VLOOKUP(C470,'Functional Assignment'!$C$2:$AP$780,'Functional Assignment'!$J$2,)</f>
        <v>5416077.3409332</v>
      </c>
      <c r="G470" s="79">
        <f t="shared" si="213"/>
        <v>2117957.1159955584</v>
      </c>
      <c r="H470" s="79">
        <f t="shared" si="213"/>
        <v>765377.2426584796</v>
      </c>
      <c r="I470" s="79">
        <f t="shared" si="213"/>
        <v>0</v>
      </c>
      <c r="J470" s="79">
        <f t="shared" si="213"/>
        <v>63122.050304596618</v>
      </c>
      <c r="K470" s="79">
        <f t="shared" si="213"/>
        <v>890982.96177621256</v>
      </c>
      <c r="L470" s="79">
        <f t="shared" si="213"/>
        <v>0</v>
      </c>
      <c r="M470" s="79">
        <f t="shared" si="213"/>
        <v>0</v>
      </c>
      <c r="N470" s="79">
        <f t="shared" si="213"/>
        <v>673873.44887567626</v>
      </c>
      <c r="O470" s="79">
        <f t="shared" si="213"/>
        <v>455147.46381165658</v>
      </c>
      <c r="P470" s="79">
        <f t="shared" si="213"/>
        <v>389735.7018189407</v>
      </c>
      <c r="Q470" s="79">
        <f t="shared" si="214"/>
        <v>42082.439930220818</v>
      </c>
      <c r="R470" s="79">
        <f t="shared" si="214"/>
        <v>17035.243505872146</v>
      </c>
      <c r="S470" s="79">
        <f t="shared" si="214"/>
        <v>0</v>
      </c>
      <c r="T470" s="79">
        <f t="shared" si="214"/>
        <v>0</v>
      </c>
      <c r="U470" s="79">
        <f t="shared" si="214"/>
        <v>763.67225598575124</v>
      </c>
      <c r="V470" s="79">
        <f t="shared" si="214"/>
        <v>0</v>
      </c>
      <c r="W470" s="79">
        <f t="shared" si="214"/>
        <v>0</v>
      </c>
      <c r="X470" s="63">
        <f t="shared" si="214"/>
        <v>0</v>
      </c>
      <c r="Y470" s="63">
        <f t="shared" si="214"/>
        <v>0</v>
      </c>
      <c r="Z470" s="63">
        <f t="shared" si="214"/>
        <v>0</v>
      </c>
      <c r="AA470" s="63">
        <f t="shared" si="215"/>
        <v>5416077.340933199</v>
      </c>
      <c r="AB470" s="58" t="str">
        <f t="shared" si="216"/>
        <v>ok</v>
      </c>
    </row>
    <row r="471" spans="1:28">
      <c r="A471" s="68" t="s">
        <v>1257</v>
      </c>
      <c r="C471" s="60" t="s">
        <v>1074</v>
      </c>
      <c r="D471" s="60" t="s">
        <v>537</v>
      </c>
      <c r="E471" s="60" t="s">
        <v>1091</v>
      </c>
      <c r="F471" s="79">
        <f>VLOOKUP(C471,'Functional Assignment'!$C$2:$AP$780,'Functional Assignment'!$K$2,)</f>
        <v>0</v>
      </c>
      <c r="G471" s="79">
        <f t="shared" si="213"/>
        <v>0</v>
      </c>
      <c r="H471" s="79">
        <f t="shared" si="213"/>
        <v>0</v>
      </c>
      <c r="I471" s="79">
        <f t="shared" si="213"/>
        <v>0</v>
      </c>
      <c r="J471" s="79">
        <f t="shared" si="213"/>
        <v>0</v>
      </c>
      <c r="K471" s="79">
        <f t="shared" si="213"/>
        <v>0</v>
      </c>
      <c r="L471" s="79">
        <f t="shared" si="213"/>
        <v>0</v>
      </c>
      <c r="M471" s="79">
        <f t="shared" si="213"/>
        <v>0</v>
      </c>
      <c r="N471" s="79">
        <f t="shared" si="213"/>
        <v>0</v>
      </c>
      <c r="O471" s="79">
        <f t="shared" si="213"/>
        <v>0</v>
      </c>
      <c r="P471" s="79">
        <f t="shared" si="213"/>
        <v>0</v>
      </c>
      <c r="Q471" s="79">
        <f t="shared" si="214"/>
        <v>0</v>
      </c>
      <c r="R471" s="79">
        <f t="shared" si="214"/>
        <v>0</v>
      </c>
      <c r="S471" s="79">
        <f t="shared" si="214"/>
        <v>0</v>
      </c>
      <c r="T471" s="79">
        <f t="shared" si="214"/>
        <v>0</v>
      </c>
      <c r="U471" s="79">
        <f t="shared" si="214"/>
        <v>0</v>
      </c>
      <c r="V471" s="79">
        <f t="shared" si="214"/>
        <v>0</v>
      </c>
      <c r="W471" s="79">
        <f t="shared" si="214"/>
        <v>0</v>
      </c>
      <c r="X471" s="63">
        <f t="shared" si="214"/>
        <v>0</v>
      </c>
      <c r="Y471" s="63">
        <f t="shared" si="214"/>
        <v>0</v>
      </c>
      <c r="Z471" s="63">
        <f t="shared" si="214"/>
        <v>0</v>
      </c>
      <c r="AA471" s="63">
        <f t="shared" si="215"/>
        <v>0</v>
      </c>
      <c r="AB471" s="58" t="str">
        <f t="shared" si="216"/>
        <v>ok</v>
      </c>
    </row>
    <row r="472" spans="1:28">
      <c r="A472" s="68" t="s">
        <v>1258</v>
      </c>
      <c r="C472" s="60" t="s">
        <v>1074</v>
      </c>
      <c r="D472" s="60" t="s">
        <v>538</v>
      </c>
      <c r="E472" s="60" t="s">
        <v>1091</v>
      </c>
      <c r="F472" s="79">
        <f>VLOOKUP(C472,'Functional Assignment'!$C$2:$AP$780,'Functional Assignment'!$L$2,)</f>
        <v>0</v>
      </c>
      <c r="G472" s="79">
        <f t="shared" si="213"/>
        <v>0</v>
      </c>
      <c r="H472" s="79">
        <f t="shared" si="213"/>
        <v>0</v>
      </c>
      <c r="I472" s="79">
        <f t="shared" si="213"/>
        <v>0</v>
      </c>
      <c r="J472" s="79">
        <f t="shared" si="213"/>
        <v>0</v>
      </c>
      <c r="K472" s="79">
        <f t="shared" si="213"/>
        <v>0</v>
      </c>
      <c r="L472" s="79">
        <f t="shared" si="213"/>
        <v>0</v>
      </c>
      <c r="M472" s="79">
        <f t="shared" si="213"/>
        <v>0</v>
      </c>
      <c r="N472" s="79">
        <f t="shared" si="213"/>
        <v>0</v>
      </c>
      <c r="O472" s="79">
        <f t="shared" si="213"/>
        <v>0</v>
      </c>
      <c r="P472" s="79">
        <f t="shared" si="213"/>
        <v>0</v>
      </c>
      <c r="Q472" s="79">
        <f t="shared" si="214"/>
        <v>0</v>
      </c>
      <c r="R472" s="79">
        <f t="shared" si="214"/>
        <v>0</v>
      </c>
      <c r="S472" s="79">
        <f t="shared" si="214"/>
        <v>0</v>
      </c>
      <c r="T472" s="79">
        <f t="shared" si="214"/>
        <v>0</v>
      </c>
      <c r="U472" s="79">
        <f t="shared" si="214"/>
        <v>0</v>
      </c>
      <c r="V472" s="79">
        <f t="shared" si="214"/>
        <v>0</v>
      </c>
      <c r="W472" s="79">
        <f t="shared" si="214"/>
        <v>0</v>
      </c>
      <c r="X472" s="63">
        <f t="shared" si="214"/>
        <v>0</v>
      </c>
      <c r="Y472" s="63">
        <f t="shared" si="214"/>
        <v>0</v>
      </c>
      <c r="Z472" s="63">
        <f t="shared" si="214"/>
        <v>0</v>
      </c>
      <c r="AA472" s="63">
        <f t="shared" si="215"/>
        <v>0</v>
      </c>
      <c r="AB472" s="58" t="str">
        <f t="shared" si="216"/>
        <v>ok</v>
      </c>
    </row>
    <row r="473" spans="1:28">
      <c r="A473" s="68" t="s">
        <v>1258</v>
      </c>
      <c r="C473" s="60" t="s">
        <v>1074</v>
      </c>
      <c r="D473" s="60" t="s">
        <v>539</v>
      </c>
      <c r="E473" s="60" t="s">
        <v>1091</v>
      </c>
      <c r="F473" s="79">
        <f>VLOOKUP(C473,'Functional Assignment'!$C$2:$AP$780,'Functional Assignment'!$M$2,)</f>
        <v>0</v>
      </c>
      <c r="G473" s="79">
        <f t="shared" si="213"/>
        <v>0</v>
      </c>
      <c r="H473" s="79">
        <f t="shared" si="213"/>
        <v>0</v>
      </c>
      <c r="I473" s="79">
        <f t="shared" si="213"/>
        <v>0</v>
      </c>
      <c r="J473" s="79">
        <f t="shared" si="213"/>
        <v>0</v>
      </c>
      <c r="K473" s="79">
        <f t="shared" si="213"/>
        <v>0</v>
      </c>
      <c r="L473" s="79">
        <f t="shared" si="213"/>
        <v>0</v>
      </c>
      <c r="M473" s="79">
        <f t="shared" si="213"/>
        <v>0</v>
      </c>
      <c r="N473" s="79">
        <f t="shared" si="213"/>
        <v>0</v>
      </c>
      <c r="O473" s="79">
        <f t="shared" si="213"/>
        <v>0</v>
      </c>
      <c r="P473" s="79">
        <f t="shared" si="213"/>
        <v>0</v>
      </c>
      <c r="Q473" s="79">
        <f t="shared" si="214"/>
        <v>0</v>
      </c>
      <c r="R473" s="79">
        <f t="shared" si="214"/>
        <v>0</v>
      </c>
      <c r="S473" s="79">
        <f t="shared" si="214"/>
        <v>0</v>
      </c>
      <c r="T473" s="79">
        <f t="shared" si="214"/>
        <v>0</v>
      </c>
      <c r="U473" s="79">
        <f t="shared" si="214"/>
        <v>0</v>
      </c>
      <c r="V473" s="79">
        <f t="shared" si="214"/>
        <v>0</v>
      </c>
      <c r="W473" s="79">
        <f t="shared" si="214"/>
        <v>0</v>
      </c>
      <c r="X473" s="63">
        <f t="shared" si="214"/>
        <v>0</v>
      </c>
      <c r="Y473" s="63">
        <f t="shared" si="214"/>
        <v>0</v>
      </c>
      <c r="Z473" s="63">
        <f t="shared" si="214"/>
        <v>0</v>
      </c>
      <c r="AA473" s="63">
        <f t="shared" si="215"/>
        <v>0</v>
      </c>
      <c r="AB473" s="58" t="str">
        <f t="shared" si="216"/>
        <v>ok</v>
      </c>
    </row>
    <row r="474" spans="1:28">
      <c r="A474" s="60" t="s">
        <v>387</v>
      </c>
      <c r="D474" s="60" t="s">
        <v>540</v>
      </c>
      <c r="F474" s="76">
        <f>SUM(F468:F473)</f>
        <v>18294773.115664475</v>
      </c>
      <c r="G474" s="76">
        <f t="shared" ref="G474:P474" si="217">SUM(G468:G473)</f>
        <v>7209025.7340533473</v>
      </c>
      <c r="H474" s="76">
        <f t="shared" si="217"/>
        <v>2426150.5490213865</v>
      </c>
      <c r="I474" s="76">
        <f t="shared" si="217"/>
        <v>0</v>
      </c>
      <c r="J474" s="76">
        <f t="shared" si="217"/>
        <v>222837.92181966209</v>
      </c>
      <c r="K474" s="76">
        <f t="shared" si="217"/>
        <v>2875464.3471415378</v>
      </c>
      <c r="L474" s="76">
        <f t="shared" si="217"/>
        <v>0</v>
      </c>
      <c r="M474" s="76">
        <f t="shared" si="217"/>
        <v>0</v>
      </c>
      <c r="N474" s="76">
        <f t="shared" si="217"/>
        <v>2426585.9159643585</v>
      </c>
      <c r="O474" s="76">
        <f>SUM(O468:O473)</f>
        <v>1403207.4132451979</v>
      </c>
      <c r="P474" s="76">
        <f t="shared" si="217"/>
        <v>1448719.4390618554</v>
      </c>
      <c r="Q474" s="76">
        <f t="shared" ref="Q474:W474" si="218">SUM(Q468:Q473)</f>
        <v>153642.02885858738</v>
      </c>
      <c r="R474" s="76">
        <f t="shared" si="218"/>
        <v>68114.85556067602</v>
      </c>
      <c r="S474" s="76">
        <f t="shared" si="218"/>
        <v>55400.49623411303</v>
      </c>
      <c r="T474" s="76">
        <f t="shared" si="218"/>
        <v>1805.8479451472642</v>
      </c>
      <c r="U474" s="76">
        <f t="shared" si="218"/>
        <v>3818.5667586041486</v>
      </c>
      <c r="V474" s="76">
        <f t="shared" si="218"/>
        <v>0</v>
      </c>
      <c r="W474" s="76">
        <f t="shared" si="218"/>
        <v>0</v>
      </c>
      <c r="X474" s="62">
        <f>SUM(X468:X473)</f>
        <v>0</v>
      </c>
      <c r="Y474" s="62">
        <f>SUM(Y468:Y473)</f>
        <v>0</v>
      </c>
      <c r="Z474" s="62">
        <f>SUM(Z468:Z473)</f>
        <v>0</v>
      </c>
      <c r="AA474" s="64">
        <f t="shared" si="215"/>
        <v>18294773.115664467</v>
      </c>
      <c r="AB474" s="58" t="str">
        <f t="shared" si="216"/>
        <v>ok</v>
      </c>
    </row>
    <row r="475" spans="1:28">
      <c r="F475" s="79"/>
      <c r="G475" s="79"/>
    </row>
    <row r="476" spans="1:28" ht="15">
      <c r="A476" s="65" t="s">
        <v>1131</v>
      </c>
      <c r="F476" s="79"/>
      <c r="G476" s="79"/>
    </row>
    <row r="477" spans="1:28">
      <c r="A477" s="68" t="s">
        <v>1363</v>
      </c>
      <c r="C477" s="60" t="s">
        <v>1074</v>
      </c>
      <c r="D477" s="60" t="s">
        <v>541</v>
      </c>
      <c r="E477" s="60" t="s">
        <v>1367</v>
      </c>
      <c r="F477" s="76">
        <f>VLOOKUP(C477,'Functional Assignment'!$C$2:$AP$780,'Functional Assignment'!$N$2,)</f>
        <v>3464936.7094208836</v>
      </c>
      <c r="G477" s="76">
        <f t="shared" ref="G477:P479" si="219">IF(VLOOKUP($E477,$D$6:$AN$1131,3,)=0,0,(VLOOKUP($E477,$D$6:$AN$1131,G$2,)/VLOOKUP($E477,$D$6:$AN$1131,3,))*$F477)</f>
        <v>1539775.9588957594</v>
      </c>
      <c r="H477" s="76">
        <f t="shared" si="219"/>
        <v>443220.22363264218</v>
      </c>
      <c r="I477" s="76">
        <f t="shared" si="219"/>
        <v>0</v>
      </c>
      <c r="J477" s="76">
        <f t="shared" si="219"/>
        <v>39380.504978614452</v>
      </c>
      <c r="K477" s="76">
        <f t="shared" si="219"/>
        <v>457074.0912242984</v>
      </c>
      <c r="L477" s="76">
        <f t="shared" si="219"/>
        <v>0</v>
      </c>
      <c r="M477" s="76">
        <f t="shared" si="219"/>
        <v>0</v>
      </c>
      <c r="N477" s="76">
        <f t="shared" si="219"/>
        <v>415797.94747155847</v>
      </c>
      <c r="O477" s="76">
        <f t="shared" si="219"/>
        <v>246878.99904519375</v>
      </c>
      <c r="P477" s="76">
        <f t="shared" si="219"/>
        <v>255721.62865599897</v>
      </c>
      <c r="Q477" s="76">
        <f t="shared" ref="Q477:Z479" si="220">IF(VLOOKUP($E477,$D$6:$AN$1131,3,)=0,0,(VLOOKUP($E477,$D$6:$AN$1131,Q$2,)/VLOOKUP($E477,$D$6:$AN$1131,3,))*$F477)</f>
        <v>25777.866092265445</v>
      </c>
      <c r="R477" s="76">
        <f t="shared" si="220"/>
        <v>13492.505982881619</v>
      </c>
      <c r="S477" s="76">
        <f t="shared" si="220"/>
        <v>26579.643643465304</v>
      </c>
      <c r="T477" s="76">
        <f t="shared" si="220"/>
        <v>850.09372977657756</v>
      </c>
      <c r="U477" s="76">
        <f t="shared" si="220"/>
        <v>387.24606842956462</v>
      </c>
      <c r="V477" s="76">
        <f t="shared" si="220"/>
        <v>0</v>
      </c>
      <c r="W477" s="76">
        <f t="shared" si="220"/>
        <v>0</v>
      </c>
      <c r="X477" s="62">
        <f t="shared" si="220"/>
        <v>0</v>
      </c>
      <c r="Y477" s="62">
        <f t="shared" si="220"/>
        <v>0</v>
      </c>
      <c r="Z477" s="62">
        <f t="shared" si="220"/>
        <v>0</v>
      </c>
      <c r="AA477" s="64">
        <f>SUM(G477:Z477)</f>
        <v>3464936.7094208845</v>
      </c>
      <c r="AB477" s="58" t="str">
        <f>IF(ABS(F477-AA477)&lt;0.01,"ok","err")</f>
        <v>ok</v>
      </c>
    </row>
    <row r="478" spans="1:28" hidden="1">
      <c r="A478" s="68" t="s">
        <v>1364</v>
      </c>
      <c r="C478" s="60" t="s">
        <v>1074</v>
      </c>
      <c r="D478" s="60" t="s">
        <v>542</v>
      </c>
      <c r="E478" s="60" t="s">
        <v>188</v>
      </c>
      <c r="F478" s="79">
        <f>VLOOKUP(C478,'Functional Assignment'!$C$2:$AP$780,'Functional Assignment'!$O$2,)</f>
        <v>0</v>
      </c>
      <c r="G478" s="79">
        <f t="shared" si="219"/>
        <v>0</v>
      </c>
      <c r="H478" s="79">
        <f t="shared" si="219"/>
        <v>0</v>
      </c>
      <c r="I478" s="79">
        <f t="shared" si="219"/>
        <v>0</v>
      </c>
      <c r="J478" s="79">
        <f t="shared" si="219"/>
        <v>0</v>
      </c>
      <c r="K478" s="79">
        <f t="shared" si="219"/>
        <v>0</v>
      </c>
      <c r="L478" s="79">
        <f t="shared" si="219"/>
        <v>0</v>
      </c>
      <c r="M478" s="79">
        <f t="shared" si="219"/>
        <v>0</v>
      </c>
      <c r="N478" s="79">
        <f t="shared" si="219"/>
        <v>0</v>
      </c>
      <c r="O478" s="79">
        <f t="shared" si="219"/>
        <v>0</v>
      </c>
      <c r="P478" s="79">
        <f t="shared" si="219"/>
        <v>0</v>
      </c>
      <c r="Q478" s="79">
        <f t="shared" si="220"/>
        <v>0</v>
      </c>
      <c r="R478" s="79">
        <f t="shared" si="220"/>
        <v>0</v>
      </c>
      <c r="S478" s="79">
        <f t="shared" si="220"/>
        <v>0</v>
      </c>
      <c r="T478" s="79">
        <f t="shared" si="220"/>
        <v>0</v>
      </c>
      <c r="U478" s="79">
        <f t="shared" si="220"/>
        <v>0</v>
      </c>
      <c r="V478" s="79">
        <f t="shared" si="220"/>
        <v>0</v>
      </c>
      <c r="W478" s="79">
        <f t="shared" si="220"/>
        <v>0</v>
      </c>
      <c r="X478" s="63">
        <f t="shared" si="220"/>
        <v>0</v>
      </c>
      <c r="Y478" s="63">
        <f t="shared" si="220"/>
        <v>0</v>
      </c>
      <c r="Z478" s="63">
        <f t="shared" si="220"/>
        <v>0</v>
      </c>
      <c r="AA478" s="63">
        <f>SUM(G478:Z478)</f>
        <v>0</v>
      </c>
      <c r="AB478" s="58" t="str">
        <f>IF(ABS(F478-AA478)&lt;0.01,"ok","err")</f>
        <v>ok</v>
      </c>
    </row>
    <row r="479" spans="1:28" hidden="1">
      <c r="A479" s="68" t="s">
        <v>1364</v>
      </c>
      <c r="C479" s="60" t="s">
        <v>1074</v>
      </c>
      <c r="D479" s="60" t="s">
        <v>543</v>
      </c>
      <c r="E479" s="60" t="s">
        <v>191</v>
      </c>
      <c r="F479" s="79">
        <f>VLOOKUP(C479,'Functional Assignment'!$C$2:$AP$780,'Functional Assignment'!$P$2,)</f>
        <v>0</v>
      </c>
      <c r="G479" s="79">
        <f t="shared" si="219"/>
        <v>0</v>
      </c>
      <c r="H479" s="79">
        <f t="shared" si="219"/>
        <v>0</v>
      </c>
      <c r="I479" s="79">
        <f t="shared" si="219"/>
        <v>0</v>
      </c>
      <c r="J479" s="79">
        <f t="shared" si="219"/>
        <v>0</v>
      </c>
      <c r="K479" s="79">
        <f t="shared" si="219"/>
        <v>0</v>
      </c>
      <c r="L479" s="79">
        <f t="shared" si="219"/>
        <v>0</v>
      </c>
      <c r="M479" s="79">
        <f t="shared" si="219"/>
        <v>0</v>
      </c>
      <c r="N479" s="79">
        <f t="shared" si="219"/>
        <v>0</v>
      </c>
      <c r="O479" s="79">
        <f t="shared" si="219"/>
        <v>0</v>
      </c>
      <c r="P479" s="79">
        <f t="shared" si="219"/>
        <v>0</v>
      </c>
      <c r="Q479" s="79">
        <f t="shared" si="220"/>
        <v>0</v>
      </c>
      <c r="R479" s="79">
        <f t="shared" si="220"/>
        <v>0</v>
      </c>
      <c r="S479" s="79">
        <f t="shared" si="220"/>
        <v>0</v>
      </c>
      <c r="T479" s="79">
        <f t="shared" si="220"/>
        <v>0</v>
      </c>
      <c r="U479" s="79">
        <f t="shared" si="220"/>
        <v>0</v>
      </c>
      <c r="V479" s="79">
        <f t="shared" si="220"/>
        <v>0</v>
      </c>
      <c r="W479" s="79">
        <f t="shared" si="220"/>
        <v>0</v>
      </c>
      <c r="X479" s="63">
        <f t="shared" si="220"/>
        <v>0</v>
      </c>
      <c r="Y479" s="63">
        <f t="shared" si="220"/>
        <v>0</v>
      </c>
      <c r="Z479" s="63">
        <f t="shared" si="220"/>
        <v>0</v>
      </c>
      <c r="AA479" s="63">
        <f>SUM(G479:Z479)</f>
        <v>0</v>
      </c>
      <c r="AB479" s="58" t="str">
        <f>IF(ABS(F479-AA479)&lt;0.01,"ok","err")</f>
        <v>ok</v>
      </c>
    </row>
    <row r="480" spans="1:28" hidden="1">
      <c r="A480" s="60" t="s">
        <v>1133</v>
      </c>
      <c r="D480" s="60" t="s">
        <v>544</v>
      </c>
      <c r="F480" s="76">
        <f>SUM(F477:F479)</f>
        <v>3464936.7094208836</v>
      </c>
      <c r="G480" s="76">
        <f t="shared" ref="G480:W480" si="221">SUM(G477:G479)</f>
        <v>1539775.9588957594</v>
      </c>
      <c r="H480" s="76">
        <f t="shared" si="221"/>
        <v>443220.22363264218</v>
      </c>
      <c r="I480" s="76">
        <f t="shared" si="221"/>
        <v>0</v>
      </c>
      <c r="J480" s="76">
        <f t="shared" si="221"/>
        <v>39380.504978614452</v>
      </c>
      <c r="K480" s="76">
        <f t="shared" si="221"/>
        <v>457074.0912242984</v>
      </c>
      <c r="L480" s="76">
        <f t="shared" si="221"/>
        <v>0</v>
      </c>
      <c r="M480" s="76">
        <f t="shared" si="221"/>
        <v>0</v>
      </c>
      <c r="N480" s="76">
        <f t="shared" si="221"/>
        <v>415797.94747155847</v>
      </c>
      <c r="O480" s="76">
        <f>SUM(O477:O479)</f>
        <v>246878.99904519375</v>
      </c>
      <c r="P480" s="76">
        <f t="shared" si="221"/>
        <v>255721.62865599897</v>
      </c>
      <c r="Q480" s="76">
        <f t="shared" si="221"/>
        <v>25777.866092265445</v>
      </c>
      <c r="R480" s="76">
        <f t="shared" si="221"/>
        <v>13492.505982881619</v>
      </c>
      <c r="S480" s="76">
        <f t="shared" si="221"/>
        <v>26579.643643465304</v>
      </c>
      <c r="T480" s="76">
        <f t="shared" si="221"/>
        <v>850.09372977657756</v>
      </c>
      <c r="U480" s="76">
        <f t="shared" si="221"/>
        <v>387.24606842956462</v>
      </c>
      <c r="V480" s="76">
        <f t="shared" si="221"/>
        <v>0</v>
      </c>
      <c r="W480" s="76">
        <f t="shared" si="221"/>
        <v>0</v>
      </c>
      <c r="X480" s="62">
        <f>SUM(X477:X479)</f>
        <v>0</v>
      </c>
      <c r="Y480" s="62">
        <f>SUM(Y477:Y479)</f>
        <v>0</v>
      </c>
      <c r="Z480" s="62">
        <f>SUM(Z477:Z479)</f>
        <v>0</v>
      </c>
      <c r="AA480" s="64">
        <f>SUM(G480:Z480)</f>
        <v>3464936.7094208845</v>
      </c>
      <c r="AB480" s="58" t="str">
        <f>IF(ABS(F480-AA480)&lt;0.01,"ok","err")</f>
        <v>ok</v>
      </c>
    </row>
    <row r="481" spans="1:28">
      <c r="F481" s="79"/>
      <c r="G481" s="79"/>
    </row>
    <row r="482" spans="1:28" ht="15">
      <c r="A482" s="65" t="s">
        <v>348</v>
      </c>
      <c r="F482" s="79"/>
      <c r="G482" s="79"/>
    </row>
    <row r="483" spans="1:28">
      <c r="A483" s="68" t="s">
        <v>372</v>
      </c>
      <c r="C483" s="60" t="s">
        <v>1074</v>
      </c>
      <c r="D483" s="60" t="s">
        <v>545</v>
      </c>
      <c r="E483" s="60" t="s">
        <v>1368</v>
      </c>
      <c r="F483" s="76">
        <f>VLOOKUP(C483,'Functional Assignment'!$C$2:$AP$780,'Functional Assignment'!$Q$2,)</f>
        <v>0</v>
      </c>
      <c r="G483" s="76">
        <f t="shared" ref="G483:Z483" si="222">IF(VLOOKUP($E483,$D$6:$AN$1131,3,)=0,0,(VLOOKUP($E483,$D$6:$AN$1131,G$2,)/VLOOKUP($E483,$D$6:$AN$1131,3,))*$F483)</f>
        <v>0</v>
      </c>
      <c r="H483" s="76">
        <f t="shared" si="222"/>
        <v>0</v>
      </c>
      <c r="I483" s="76">
        <f t="shared" si="222"/>
        <v>0</v>
      </c>
      <c r="J483" s="76">
        <f t="shared" si="222"/>
        <v>0</v>
      </c>
      <c r="K483" s="76">
        <f t="shared" si="222"/>
        <v>0</v>
      </c>
      <c r="L483" s="76">
        <f t="shared" si="222"/>
        <v>0</v>
      </c>
      <c r="M483" s="76">
        <f t="shared" si="222"/>
        <v>0</v>
      </c>
      <c r="N483" s="76">
        <f t="shared" si="222"/>
        <v>0</v>
      </c>
      <c r="O483" s="76">
        <f t="shared" si="222"/>
        <v>0</v>
      </c>
      <c r="P483" s="76">
        <f t="shared" si="222"/>
        <v>0</v>
      </c>
      <c r="Q483" s="76">
        <f t="shared" si="222"/>
        <v>0</v>
      </c>
      <c r="R483" s="76">
        <f t="shared" si="222"/>
        <v>0</v>
      </c>
      <c r="S483" s="76">
        <f t="shared" si="222"/>
        <v>0</v>
      </c>
      <c r="T483" s="76">
        <f t="shared" si="222"/>
        <v>0</v>
      </c>
      <c r="U483" s="76">
        <f t="shared" si="222"/>
        <v>0</v>
      </c>
      <c r="V483" s="76">
        <f t="shared" si="222"/>
        <v>0</v>
      </c>
      <c r="W483" s="76">
        <f t="shared" si="222"/>
        <v>0</v>
      </c>
      <c r="X483" s="62">
        <f t="shared" si="222"/>
        <v>0</v>
      </c>
      <c r="Y483" s="62">
        <f t="shared" si="222"/>
        <v>0</v>
      </c>
      <c r="Z483" s="62">
        <f t="shared" si="222"/>
        <v>0</v>
      </c>
      <c r="AA483" s="64">
        <f>SUM(G483:Z483)</f>
        <v>0</v>
      </c>
      <c r="AB483" s="58" t="str">
        <f>IF(ABS(F483-AA483)&lt;0.01,"ok","err")</f>
        <v>ok</v>
      </c>
    </row>
    <row r="484" spans="1:28">
      <c r="F484" s="79"/>
    </row>
    <row r="485" spans="1:28" ht="15">
      <c r="A485" s="65" t="s">
        <v>349</v>
      </c>
      <c r="F485" s="79"/>
      <c r="G485" s="79"/>
    </row>
    <row r="486" spans="1:28">
      <c r="A486" s="68" t="s">
        <v>374</v>
      </c>
      <c r="C486" s="60" t="s">
        <v>1074</v>
      </c>
      <c r="D486" s="60" t="s">
        <v>546</v>
      </c>
      <c r="E486" s="60" t="s">
        <v>1368</v>
      </c>
      <c r="F486" s="76">
        <f>VLOOKUP(C486,'Functional Assignment'!$C$2:$AP$780,'Functional Assignment'!$R$2,)</f>
        <v>1206640.0129257792</v>
      </c>
      <c r="G486" s="76">
        <f t="shared" ref="G486:Z486" si="223">IF(VLOOKUP($E486,$D$6:$AN$1131,3,)=0,0,(VLOOKUP($E486,$D$6:$AN$1131,G$2,)/VLOOKUP($E486,$D$6:$AN$1131,3,))*$F486)</f>
        <v>578943.83398633345</v>
      </c>
      <c r="H486" s="76">
        <f t="shared" si="223"/>
        <v>166647.37105921618</v>
      </c>
      <c r="I486" s="76">
        <f t="shared" si="223"/>
        <v>0</v>
      </c>
      <c r="J486" s="76">
        <f t="shared" si="223"/>
        <v>14806.76484453438</v>
      </c>
      <c r="K486" s="76">
        <f t="shared" si="223"/>
        <v>171856.31796653406</v>
      </c>
      <c r="L486" s="76">
        <f t="shared" si="223"/>
        <v>0</v>
      </c>
      <c r="M486" s="76">
        <f t="shared" si="223"/>
        <v>0</v>
      </c>
      <c r="N486" s="76">
        <f t="shared" si="223"/>
        <v>156336.80762587409</v>
      </c>
      <c r="O486" s="76">
        <f t="shared" si="223"/>
        <v>92824.591403825718</v>
      </c>
      <c r="P486" s="76">
        <f t="shared" si="223"/>
        <v>0</v>
      </c>
      <c r="Q486" s="76">
        <f t="shared" si="223"/>
        <v>9692.2779844835768</v>
      </c>
      <c r="R486" s="76">
        <f t="shared" si="223"/>
        <v>5073.077741397472</v>
      </c>
      <c r="S486" s="76">
        <f t="shared" si="223"/>
        <v>9993.7401334501774</v>
      </c>
      <c r="T486" s="76">
        <f t="shared" si="223"/>
        <v>319.62865787146131</v>
      </c>
      <c r="U486" s="76">
        <f t="shared" si="223"/>
        <v>145.60152225881308</v>
      </c>
      <c r="V486" s="76">
        <f t="shared" si="223"/>
        <v>0</v>
      </c>
      <c r="W486" s="76">
        <f t="shared" si="223"/>
        <v>0</v>
      </c>
      <c r="X486" s="62">
        <f t="shared" si="223"/>
        <v>0</v>
      </c>
      <c r="Y486" s="62">
        <f t="shared" si="223"/>
        <v>0</v>
      </c>
      <c r="Z486" s="62">
        <f t="shared" si="223"/>
        <v>0</v>
      </c>
      <c r="AA486" s="64">
        <f>SUM(G486:Z486)</f>
        <v>1206640.0129257792</v>
      </c>
      <c r="AB486" s="58" t="str">
        <f>IF(ABS(F486-AA486)&lt;0.01,"ok","err")</f>
        <v>ok</v>
      </c>
    </row>
    <row r="487" spans="1:28">
      <c r="F487" s="79"/>
    </row>
    <row r="488" spans="1:28" ht="15">
      <c r="A488" s="65" t="s">
        <v>373</v>
      </c>
      <c r="F488" s="79"/>
    </row>
    <row r="489" spans="1:28">
      <c r="A489" s="68" t="s">
        <v>623</v>
      </c>
      <c r="C489" s="60" t="s">
        <v>1074</v>
      </c>
      <c r="D489" s="60" t="s">
        <v>547</v>
      </c>
      <c r="E489" s="60" t="s">
        <v>1368</v>
      </c>
      <c r="F489" s="76">
        <f>VLOOKUP(C489,'Functional Assignment'!$C$2:$AP$780,'Functional Assignment'!$S$2,)</f>
        <v>0</v>
      </c>
      <c r="G489" s="76">
        <f t="shared" ref="G489:P493" si="224">IF(VLOOKUP($E489,$D$6:$AN$1131,3,)=0,0,(VLOOKUP($E489,$D$6:$AN$1131,G$2,)/VLOOKUP($E489,$D$6:$AN$1131,3,))*$F489)</f>
        <v>0</v>
      </c>
      <c r="H489" s="76">
        <f t="shared" si="224"/>
        <v>0</v>
      </c>
      <c r="I489" s="76">
        <f t="shared" si="224"/>
        <v>0</v>
      </c>
      <c r="J489" s="76">
        <f t="shared" si="224"/>
        <v>0</v>
      </c>
      <c r="K489" s="76">
        <f t="shared" si="224"/>
        <v>0</v>
      </c>
      <c r="L489" s="76">
        <f t="shared" si="224"/>
        <v>0</v>
      </c>
      <c r="M489" s="76">
        <f t="shared" si="224"/>
        <v>0</v>
      </c>
      <c r="N489" s="76">
        <f t="shared" si="224"/>
        <v>0</v>
      </c>
      <c r="O489" s="76">
        <f t="shared" si="224"/>
        <v>0</v>
      </c>
      <c r="P489" s="76">
        <f t="shared" si="224"/>
        <v>0</v>
      </c>
      <c r="Q489" s="76">
        <f t="shared" ref="Q489:Z493" si="225">IF(VLOOKUP($E489,$D$6:$AN$1131,3,)=0,0,(VLOOKUP($E489,$D$6:$AN$1131,Q$2,)/VLOOKUP($E489,$D$6:$AN$1131,3,))*$F489)</f>
        <v>0</v>
      </c>
      <c r="R489" s="76">
        <f t="shared" si="225"/>
        <v>0</v>
      </c>
      <c r="S489" s="76">
        <f t="shared" si="225"/>
        <v>0</v>
      </c>
      <c r="T489" s="76">
        <f t="shared" si="225"/>
        <v>0</v>
      </c>
      <c r="U489" s="76">
        <f t="shared" si="225"/>
        <v>0</v>
      </c>
      <c r="V489" s="76">
        <f t="shared" si="225"/>
        <v>0</v>
      </c>
      <c r="W489" s="76">
        <f t="shared" si="225"/>
        <v>0</v>
      </c>
      <c r="X489" s="62">
        <f t="shared" si="225"/>
        <v>0</v>
      </c>
      <c r="Y489" s="62">
        <f t="shared" si="225"/>
        <v>0</v>
      </c>
      <c r="Z489" s="62">
        <f t="shared" si="225"/>
        <v>0</v>
      </c>
      <c r="AA489" s="64">
        <f t="shared" ref="AA489:AA494" si="226">SUM(G489:Z489)</f>
        <v>0</v>
      </c>
      <c r="AB489" s="58" t="str">
        <f t="shared" ref="AB489:AB494" si="227">IF(ABS(F489-AA489)&lt;0.01,"ok","err")</f>
        <v>ok</v>
      </c>
    </row>
    <row r="490" spans="1:28">
      <c r="A490" s="68" t="s">
        <v>624</v>
      </c>
      <c r="C490" s="60" t="s">
        <v>1074</v>
      </c>
      <c r="D490" s="60" t="s">
        <v>548</v>
      </c>
      <c r="E490" s="60" t="s">
        <v>1368</v>
      </c>
      <c r="F490" s="79">
        <f>VLOOKUP(C490,'Functional Assignment'!$C$2:$AP$780,'Functional Assignment'!$T$2,)</f>
        <v>2063478.5371666257</v>
      </c>
      <c r="G490" s="79">
        <f t="shared" si="224"/>
        <v>990053.50631385006</v>
      </c>
      <c r="H490" s="79">
        <f t="shared" si="224"/>
        <v>284984.14586976491</v>
      </c>
      <c r="I490" s="79">
        <f t="shared" si="224"/>
        <v>0</v>
      </c>
      <c r="J490" s="79">
        <f t="shared" si="224"/>
        <v>25321.090908866929</v>
      </c>
      <c r="K490" s="79">
        <f t="shared" si="224"/>
        <v>293891.98087386735</v>
      </c>
      <c r="L490" s="79">
        <f t="shared" si="224"/>
        <v>0</v>
      </c>
      <c r="M490" s="79">
        <f t="shared" si="224"/>
        <v>0</v>
      </c>
      <c r="N490" s="79">
        <f t="shared" si="224"/>
        <v>267352.02185358154</v>
      </c>
      <c r="O490" s="79">
        <f t="shared" si="224"/>
        <v>158739.59924353828</v>
      </c>
      <c r="P490" s="79">
        <f t="shared" si="224"/>
        <v>0</v>
      </c>
      <c r="Q490" s="79">
        <f t="shared" si="225"/>
        <v>16574.792301757243</v>
      </c>
      <c r="R490" s="79">
        <f t="shared" si="225"/>
        <v>8675.4847548680846</v>
      </c>
      <c r="S490" s="79">
        <f t="shared" si="225"/>
        <v>17090.323584904712</v>
      </c>
      <c r="T490" s="79">
        <f t="shared" si="225"/>
        <v>546.59788198297031</v>
      </c>
      <c r="U490" s="79">
        <f t="shared" si="225"/>
        <v>248.99357964381545</v>
      </c>
      <c r="V490" s="79">
        <f t="shared" si="225"/>
        <v>0</v>
      </c>
      <c r="W490" s="79">
        <f t="shared" si="225"/>
        <v>0</v>
      </c>
      <c r="X490" s="63">
        <f t="shared" si="225"/>
        <v>0</v>
      </c>
      <c r="Y490" s="63">
        <f t="shared" si="225"/>
        <v>0</v>
      </c>
      <c r="Z490" s="63">
        <f t="shared" si="225"/>
        <v>0</v>
      </c>
      <c r="AA490" s="63">
        <f t="shared" si="226"/>
        <v>2063478.5371666257</v>
      </c>
      <c r="AB490" s="58" t="str">
        <f t="shared" si="227"/>
        <v>ok</v>
      </c>
    </row>
    <row r="491" spans="1:28">
      <c r="A491" s="68" t="s">
        <v>625</v>
      </c>
      <c r="C491" s="60" t="s">
        <v>1074</v>
      </c>
      <c r="D491" s="60" t="s">
        <v>549</v>
      </c>
      <c r="E491" s="60" t="s">
        <v>698</v>
      </c>
      <c r="F491" s="79">
        <f>VLOOKUP(C491,'Functional Assignment'!$C$2:$AP$780,'Functional Assignment'!$U$2,)</f>
        <v>3283761.2807699526</v>
      </c>
      <c r="G491" s="79">
        <f t="shared" si="224"/>
        <v>2830974.0632652221</v>
      </c>
      <c r="H491" s="79">
        <f t="shared" si="224"/>
        <v>351720.8173370958</v>
      </c>
      <c r="I491" s="79">
        <f t="shared" si="224"/>
        <v>0</v>
      </c>
      <c r="J491" s="79">
        <f t="shared" si="224"/>
        <v>559.80500139865376</v>
      </c>
      <c r="K491" s="79">
        <f t="shared" si="224"/>
        <v>21958.092010880064</v>
      </c>
      <c r="L491" s="79">
        <f t="shared" si="224"/>
        <v>0</v>
      </c>
      <c r="M491" s="79">
        <f t="shared" si="224"/>
        <v>0</v>
      </c>
      <c r="N491" s="79">
        <f t="shared" si="224"/>
        <v>820.26982843830513</v>
      </c>
      <c r="O491" s="79">
        <f t="shared" si="224"/>
        <v>2145.9191720281729</v>
      </c>
      <c r="P491" s="79">
        <f t="shared" si="224"/>
        <v>0</v>
      </c>
      <c r="Q491" s="79">
        <f t="shared" si="225"/>
        <v>7.7750694638701905</v>
      </c>
      <c r="R491" s="79">
        <f t="shared" si="225"/>
        <v>7.7750694638701905</v>
      </c>
      <c r="S491" s="79">
        <f t="shared" si="225"/>
        <v>74642.394646368019</v>
      </c>
      <c r="T491" s="79">
        <f t="shared" si="225"/>
        <v>142.54294017095347</v>
      </c>
      <c r="U491" s="79">
        <f t="shared" si="225"/>
        <v>781.82642942250254</v>
      </c>
      <c r="V491" s="79">
        <f t="shared" si="225"/>
        <v>0</v>
      </c>
      <c r="W491" s="79">
        <f t="shared" si="225"/>
        <v>0</v>
      </c>
      <c r="X491" s="63">
        <f t="shared" si="225"/>
        <v>0</v>
      </c>
      <c r="Y491" s="63">
        <f t="shared" si="225"/>
        <v>0</v>
      </c>
      <c r="Z491" s="63">
        <f t="shared" si="225"/>
        <v>0</v>
      </c>
      <c r="AA491" s="63">
        <f t="shared" si="226"/>
        <v>3283761.2807699521</v>
      </c>
      <c r="AB491" s="58" t="str">
        <f t="shared" si="227"/>
        <v>ok</v>
      </c>
    </row>
    <row r="492" spans="1:28">
      <c r="A492" s="68" t="s">
        <v>626</v>
      </c>
      <c r="C492" s="60" t="s">
        <v>1074</v>
      </c>
      <c r="D492" s="60" t="s">
        <v>550</v>
      </c>
      <c r="E492" s="60" t="s">
        <v>678</v>
      </c>
      <c r="F492" s="79">
        <f>VLOOKUP(C492,'Functional Assignment'!$C$2:$AP$780,'Functional Assignment'!$V$2,)</f>
        <v>567258.00445145834</v>
      </c>
      <c r="G492" s="79">
        <f t="shared" si="224"/>
        <v>476047.4660236318</v>
      </c>
      <c r="H492" s="79">
        <f t="shared" si="224"/>
        <v>87114.539153384336</v>
      </c>
      <c r="I492" s="79">
        <f t="shared" si="224"/>
        <v>0</v>
      </c>
      <c r="J492" s="79">
        <f t="shared" si="224"/>
        <v>0</v>
      </c>
      <c r="K492" s="79">
        <f t="shared" si="224"/>
        <v>0</v>
      </c>
      <c r="L492" s="79">
        <f t="shared" si="224"/>
        <v>0</v>
      </c>
      <c r="M492" s="79">
        <f t="shared" si="224"/>
        <v>0</v>
      </c>
      <c r="N492" s="79">
        <f t="shared" si="224"/>
        <v>0</v>
      </c>
      <c r="O492" s="79">
        <f t="shared" si="224"/>
        <v>0</v>
      </c>
      <c r="P492" s="79">
        <f t="shared" si="224"/>
        <v>0</v>
      </c>
      <c r="Q492" s="79">
        <f t="shared" si="225"/>
        <v>0</v>
      </c>
      <c r="R492" s="79">
        <f t="shared" si="225"/>
        <v>0</v>
      </c>
      <c r="S492" s="79">
        <f t="shared" si="225"/>
        <v>3913.8032816122345</v>
      </c>
      <c r="T492" s="79">
        <f t="shared" si="225"/>
        <v>125.17472671592917</v>
      </c>
      <c r="U492" s="79">
        <f t="shared" si="225"/>
        <v>57.02126611406554</v>
      </c>
      <c r="V492" s="79">
        <f t="shared" si="225"/>
        <v>0</v>
      </c>
      <c r="W492" s="79">
        <f t="shared" si="225"/>
        <v>0</v>
      </c>
      <c r="X492" s="63">
        <f t="shared" si="225"/>
        <v>0</v>
      </c>
      <c r="Y492" s="63">
        <f t="shared" si="225"/>
        <v>0</v>
      </c>
      <c r="Z492" s="63">
        <f t="shared" si="225"/>
        <v>0</v>
      </c>
      <c r="AA492" s="63">
        <f t="shared" si="226"/>
        <v>567258.00445145834</v>
      </c>
      <c r="AB492" s="58" t="str">
        <f t="shared" si="227"/>
        <v>ok</v>
      </c>
    </row>
    <row r="493" spans="1:28">
      <c r="A493" s="68" t="s">
        <v>627</v>
      </c>
      <c r="C493" s="60" t="s">
        <v>1074</v>
      </c>
      <c r="D493" s="60" t="s">
        <v>551</v>
      </c>
      <c r="E493" s="60" t="s">
        <v>697</v>
      </c>
      <c r="F493" s="79">
        <f>VLOOKUP(C493,'Functional Assignment'!$C$2:$AP$780,'Functional Assignment'!$W$2,)</f>
        <v>862037.06715107756</v>
      </c>
      <c r="G493" s="79">
        <f t="shared" si="224"/>
        <v>748989.75124013587</v>
      </c>
      <c r="H493" s="79">
        <f t="shared" si="224"/>
        <v>93054.645360983835</v>
      </c>
      <c r="I493" s="79">
        <f t="shared" si="224"/>
        <v>0</v>
      </c>
      <c r="J493" s="79">
        <f t="shared" si="224"/>
        <v>0</v>
      </c>
      <c r="K493" s="79">
        <f t="shared" si="224"/>
        <v>0</v>
      </c>
      <c r="L493" s="79">
        <f t="shared" si="224"/>
        <v>0</v>
      </c>
      <c r="M493" s="79">
        <f t="shared" si="224"/>
        <v>0</v>
      </c>
      <c r="N493" s="79">
        <f t="shared" si="224"/>
        <v>0</v>
      </c>
      <c r="O493" s="79">
        <f t="shared" si="224"/>
        <v>0</v>
      </c>
      <c r="P493" s="79">
        <f t="shared" si="224"/>
        <v>0</v>
      </c>
      <c r="Q493" s="79">
        <f t="shared" si="225"/>
        <v>0</v>
      </c>
      <c r="R493" s="79">
        <f t="shared" si="225"/>
        <v>0</v>
      </c>
      <c r="S493" s="79">
        <f t="shared" si="225"/>
        <v>19748.110490870858</v>
      </c>
      <c r="T493" s="79">
        <f t="shared" si="225"/>
        <v>37.712532476027079</v>
      </c>
      <c r="U493" s="79">
        <f t="shared" si="225"/>
        <v>206.84752661093643</v>
      </c>
      <c r="V493" s="79">
        <f t="shared" si="225"/>
        <v>0</v>
      </c>
      <c r="W493" s="79">
        <f t="shared" si="225"/>
        <v>0</v>
      </c>
      <c r="X493" s="63">
        <f t="shared" si="225"/>
        <v>0</v>
      </c>
      <c r="Y493" s="63">
        <f t="shared" si="225"/>
        <v>0</v>
      </c>
      <c r="Z493" s="63">
        <f t="shared" si="225"/>
        <v>0</v>
      </c>
      <c r="AA493" s="63">
        <f t="shared" si="226"/>
        <v>862037.06715107756</v>
      </c>
      <c r="AB493" s="58" t="str">
        <f t="shared" si="227"/>
        <v>ok</v>
      </c>
    </row>
    <row r="494" spans="1:28">
      <c r="A494" s="60" t="s">
        <v>378</v>
      </c>
      <c r="D494" s="60" t="s">
        <v>552</v>
      </c>
      <c r="F494" s="76">
        <f>SUM(F489:F493)</f>
        <v>6776534.8895391151</v>
      </c>
      <c r="G494" s="76">
        <f t="shared" ref="G494:W494" si="228">SUM(G489:G493)</f>
        <v>5046064.7868428398</v>
      </c>
      <c r="H494" s="76">
        <f t="shared" si="228"/>
        <v>816874.14772122877</v>
      </c>
      <c r="I494" s="76">
        <f t="shared" si="228"/>
        <v>0</v>
      </c>
      <c r="J494" s="76">
        <f t="shared" si="228"/>
        <v>25880.895910265583</v>
      </c>
      <c r="K494" s="76">
        <f t="shared" si="228"/>
        <v>315850.07288474741</v>
      </c>
      <c r="L494" s="76">
        <f t="shared" si="228"/>
        <v>0</v>
      </c>
      <c r="M494" s="76">
        <f t="shared" si="228"/>
        <v>0</v>
      </c>
      <c r="N494" s="76">
        <f t="shared" si="228"/>
        <v>268172.29168201983</v>
      </c>
      <c r="O494" s="76">
        <f>SUM(O489:O493)</f>
        <v>160885.51841556645</v>
      </c>
      <c r="P494" s="76">
        <f t="shared" si="228"/>
        <v>0</v>
      </c>
      <c r="Q494" s="76">
        <f t="shared" si="228"/>
        <v>16582.567371221114</v>
      </c>
      <c r="R494" s="76">
        <f t="shared" si="228"/>
        <v>8683.2598243319553</v>
      </c>
      <c r="S494" s="76">
        <f t="shared" si="228"/>
        <v>115394.63200375583</v>
      </c>
      <c r="T494" s="76">
        <f t="shared" si="228"/>
        <v>852.02808134587997</v>
      </c>
      <c r="U494" s="76">
        <f t="shared" si="228"/>
        <v>1294.6888017913202</v>
      </c>
      <c r="V494" s="76">
        <f t="shared" si="228"/>
        <v>0</v>
      </c>
      <c r="W494" s="76">
        <f t="shared" si="228"/>
        <v>0</v>
      </c>
      <c r="X494" s="62">
        <f>SUM(X489:X493)</f>
        <v>0</v>
      </c>
      <c r="Y494" s="62">
        <f>SUM(Y489:Y493)</f>
        <v>0</v>
      </c>
      <c r="Z494" s="62">
        <f>SUM(Z489:Z493)</f>
        <v>0</v>
      </c>
      <c r="AA494" s="64">
        <f t="shared" si="226"/>
        <v>6776534.8895391161</v>
      </c>
      <c r="AB494" s="58" t="str">
        <f t="shared" si="227"/>
        <v>ok</v>
      </c>
    </row>
    <row r="495" spans="1:28">
      <c r="F495" s="79"/>
    </row>
    <row r="496" spans="1:28" ht="15">
      <c r="A496" s="65" t="s">
        <v>634</v>
      </c>
      <c r="F496" s="79"/>
    </row>
    <row r="497" spans="1:28">
      <c r="A497" s="68" t="s">
        <v>1090</v>
      </c>
      <c r="C497" s="60" t="s">
        <v>1074</v>
      </c>
      <c r="D497" s="60" t="s">
        <v>553</v>
      </c>
      <c r="E497" s="60" t="s">
        <v>1336</v>
      </c>
      <c r="F497" s="76">
        <f>VLOOKUP(C497,'Functional Assignment'!$C$2:$AP$780,'Functional Assignment'!$X$2,)</f>
        <v>784121.70729214803</v>
      </c>
      <c r="G497" s="76">
        <f t="shared" ref="G497:P498" si="229">IF(VLOOKUP($E497,$D$6:$AN$1131,3,)=0,0,(VLOOKUP($E497,$D$6:$AN$1131,G$2,)/VLOOKUP($E497,$D$6:$AN$1131,3,))*$F497)</f>
        <v>544024.21404075983</v>
      </c>
      <c r="H497" s="76">
        <f t="shared" si="229"/>
        <v>99553.977443270895</v>
      </c>
      <c r="I497" s="76">
        <f t="shared" si="229"/>
        <v>0</v>
      </c>
      <c r="J497" s="76">
        <f t="shared" si="229"/>
        <v>0</v>
      </c>
      <c r="K497" s="76">
        <f t="shared" si="229"/>
        <v>87677.89300651419</v>
      </c>
      <c r="L497" s="76">
        <f t="shared" si="229"/>
        <v>0</v>
      </c>
      <c r="M497" s="76">
        <f t="shared" si="229"/>
        <v>0</v>
      </c>
      <c r="N497" s="76">
        <f t="shared" si="229"/>
        <v>0</v>
      </c>
      <c r="O497" s="76">
        <f t="shared" si="229"/>
        <v>48184.739181734752</v>
      </c>
      <c r="P497" s="76">
        <f t="shared" si="229"/>
        <v>0</v>
      </c>
      <c r="Q497" s="76">
        <f t="shared" ref="Q497:Z498" si="230">IF(VLOOKUP($E497,$D$6:$AN$1131,3,)=0,0,(VLOOKUP($E497,$D$6:$AN$1131,Q$2,)/VLOOKUP($E497,$D$6:$AN$1131,3,))*$F497)</f>
        <v>0</v>
      </c>
      <c r="R497" s="76">
        <f t="shared" si="230"/>
        <v>0</v>
      </c>
      <c r="S497" s="76">
        <f t="shared" si="230"/>
        <v>4472.671122428671</v>
      </c>
      <c r="T497" s="76">
        <f t="shared" si="230"/>
        <v>143.04893351962457</v>
      </c>
      <c r="U497" s="76">
        <f t="shared" si="230"/>
        <v>65.163563920270036</v>
      </c>
      <c r="V497" s="76">
        <f t="shared" si="230"/>
        <v>0</v>
      </c>
      <c r="W497" s="76">
        <f t="shared" si="230"/>
        <v>0</v>
      </c>
      <c r="X497" s="62">
        <f t="shared" si="230"/>
        <v>0</v>
      </c>
      <c r="Y497" s="62">
        <f t="shared" si="230"/>
        <v>0</v>
      </c>
      <c r="Z497" s="62">
        <f t="shared" si="230"/>
        <v>0</v>
      </c>
      <c r="AA497" s="64">
        <f>SUM(G497:Z497)</f>
        <v>784121.70729214826</v>
      </c>
      <c r="AB497" s="58" t="str">
        <f>IF(ABS(F497-AA497)&lt;0.01,"ok","err")</f>
        <v>ok</v>
      </c>
    </row>
    <row r="498" spans="1:28">
      <c r="A498" s="68" t="s">
        <v>1093</v>
      </c>
      <c r="C498" s="60" t="s">
        <v>1074</v>
      </c>
      <c r="D498" s="60" t="s">
        <v>554</v>
      </c>
      <c r="E498" s="60" t="s">
        <v>1334</v>
      </c>
      <c r="F498" s="79">
        <f>VLOOKUP(C498,'Functional Assignment'!$C$2:$AP$780,'Functional Assignment'!$Y$2,)</f>
        <v>548377.36188634671</v>
      </c>
      <c r="G498" s="79">
        <f t="shared" si="229"/>
        <v>472964.3955536455</v>
      </c>
      <c r="H498" s="79">
        <f t="shared" si="229"/>
        <v>58761.196696943713</v>
      </c>
      <c r="I498" s="79">
        <f t="shared" si="229"/>
        <v>0</v>
      </c>
      <c r="J498" s="79">
        <f t="shared" si="229"/>
        <v>0</v>
      </c>
      <c r="K498" s="79">
        <f t="shared" si="229"/>
        <v>3668.4884719356246</v>
      </c>
      <c r="L498" s="79">
        <f t="shared" si="229"/>
        <v>0</v>
      </c>
      <c r="M498" s="79">
        <f t="shared" si="229"/>
        <v>0</v>
      </c>
      <c r="N498" s="79">
        <f t="shared" si="229"/>
        <v>0</v>
      </c>
      <c r="O498" s="79">
        <f t="shared" si="229"/>
        <v>358.5138335512184</v>
      </c>
      <c r="P498" s="79">
        <f t="shared" si="229"/>
        <v>0</v>
      </c>
      <c r="Q498" s="79">
        <f t="shared" si="230"/>
        <v>0</v>
      </c>
      <c r="R498" s="79">
        <f t="shared" si="230"/>
        <v>0</v>
      </c>
      <c r="S498" s="79">
        <f t="shared" si="230"/>
        <v>12470.335042871326</v>
      </c>
      <c r="T498" s="79">
        <f t="shared" si="230"/>
        <v>23.814324692411844</v>
      </c>
      <c r="U498" s="79">
        <f t="shared" si="230"/>
        <v>130.617962706865</v>
      </c>
      <c r="V498" s="79">
        <f t="shared" si="230"/>
        <v>0</v>
      </c>
      <c r="W498" s="79">
        <f t="shared" si="230"/>
        <v>0</v>
      </c>
      <c r="X498" s="63">
        <f t="shared" si="230"/>
        <v>0</v>
      </c>
      <c r="Y498" s="63">
        <f t="shared" si="230"/>
        <v>0</v>
      </c>
      <c r="Z498" s="63">
        <f t="shared" si="230"/>
        <v>0</v>
      </c>
      <c r="AA498" s="63">
        <f>SUM(G498:Z498)</f>
        <v>548377.36188634648</v>
      </c>
      <c r="AB498" s="58" t="str">
        <f>IF(ABS(F498-AA498)&lt;0.01,"ok","err")</f>
        <v>ok</v>
      </c>
    </row>
    <row r="499" spans="1:28">
      <c r="A499" s="60" t="s">
        <v>712</v>
      </c>
      <c r="D499" s="60" t="s">
        <v>555</v>
      </c>
      <c r="F499" s="76">
        <f>F497+F498</f>
        <v>1332499.0691784946</v>
      </c>
      <c r="G499" s="76">
        <f t="shared" ref="G499:W499" si="231">G497+G498</f>
        <v>1016988.6095944054</v>
      </c>
      <c r="H499" s="76">
        <f t="shared" si="231"/>
        <v>158315.1741402146</v>
      </c>
      <c r="I499" s="76">
        <f t="shared" si="231"/>
        <v>0</v>
      </c>
      <c r="J499" s="76">
        <f t="shared" si="231"/>
        <v>0</v>
      </c>
      <c r="K499" s="76">
        <f t="shared" si="231"/>
        <v>91346.38147844981</v>
      </c>
      <c r="L499" s="76">
        <f t="shared" si="231"/>
        <v>0</v>
      </c>
      <c r="M499" s="76">
        <f t="shared" si="231"/>
        <v>0</v>
      </c>
      <c r="N499" s="76">
        <f t="shared" si="231"/>
        <v>0</v>
      </c>
      <c r="O499" s="76">
        <f>O497+O498</f>
        <v>48543.253015285969</v>
      </c>
      <c r="P499" s="76">
        <f t="shared" si="231"/>
        <v>0</v>
      </c>
      <c r="Q499" s="76">
        <f t="shared" si="231"/>
        <v>0</v>
      </c>
      <c r="R499" s="76">
        <f t="shared" si="231"/>
        <v>0</v>
      </c>
      <c r="S499" s="76">
        <f t="shared" si="231"/>
        <v>16943.006165299998</v>
      </c>
      <c r="T499" s="76">
        <f t="shared" si="231"/>
        <v>166.86325821203641</v>
      </c>
      <c r="U499" s="76">
        <f t="shared" si="231"/>
        <v>195.78152662713504</v>
      </c>
      <c r="V499" s="76">
        <f t="shared" si="231"/>
        <v>0</v>
      </c>
      <c r="W499" s="76">
        <f t="shared" si="231"/>
        <v>0</v>
      </c>
      <c r="X499" s="62">
        <f>X497+X498</f>
        <v>0</v>
      </c>
      <c r="Y499" s="62">
        <f>Y497+Y498</f>
        <v>0</v>
      </c>
      <c r="Z499" s="62">
        <f>Z497+Z498</f>
        <v>0</v>
      </c>
      <c r="AA499" s="64">
        <f>SUM(G499:Z499)</f>
        <v>1332499.0691784951</v>
      </c>
      <c r="AB499" s="58" t="str">
        <f>IF(ABS(F499-AA499)&lt;0.01,"ok","err")</f>
        <v>ok</v>
      </c>
    </row>
    <row r="500" spans="1:28">
      <c r="F500" s="79"/>
    </row>
    <row r="501" spans="1:28" ht="15">
      <c r="A501" s="65" t="s">
        <v>354</v>
      </c>
      <c r="F501" s="79"/>
    </row>
    <row r="502" spans="1:28">
      <c r="A502" s="68" t="s">
        <v>1093</v>
      </c>
      <c r="C502" s="60" t="s">
        <v>1074</v>
      </c>
      <c r="D502" s="60" t="s">
        <v>556</v>
      </c>
      <c r="E502" s="60" t="s">
        <v>1095</v>
      </c>
      <c r="F502" s="76">
        <f>VLOOKUP(C502,'Functional Assignment'!$C$2:$AP$780,'Functional Assignment'!$Z$2,)</f>
        <v>272334.4512778669</v>
      </c>
      <c r="G502" s="76">
        <f t="shared" ref="G502:Z502" si="232">IF(VLOOKUP($E502,$D$6:$AN$1131,3,)=0,0,(VLOOKUP($E502,$D$6:$AN$1131,G$2,)/VLOOKUP($E502,$D$6:$AN$1131,3,))*$F502)</f>
        <v>209320.72571293413</v>
      </c>
      <c r="H502" s="76">
        <f t="shared" si="232"/>
        <v>52679.383284422962</v>
      </c>
      <c r="I502" s="76">
        <f t="shared" si="232"/>
        <v>0</v>
      </c>
      <c r="J502" s="76">
        <f t="shared" si="232"/>
        <v>0</v>
      </c>
      <c r="K502" s="76">
        <f t="shared" si="232"/>
        <v>9190.25594842188</v>
      </c>
      <c r="L502" s="76">
        <f t="shared" si="232"/>
        <v>0</v>
      </c>
      <c r="M502" s="76">
        <f t="shared" si="232"/>
        <v>0</v>
      </c>
      <c r="N502" s="76">
        <f t="shared" si="232"/>
        <v>0</v>
      </c>
      <c r="O502" s="76">
        <f t="shared" si="232"/>
        <v>1144.0863320878996</v>
      </c>
      <c r="P502" s="76">
        <f t="shared" si="232"/>
        <v>0</v>
      </c>
      <c r="Q502" s="76">
        <f t="shared" si="232"/>
        <v>0</v>
      </c>
      <c r="R502" s="76">
        <f t="shared" si="232"/>
        <v>0</v>
      </c>
      <c r="S502" s="76">
        <f t="shared" si="232"/>
        <v>0</v>
      </c>
      <c r="T502" s="76">
        <f t="shared" si="232"/>
        <v>0</v>
      </c>
      <c r="U502" s="76">
        <f t="shared" si="232"/>
        <v>0</v>
      </c>
      <c r="V502" s="76">
        <f t="shared" si="232"/>
        <v>0</v>
      </c>
      <c r="W502" s="76">
        <f t="shared" si="232"/>
        <v>0</v>
      </c>
      <c r="X502" s="62">
        <f t="shared" si="232"/>
        <v>0</v>
      </c>
      <c r="Y502" s="62">
        <f t="shared" si="232"/>
        <v>0</v>
      </c>
      <c r="Z502" s="62">
        <f t="shared" si="232"/>
        <v>0</v>
      </c>
      <c r="AA502" s="64">
        <f>SUM(G502:Z502)</f>
        <v>272334.45127786684</v>
      </c>
      <c r="AB502" s="58" t="str">
        <f>IF(ABS(F502-AA502)&lt;0.01,"ok","err")</f>
        <v>ok</v>
      </c>
    </row>
    <row r="503" spans="1:28">
      <c r="F503" s="79"/>
    </row>
    <row r="504" spans="1:28" ht="15">
      <c r="A504" s="65" t="s">
        <v>353</v>
      </c>
      <c r="F504" s="79"/>
    </row>
    <row r="505" spans="1:28">
      <c r="A505" s="68" t="s">
        <v>1093</v>
      </c>
      <c r="C505" s="60" t="s">
        <v>1074</v>
      </c>
      <c r="D505" s="60" t="s">
        <v>557</v>
      </c>
      <c r="E505" s="60" t="s">
        <v>1096</v>
      </c>
      <c r="F505" s="76">
        <f>VLOOKUP(C505,'Functional Assignment'!$C$2:$AP$780,'Functional Assignment'!$AA$2,)</f>
        <v>315900.35665521439</v>
      </c>
      <c r="G505" s="76">
        <f t="shared" ref="G505:Z505" si="233">IF(VLOOKUP($E505,$D$6:$AN$1131,3,)=0,0,(VLOOKUP($E505,$D$6:$AN$1131,G$2,)/VLOOKUP($E505,$D$6:$AN$1131,3,))*$F505)</f>
        <v>221104.96569796884</v>
      </c>
      <c r="H505" s="76">
        <f t="shared" si="233"/>
        <v>65006.129059049759</v>
      </c>
      <c r="I505" s="76">
        <f t="shared" si="233"/>
        <v>0</v>
      </c>
      <c r="J505" s="76">
        <f t="shared" si="233"/>
        <v>2530.5827203185604</v>
      </c>
      <c r="K505" s="76">
        <f t="shared" si="233"/>
        <v>17487.268451289197</v>
      </c>
      <c r="L505" s="76">
        <f t="shared" si="233"/>
        <v>0</v>
      </c>
      <c r="M505" s="76">
        <f t="shared" si="233"/>
        <v>0</v>
      </c>
      <c r="N505" s="76">
        <f t="shared" si="233"/>
        <v>3962.6522942662104</v>
      </c>
      <c r="O505" s="76">
        <f t="shared" si="233"/>
        <v>1842.2709994444583</v>
      </c>
      <c r="P505" s="76">
        <f t="shared" si="233"/>
        <v>3241.6095196751589</v>
      </c>
      <c r="Q505" s="76">
        <f t="shared" si="233"/>
        <v>37.560685253708158</v>
      </c>
      <c r="R505" s="76">
        <f t="shared" si="233"/>
        <v>37.560685253708158</v>
      </c>
      <c r="S505" s="76">
        <f t="shared" si="233"/>
        <v>0</v>
      </c>
      <c r="T505" s="76">
        <f t="shared" si="233"/>
        <v>100.19610237817373</v>
      </c>
      <c r="U505" s="76">
        <f t="shared" si="233"/>
        <v>549.56044031664987</v>
      </c>
      <c r="V505" s="76">
        <f t="shared" si="233"/>
        <v>0</v>
      </c>
      <c r="W505" s="76">
        <f t="shared" si="233"/>
        <v>0</v>
      </c>
      <c r="X505" s="62">
        <f t="shared" si="233"/>
        <v>0</v>
      </c>
      <c r="Y505" s="62">
        <f t="shared" si="233"/>
        <v>0</v>
      </c>
      <c r="Z505" s="62">
        <f t="shared" si="233"/>
        <v>0</v>
      </c>
      <c r="AA505" s="64">
        <f>SUM(G505:Z505)</f>
        <v>315900.35665521445</v>
      </c>
      <c r="AB505" s="58" t="str">
        <f>IF(ABS(F505-AA505)&lt;0.01,"ok","err")</f>
        <v>ok</v>
      </c>
    </row>
    <row r="506" spans="1:28"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62"/>
      <c r="Y506" s="62"/>
      <c r="Z506" s="62"/>
      <c r="AA506" s="64"/>
    </row>
    <row r="507" spans="1:28" ht="15">
      <c r="A507" s="65" t="s">
        <v>371</v>
      </c>
      <c r="F507" s="79"/>
    </row>
    <row r="508" spans="1:28">
      <c r="A508" s="68" t="s">
        <v>1093</v>
      </c>
      <c r="C508" s="60" t="s">
        <v>1074</v>
      </c>
      <c r="D508" s="60" t="s">
        <v>558</v>
      </c>
      <c r="E508" s="60" t="s">
        <v>1097</v>
      </c>
      <c r="F508" s="76">
        <f>VLOOKUP(C508,'Functional Assignment'!$C$2:$AP$780,'Functional Assignment'!$AB$2,)</f>
        <v>865590.31416392652</v>
      </c>
      <c r="G508" s="76">
        <f t="shared" ref="G508:Z508" si="234">IF(VLOOKUP($E508,$D$6:$AN$1131,3,)=0,0,(VLOOKUP($E508,$D$6:$AN$1131,G$2,)/VLOOKUP($E508,$D$6:$AN$1131,3,))*$F508)</f>
        <v>0</v>
      </c>
      <c r="H508" s="76">
        <f t="shared" si="234"/>
        <v>0</v>
      </c>
      <c r="I508" s="76">
        <f t="shared" si="234"/>
        <v>0</v>
      </c>
      <c r="J508" s="76">
        <f t="shared" si="234"/>
        <v>0</v>
      </c>
      <c r="K508" s="76">
        <f t="shared" si="234"/>
        <v>0</v>
      </c>
      <c r="L508" s="76">
        <f t="shared" si="234"/>
        <v>0</v>
      </c>
      <c r="M508" s="76">
        <f t="shared" si="234"/>
        <v>0</v>
      </c>
      <c r="N508" s="76">
        <f t="shared" si="234"/>
        <v>0</v>
      </c>
      <c r="O508" s="76">
        <f t="shared" si="234"/>
        <v>0</v>
      </c>
      <c r="P508" s="76">
        <f t="shared" si="234"/>
        <v>0</v>
      </c>
      <c r="Q508" s="76">
        <f t="shared" si="234"/>
        <v>0</v>
      </c>
      <c r="R508" s="76">
        <f t="shared" si="234"/>
        <v>0</v>
      </c>
      <c r="S508" s="76">
        <f t="shared" si="234"/>
        <v>865590.31416392652</v>
      </c>
      <c r="T508" s="76">
        <f t="shared" si="234"/>
        <v>0</v>
      </c>
      <c r="U508" s="76">
        <f t="shared" si="234"/>
        <v>0</v>
      </c>
      <c r="V508" s="76">
        <f t="shared" si="234"/>
        <v>0</v>
      </c>
      <c r="W508" s="76">
        <f t="shared" si="234"/>
        <v>0</v>
      </c>
      <c r="X508" s="62">
        <f t="shared" si="234"/>
        <v>0</v>
      </c>
      <c r="Y508" s="62">
        <f t="shared" si="234"/>
        <v>0</v>
      </c>
      <c r="Z508" s="62">
        <f t="shared" si="234"/>
        <v>0</v>
      </c>
      <c r="AA508" s="64">
        <f>SUM(G508:Z508)</f>
        <v>865590.31416392652</v>
      </c>
      <c r="AB508" s="58" t="str">
        <f>IF(ABS(F508-AA508)&lt;0.01,"ok","err")</f>
        <v>ok</v>
      </c>
    </row>
    <row r="509" spans="1:28"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62"/>
      <c r="Y509" s="62"/>
      <c r="Z509" s="62"/>
      <c r="AA509" s="64"/>
    </row>
    <row r="510" spans="1:28" ht="15">
      <c r="A510" s="65" t="s">
        <v>1025</v>
      </c>
      <c r="F510" s="79"/>
    </row>
    <row r="511" spans="1:28">
      <c r="A511" s="68" t="s">
        <v>1093</v>
      </c>
      <c r="C511" s="60" t="s">
        <v>1074</v>
      </c>
      <c r="D511" s="60" t="s">
        <v>559</v>
      </c>
      <c r="E511" s="60" t="s">
        <v>1098</v>
      </c>
      <c r="F511" s="76">
        <f>VLOOKUP(C511,'Functional Assignment'!$C$2:$AP$780,'Functional Assignment'!$AC$2,)</f>
        <v>0</v>
      </c>
      <c r="G511" s="76">
        <f t="shared" ref="G511:Z511" si="235">IF(VLOOKUP($E511,$D$6:$AN$1131,3,)=0,0,(VLOOKUP($E511,$D$6:$AN$1131,G$2,)/VLOOKUP($E511,$D$6:$AN$1131,3,))*$F511)</f>
        <v>0</v>
      </c>
      <c r="H511" s="76">
        <f t="shared" si="235"/>
        <v>0</v>
      </c>
      <c r="I511" s="76">
        <f t="shared" si="235"/>
        <v>0</v>
      </c>
      <c r="J511" s="76">
        <f t="shared" si="235"/>
        <v>0</v>
      </c>
      <c r="K511" s="76">
        <f t="shared" si="235"/>
        <v>0</v>
      </c>
      <c r="L511" s="76">
        <f t="shared" si="235"/>
        <v>0</v>
      </c>
      <c r="M511" s="76">
        <f t="shared" si="235"/>
        <v>0</v>
      </c>
      <c r="N511" s="76">
        <f t="shared" si="235"/>
        <v>0</v>
      </c>
      <c r="O511" s="76">
        <f t="shared" si="235"/>
        <v>0</v>
      </c>
      <c r="P511" s="76">
        <f t="shared" si="235"/>
        <v>0</v>
      </c>
      <c r="Q511" s="76">
        <f t="shared" si="235"/>
        <v>0</v>
      </c>
      <c r="R511" s="76">
        <f t="shared" si="235"/>
        <v>0</v>
      </c>
      <c r="S511" s="76">
        <f t="shared" si="235"/>
        <v>0</v>
      </c>
      <c r="T511" s="76">
        <f t="shared" si="235"/>
        <v>0</v>
      </c>
      <c r="U511" s="76">
        <f t="shared" si="235"/>
        <v>0</v>
      </c>
      <c r="V511" s="76">
        <f t="shared" si="235"/>
        <v>0</v>
      </c>
      <c r="W511" s="76">
        <f t="shared" si="235"/>
        <v>0</v>
      </c>
      <c r="X511" s="62">
        <f t="shared" si="235"/>
        <v>0</v>
      </c>
      <c r="Y511" s="62">
        <f t="shared" si="235"/>
        <v>0</v>
      </c>
      <c r="Z511" s="62">
        <f t="shared" si="235"/>
        <v>0</v>
      </c>
      <c r="AA511" s="64">
        <f>SUM(G511:Z511)</f>
        <v>0</v>
      </c>
      <c r="AB511" s="58" t="str">
        <f>IF(ABS(F511-AA511)&lt;0.01,"ok","err")</f>
        <v>ok</v>
      </c>
    </row>
    <row r="512" spans="1:28"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62"/>
      <c r="Y512" s="62"/>
      <c r="Z512" s="62"/>
      <c r="AA512" s="64"/>
    </row>
    <row r="513" spans="1:28" ht="15">
      <c r="A513" s="65" t="s">
        <v>351</v>
      </c>
      <c r="F513" s="79"/>
    </row>
    <row r="514" spans="1:28">
      <c r="A514" s="68" t="s">
        <v>1093</v>
      </c>
      <c r="C514" s="60" t="s">
        <v>1074</v>
      </c>
      <c r="D514" s="60" t="s">
        <v>560</v>
      </c>
      <c r="E514" s="60" t="s">
        <v>1098</v>
      </c>
      <c r="F514" s="76">
        <f>VLOOKUP(C514,'Functional Assignment'!$C$2:$AP$780,'Functional Assignment'!$AD$2,)</f>
        <v>0</v>
      </c>
      <c r="G514" s="76">
        <f t="shared" ref="G514:Z514" si="236">IF(VLOOKUP($E514,$D$6:$AN$1131,3,)=0,0,(VLOOKUP($E514,$D$6:$AN$1131,G$2,)/VLOOKUP($E514,$D$6:$AN$1131,3,))*$F514)</f>
        <v>0</v>
      </c>
      <c r="H514" s="76">
        <f t="shared" si="236"/>
        <v>0</v>
      </c>
      <c r="I514" s="76">
        <f t="shared" si="236"/>
        <v>0</v>
      </c>
      <c r="J514" s="76">
        <f t="shared" si="236"/>
        <v>0</v>
      </c>
      <c r="K514" s="76">
        <f t="shared" si="236"/>
        <v>0</v>
      </c>
      <c r="L514" s="76">
        <f t="shared" si="236"/>
        <v>0</v>
      </c>
      <c r="M514" s="76">
        <f t="shared" si="236"/>
        <v>0</v>
      </c>
      <c r="N514" s="76">
        <f t="shared" si="236"/>
        <v>0</v>
      </c>
      <c r="O514" s="76">
        <f t="shared" si="236"/>
        <v>0</v>
      </c>
      <c r="P514" s="76">
        <f t="shared" si="236"/>
        <v>0</v>
      </c>
      <c r="Q514" s="76">
        <f t="shared" si="236"/>
        <v>0</v>
      </c>
      <c r="R514" s="76">
        <f t="shared" si="236"/>
        <v>0</v>
      </c>
      <c r="S514" s="76">
        <f t="shared" si="236"/>
        <v>0</v>
      </c>
      <c r="T514" s="76">
        <f t="shared" si="236"/>
        <v>0</v>
      </c>
      <c r="U514" s="76">
        <f t="shared" si="236"/>
        <v>0</v>
      </c>
      <c r="V514" s="76">
        <f t="shared" si="236"/>
        <v>0</v>
      </c>
      <c r="W514" s="76">
        <f t="shared" si="236"/>
        <v>0</v>
      </c>
      <c r="X514" s="62">
        <f t="shared" si="236"/>
        <v>0</v>
      </c>
      <c r="Y514" s="62">
        <f t="shared" si="236"/>
        <v>0</v>
      </c>
      <c r="Z514" s="62">
        <f t="shared" si="236"/>
        <v>0</v>
      </c>
      <c r="AA514" s="64">
        <f>SUM(G514:Z514)</f>
        <v>0</v>
      </c>
      <c r="AB514" s="58" t="str">
        <f>IF(ABS(F514-AA514)&lt;0.01,"ok","err")</f>
        <v>ok</v>
      </c>
    </row>
    <row r="515" spans="1:28"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62"/>
      <c r="Y515" s="62"/>
      <c r="Z515" s="62"/>
      <c r="AA515" s="64"/>
    </row>
    <row r="516" spans="1:28" ht="15">
      <c r="A516" s="65" t="s">
        <v>350</v>
      </c>
      <c r="F516" s="79"/>
    </row>
    <row r="517" spans="1:28">
      <c r="A517" s="68" t="s">
        <v>1093</v>
      </c>
      <c r="C517" s="60" t="s">
        <v>1074</v>
      </c>
      <c r="D517" s="60" t="s">
        <v>561</v>
      </c>
      <c r="E517" s="60" t="s">
        <v>1099</v>
      </c>
      <c r="F517" s="76">
        <f>VLOOKUP(C517,'Functional Assignment'!$C$2:$AP$780,'Functional Assignment'!$AE$2,)</f>
        <v>0</v>
      </c>
      <c r="G517" s="76">
        <f t="shared" ref="G517:Z517" si="237">IF(VLOOKUP($E517,$D$6:$AN$1131,3,)=0,0,(VLOOKUP($E517,$D$6:$AN$1131,G$2,)/VLOOKUP($E517,$D$6:$AN$1131,3,))*$F517)</f>
        <v>0</v>
      </c>
      <c r="H517" s="76">
        <f t="shared" si="237"/>
        <v>0</v>
      </c>
      <c r="I517" s="76">
        <f t="shared" si="237"/>
        <v>0</v>
      </c>
      <c r="J517" s="76">
        <f t="shared" si="237"/>
        <v>0</v>
      </c>
      <c r="K517" s="76">
        <f t="shared" si="237"/>
        <v>0</v>
      </c>
      <c r="L517" s="76">
        <f t="shared" si="237"/>
        <v>0</v>
      </c>
      <c r="M517" s="76">
        <f t="shared" si="237"/>
        <v>0</v>
      </c>
      <c r="N517" s="76">
        <f t="shared" si="237"/>
        <v>0</v>
      </c>
      <c r="O517" s="76">
        <f t="shared" si="237"/>
        <v>0</v>
      </c>
      <c r="P517" s="76">
        <f t="shared" si="237"/>
        <v>0</v>
      </c>
      <c r="Q517" s="76">
        <f t="shared" si="237"/>
        <v>0</v>
      </c>
      <c r="R517" s="76">
        <f t="shared" si="237"/>
        <v>0</v>
      </c>
      <c r="S517" s="76">
        <f t="shared" si="237"/>
        <v>0</v>
      </c>
      <c r="T517" s="76">
        <f t="shared" si="237"/>
        <v>0</v>
      </c>
      <c r="U517" s="76">
        <f t="shared" si="237"/>
        <v>0</v>
      </c>
      <c r="V517" s="76">
        <f t="shared" si="237"/>
        <v>0</v>
      </c>
      <c r="W517" s="76">
        <f t="shared" si="237"/>
        <v>0</v>
      </c>
      <c r="X517" s="62">
        <f t="shared" si="237"/>
        <v>0</v>
      </c>
      <c r="Y517" s="62">
        <f t="shared" si="237"/>
        <v>0</v>
      </c>
      <c r="Z517" s="62">
        <f t="shared" si="237"/>
        <v>0</v>
      </c>
      <c r="AA517" s="64">
        <f>SUM(G517:Z517)</f>
        <v>0</v>
      </c>
      <c r="AB517" s="58" t="str">
        <f>IF(ABS(F517-AA517)&lt;0.01,"ok","err")</f>
        <v>ok</v>
      </c>
    </row>
    <row r="518" spans="1:28"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62"/>
      <c r="Y518" s="62"/>
      <c r="Z518" s="62"/>
      <c r="AA518" s="64"/>
    </row>
    <row r="519" spans="1:28">
      <c r="A519" s="60" t="s">
        <v>922</v>
      </c>
      <c r="D519" s="60" t="s">
        <v>1109</v>
      </c>
      <c r="F519" s="76">
        <f>F474+F480+F483+F486+F494+F499+F502+F505+F508+F511+F514+F517</f>
        <v>32529208.918825753</v>
      </c>
      <c r="G519" s="76">
        <f t="shared" ref="G519:Z519" si="238">G474+G480+G483+G486+G494+G499+G502+G505+G508+G511+G514+G517</f>
        <v>15821224.614783587</v>
      </c>
      <c r="H519" s="76">
        <f t="shared" si="238"/>
        <v>4128892.9779181606</v>
      </c>
      <c r="I519" s="76">
        <f t="shared" si="238"/>
        <v>0</v>
      </c>
      <c r="J519" s="76">
        <f t="shared" si="238"/>
        <v>305436.67027339508</v>
      </c>
      <c r="K519" s="76">
        <f t="shared" si="238"/>
        <v>3938268.7350952788</v>
      </c>
      <c r="L519" s="76">
        <f t="shared" si="238"/>
        <v>0</v>
      </c>
      <c r="M519" s="76">
        <f t="shared" si="238"/>
        <v>0</v>
      </c>
      <c r="N519" s="76">
        <f t="shared" si="238"/>
        <v>3270855.6150380769</v>
      </c>
      <c r="O519" s="76">
        <f>O474+O480+O483+O486+O494+O499+O502+O505+O508+O511+O514+O517</f>
        <v>1955326.1324566021</v>
      </c>
      <c r="P519" s="76">
        <f t="shared" si="238"/>
        <v>1707682.6772375295</v>
      </c>
      <c r="Q519" s="76">
        <f t="shared" si="238"/>
        <v>205732.30099181121</v>
      </c>
      <c r="R519" s="76">
        <f t="shared" si="238"/>
        <v>95401.259794540762</v>
      </c>
      <c r="S519" s="76">
        <f t="shared" si="238"/>
        <v>1089901.8323440109</v>
      </c>
      <c r="T519" s="76">
        <f t="shared" si="238"/>
        <v>4094.6577747313927</v>
      </c>
      <c r="U519" s="76">
        <f t="shared" si="238"/>
        <v>6391.445118027631</v>
      </c>
      <c r="V519" s="76">
        <f t="shared" si="238"/>
        <v>0</v>
      </c>
      <c r="W519" s="76">
        <f t="shared" si="238"/>
        <v>0</v>
      </c>
      <c r="X519" s="62">
        <f t="shared" si="238"/>
        <v>0</v>
      </c>
      <c r="Y519" s="62">
        <f t="shared" si="238"/>
        <v>0</v>
      </c>
      <c r="Z519" s="62">
        <f t="shared" si="238"/>
        <v>0</v>
      </c>
      <c r="AA519" s="64">
        <f>SUM(G519:Z519)</f>
        <v>32529208.918825749</v>
      </c>
      <c r="AB519" s="58" t="str">
        <f>IF(ABS(F519-AA519)&lt;0.01,"ok","err")</f>
        <v>ok</v>
      </c>
    </row>
    <row r="520" spans="1:28"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62"/>
      <c r="Y520" s="62"/>
      <c r="Z520" s="62"/>
      <c r="AA520" s="64"/>
    </row>
    <row r="522" spans="1:28" ht="15">
      <c r="A522" s="65" t="s">
        <v>637</v>
      </c>
    </row>
    <row r="524" spans="1:28" ht="15">
      <c r="A524" s="65" t="s">
        <v>364</v>
      </c>
    </row>
    <row r="525" spans="1:28">
      <c r="A525" s="68" t="s">
        <v>359</v>
      </c>
      <c r="C525" s="60" t="s">
        <v>533</v>
      </c>
      <c r="D525" s="60" t="s">
        <v>562</v>
      </c>
      <c r="E525" s="60" t="s">
        <v>869</v>
      </c>
      <c r="F525" s="76">
        <f>VLOOKUP(C525,'Functional Assignment'!$C$2:$AP$780,'Functional Assignment'!$H$2,)</f>
        <v>-193847.67227717277</v>
      </c>
      <c r="G525" s="76">
        <f t="shared" ref="G525:P530" si="239">IF(VLOOKUP($E525,$D$6:$AN$1131,3,)=0,0,(VLOOKUP($E525,$D$6:$AN$1131,G$2,)/VLOOKUP($E525,$D$6:$AN$1131,3,))*$F525)</f>
        <v>-70129.829523780019</v>
      </c>
      <c r="H525" s="76">
        <f t="shared" si="239"/>
        <v>-22789.684170204757</v>
      </c>
      <c r="I525" s="76">
        <f t="shared" si="239"/>
        <v>0</v>
      </c>
      <c r="J525" s="76">
        <f t="shared" si="239"/>
        <v>-2714.2901334596545</v>
      </c>
      <c r="K525" s="76">
        <f t="shared" si="239"/>
        <v>-31448.571358081877</v>
      </c>
      <c r="L525" s="76">
        <f t="shared" si="239"/>
        <v>0</v>
      </c>
      <c r="M525" s="76">
        <f t="shared" si="239"/>
        <v>0</v>
      </c>
      <c r="N525" s="76">
        <f t="shared" si="239"/>
        <v>-30356.602696318361</v>
      </c>
      <c r="O525" s="76">
        <f t="shared" si="239"/>
        <v>-13351.246272271812</v>
      </c>
      <c r="P525" s="76">
        <f t="shared" si="239"/>
        <v>-18484.846080270378</v>
      </c>
      <c r="Q525" s="76">
        <f t="shared" ref="Q525:Z530" si="240">IF(VLOOKUP($E525,$D$6:$AN$1131,3,)=0,0,(VLOOKUP($E525,$D$6:$AN$1131,Q$2,)/VLOOKUP($E525,$D$6:$AN$1131,3,))*$F525)</f>
        <v>-1804.214153992096</v>
      </c>
      <c r="R525" s="76">
        <f t="shared" si="240"/>
        <v>-953.15992794060639</v>
      </c>
      <c r="S525" s="76">
        <f t="shared" si="240"/>
        <v>-1707.4173746636393</v>
      </c>
      <c r="T525" s="76">
        <f t="shared" si="240"/>
        <v>-55.655388798602417</v>
      </c>
      <c r="U525" s="76">
        <f t="shared" si="240"/>
        <v>-52.155197391015548</v>
      </c>
      <c r="V525" s="76">
        <f t="shared" si="240"/>
        <v>0</v>
      </c>
      <c r="W525" s="76">
        <f t="shared" si="240"/>
        <v>0</v>
      </c>
      <c r="X525" s="62">
        <f t="shared" si="240"/>
        <v>0</v>
      </c>
      <c r="Y525" s="62">
        <f t="shared" si="240"/>
        <v>0</v>
      </c>
      <c r="Z525" s="62">
        <f t="shared" si="240"/>
        <v>0</v>
      </c>
      <c r="AA525" s="64">
        <f t="shared" ref="AA525:AA531" si="241">SUM(G525:Z525)</f>
        <v>-193847.67227717279</v>
      </c>
      <c r="AB525" s="58" t="str">
        <f t="shared" ref="AB525:AB531" si="242">IF(ABS(F525-AA525)&lt;0.01,"ok","err")</f>
        <v>ok</v>
      </c>
    </row>
    <row r="526" spans="1:28">
      <c r="A526" s="68" t="s">
        <v>1255</v>
      </c>
      <c r="C526" s="60" t="s">
        <v>533</v>
      </c>
      <c r="D526" s="60" t="s">
        <v>563</v>
      </c>
      <c r="E526" s="60" t="s">
        <v>188</v>
      </c>
      <c r="F526" s="79">
        <f>VLOOKUP(C526,'Functional Assignment'!$C$2:$AP$780,'Functional Assignment'!$I$2,)</f>
        <v>-203067.70616745905</v>
      </c>
      <c r="G526" s="79">
        <f t="shared" si="239"/>
        <v>-86774.523414564042</v>
      </c>
      <c r="H526" s="79">
        <f t="shared" si="239"/>
        <v>-28394.572134625167</v>
      </c>
      <c r="I526" s="79">
        <f t="shared" si="239"/>
        <v>0</v>
      </c>
      <c r="J526" s="79">
        <f t="shared" si="239"/>
        <v>-2208.0783031330011</v>
      </c>
      <c r="K526" s="79">
        <f t="shared" si="239"/>
        <v>-29712.216493903936</v>
      </c>
      <c r="L526" s="79">
        <f t="shared" si="239"/>
        <v>0</v>
      </c>
      <c r="M526" s="79">
        <f t="shared" si="239"/>
        <v>0</v>
      </c>
      <c r="N526" s="79">
        <f t="shared" si="239"/>
        <v>-23661.175528095413</v>
      </c>
      <c r="O526" s="79">
        <f t="shared" si="239"/>
        <v>-15867.517816863176</v>
      </c>
      <c r="P526" s="79">
        <f t="shared" si="239"/>
        <v>-14152.537253155915</v>
      </c>
      <c r="Q526" s="79">
        <f t="shared" si="240"/>
        <v>-1634.0001833253114</v>
      </c>
      <c r="R526" s="79">
        <f t="shared" si="240"/>
        <v>-621.08981785405251</v>
      </c>
      <c r="S526" s="79">
        <f t="shared" si="240"/>
        <v>0</v>
      </c>
      <c r="T526" s="79">
        <f t="shared" si="240"/>
        <v>0</v>
      </c>
      <c r="U526" s="79">
        <f t="shared" si="240"/>
        <v>-41.995221939043304</v>
      </c>
      <c r="V526" s="79">
        <f t="shared" si="240"/>
        <v>0</v>
      </c>
      <c r="W526" s="79">
        <f t="shared" si="240"/>
        <v>0</v>
      </c>
      <c r="X526" s="63">
        <f t="shared" si="240"/>
        <v>0</v>
      </c>
      <c r="Y526" s="63">
        <f t="shared" si="240"/>
        <v>0</v>
      </c>
      <c r="Z526" s="63">
        <f t="shared" si="240"/>
        <v>0</v>
      </c>
      <c r="AA526" s="63">
        <f t="shared" si="241"/>
        <v>-203067.70616745911</v>
      </c>
      <c r="AB526" s="58" t="str">
        <f t="shared" si="242"/>
        <v>ok</v>
      </c>
    </row>
    <row r="527" spans="1:28">
      <c r="A527" s="68" t="s">
        <v>1256</v>
      </c>
      <c r="C527" s="60" t="s">
        <v>533</v>
      </c>
      <c r="D527" s="60" t="s">
        <v>564</v>
      </c>
      <c r="E527" s="60" t="s">
        <v>191</v>
      </c>
      <c r="F527" s="79">
        <f>VLOOKUP(C527,'Functional Assignment'!$C$2:$AP$780,'Functional Assignment'!$J$2,)</f>
        <v>-166920.96972115582</v>
      </c>
      <c r="G527" s="79">
        <f t="shared" si="239"/>
        <v>-65274.44742302868</v>
      </c>
      <c r="H527" s="79">
        <f t="shared" si="239"/>
        <v>-23588.568534925125</v>
      </c>
      <c r="I527" s="79">
        <f t="shared" si="239"/>
        <v>0</v>
      </c>
      <c r="J527" s="79">
        <f t="shared" si="239"/>
        <v>-1945.3920585660262</v>
      </c>
      <c r="K527" s="79">
        <f t="shared" si="239"/>
        <v>-27459.678033158871</v>
      </c>
      <c r="L527" s="79">
        <f t="shared" si="239"/>
        <v>0</v>
      </c>
      <c r="M527" s="79">
        <f t="shared" si="239"/>
        <v>0</v>
      </c>
      <c r="N527" s="79">
        <f t="shared" si="239"/>
        <v>-20768.464420836073</v>
      </c>
      <c r="O527" s="79">
        <f t="shared" si="239"/>
        <v>-14027.431892705577</v>
      </c>
      <c r="P527" s="79">
        <f t="shared" si="239"/>
        <v>-12011.471991159511</v>
      </c>
      <c r="Q527" s="79">
        <f t="shared" si="240"/>
        <v>-1296.9611102662768</v>
      </c>
      <c r="R527" s="79">
        <f t="shared" si="240"/>
        <v>-525.01823486631633</v>
      </c>
      <c r="S527" s="79">
        <f t="shared" si="240"/>
        <v>0</v>
      </c>
      <c r="T527" s="79">
        <f t="shared" si="240"/>
        <v>0</v>
      </c>
      <c r="U527" s="79">
        <f t="shared" si="240"/>
        <v>-23.53602164335425</v>
      </c>
      <c r="V527" s="79">
        <f t="shared" si="240"/>
        <v>0</v>
      </c>
      <c r="W527" s="79">
        <f t="shared" si="240"/>
        <v>0</v>
      </c>
      <c r="X527" s="63">
        <f t="shared" si="240"/>
        <v>0</v>
      </c>
      <c r="Y527" s="63">
        <f t="shared" si="240"/>
        <v>0</v>
      </c>
      <c r="Z527" s="63">
        <f t="shared" si="240"/>
        <v>0</v>
      </c>
      <c r="AA527" s="63">
        <f t="shared" si="241"/>
        <v>-166920.96972115582</v>
      </c>
      <c r="AB527" s="58" t="str">
        <f t="shared" si="242"/>
        <v>ok</v>
      </c>
    </row>
    <row r="528" spans="1:28">
      <c r="A528" s="68" t="s">
        <v>1257</v>
      </c>
      <c r="C528" s="60" t="s">
        <v>533</v>
      </c>
      <c r="D528" s="60" t="s">
        <v>565</v>
      </c>
      <c r="E528" s="60" t="s">
        <v>1091</v>
      </c>
      <c r="F528" s="79">
        <f>VLOOKUP(C528,'Functional Assignment'!$C$2:$AP$780,'Functional Assignment'!$K$2,)</f>
        <v>0</v>
      </c>
      <c r="G528" s="79">
        <f t="shared" si="239"/>
        <v>0</v>
      </c>
      <c r="H528" s="79">
        <f t="shared" si="239"/>
        <v>0</v>
      </c>
      <c r="I528" s="79">
        <f t="shared" si="239"/>
        <v>0</v>
      </c>
      <c r="J528" s="79">
        <f t="shared" si="239"/>
        <v>0</v>
      </c>
      <c r="K528" s="79">
        <f t="shared" si="239"/>
        <v>0</v>
      </c>
      <c r="L528" s="79">
        <f t="shared" si="239"/>
        <v>0</v>
      </c>
      <c r="M528" s="79">
        <f t="shared" si="239"/>
        <v>0</v>
      </c>
      <c r="N528" s="79">
        <f t="shared" si="239"/>
        <v>0</v>
      </c>
      <c r="O528" s="79">
        <f t="shared" si="239"/>
        <v>0</v>
      </c>
      <c r="P528" s="79">
        <f t="shared" si="239"/>
        <v>0</v>
      </c>
      <c r="Q528" s="79">
        <f t="shared" si="240"/>
        <v>0</v>
      </c>
      <c r="R528" s="79">
        <f t="shared" si="240"/>
        <v>0</v>
      </c>
      <c r="S528" s="79">
        <f t="shared" si="240"/>
        <v>0</v>
      </c>
      <c r="T528" s="79">
        <f t="shared" si="240"/>
        <v>0</v>
      </c>
      <c r="U528" s="79">
        <f t="shared" si="240"/>
        <v>0</v>
      </c>
      <c r="V528" s="79">
        <f t="shared" si="240"/>
        <v>0</v>
      </c>
      <c r="W528" s="79">
        <f t="shared" si="240"/>
        <v>0</v>
      </c>
      <c r="X528" s="63">
        <f t="shared" si="240"/>
        <v>0</v>
      </c>
      <c r="Y528" s="63">
        <f t="shared" si="240"/>
        <v>0</v>
      </c>
      <c r="Z528" s="63">
        <f t="shared" si="240"/>
        <v>0</v>
      </c>
      <c r="AA528" s="63">
        <f t="shared" si="241"/>
        <v>0</v>
      </c>
      <c r="AB528" s="58" t="str">
        <f t="shared" si="242"/>
        <v>ok</v>
      </c>
    </row>
    <row r="529" spans="1:28">
      <c r="A529" s="68" t="s">
        <v>1258</v>
      </c>
      <c r="C529" s="60" t="s">
        <v>533</v>
      </c>
      <c r="D529" s="60" t="s">
        <v>566</v>
      </c>
      <c r="E529" s="60" t="s">
        <v>1091</v>
      </c>
      <c r="F529" s="79">
        <f>VLOOKUP(C529,'Functional Assignment'!$C$2:$AP$780,'Functional Assignment'!$L$2,)</f>
        <v>0</v>
      </c>
      <c r="G529" s="79">
        <f t="shared" si="239"/>
        <v>0</v>
      </c>
      <c r="H529" s="79">
        <f t="shared" si="239"/>
        <v>0</v>
      </c>
      <c r="I529" s="79">
        <f t="shared" si="239"/>
        <v>0</v>
      </c>
      <c r="J529" s="79">
        <f t="shared" si="239"/>
        <v>0</v>
      </c>
      <c r="K529" s="79">
        <f t="shared" si="239"/>
        <v>0</v>
      </c>
      <c r="L529" s="79">
        <f t="shared" si="239"/>
        <v>0</v>
      </c>
      <c r="M529" s="79">
        <f t="shared" si="239"/>
        <v>0</v>
      </c>
      <c r="N529" s="79">
        <f t="shared" si="239"/>
        <v>0</v>
      </c>
      <c r="O529" s="79">
        <f t="shared" si="239"/>
        <v>0</v>
      </c>
      <c r="P529" s="79">
        <f t="shared" si="239"/>
        <v>0</v>
      </c>
      <c r="Q529" s="79">
        <f t="shared" si="240"/>
        <v>0</v>
      </c>
      <c r="R529" s="79">
        <f t="shared" si="240"/>
        <v>0</v>
      </c>
      <c r="S529" s="79">
        <f t="shared" si="240"/>
        <v>0</v>
      </c>
      <c r="T529" s="79">
        <f t="shared" si="240"/>
        <v>0</v>
      </c>
      <c r="U529" s="79">
        <f t="shared" si="240"/>
        <v>0</v>
      </c>
      <c r="V529" s="79">
        <f t="shared" si="240"/>
        <v>0</v>
      </c>
      <c r="W529" s="79">
        <f t="shared" si="240"/>
        <v>0</v>
      </c>
      <c r="X529" s="63">
        <f t="shared" si="240"/>
        <v>0</v>
      </c>
      <c r="Y529" s="63">
        <f t="shared" si="240"/>
        <v>0</v>
      </c>
      <c r="Z529" s="63">
        <f t="shared" si="240"/>
        <v>0</v>
      </c>
      <c r="AA529" s="63">
        <f t="shared" si="241"/>
        <v>0</v>
      </c>
      <c r="AB529" s="58" t="str">
        <f t="shared" si="242"/>
        <v>ok</v>
      </c>
    </row>
    <row r="530" spans="1:28">
      <c r="A530" s="68" t="s">
        <v>1258</v>
      </c>
      <c r="C530" s="60" t="s">
        <v>533</v>
      </c>
      <c r="D530" s="60" t="s">
        <v>567</v>
      </c>
      <c r="E530" s="60" t="s">
        <v>1091</v>
      </c>
      <c r="F530" s="79">
        <f>VLOOKUP(C530,'Functional Assignment'!$C$2:$AP$780,'Functional Assignment'!$M$2,)</f>
        <v>0</v>
      </c>
      <c r="G530" s="79">
        <f t="shared" si="239"/>
        <v>0</v>
      </c>
      <c r="H530" s="79">
        <f t="shared" si="239"/>
        <v>0</v>
      </c>
      <c r="I530" s="79">
        <f t="shared" si="239"/>
        <v>0</v>
      </c>
      <c r="J530" s="79">
        <f t="shared" si="239"/>
        <v>0</v>
      </c>
      <c r="K530" s="79">
        <f t="shared" si="239"/>
        <v>0</v>
      </c>
      <c r="L530" s="79">
        <f t="shared" si="239"/>
        <v>0</v>
      </c>
      <c r="M530" s="79">
        <f t="shared" si="239"/>
        <v>0</v>
      </c>
      <c r="N530" s="79">
        <f t="shared" si="239"/>
        <v>0</v>
      </c>
      <c r="O530" s="79">
        <f t="shared" si="239"/>
        <v>0</v>
      </c>
      <c r="P530" s="79">
        <f t="shared" si="239"/>
        <v>0</v>
      </c>
      <c r="Q530" s="79">
        <f t="shared" si="240"/>
        <v>0</v>
      </c>
      <c r="R530" s="79">
        <f t="shared" si="240"/>
        <v>0</v>
      </c>
      <c r="S530" s="79">
        <f t="shared" si="240"/>
        <v>0</v>
      </c>
      <c r="T530" s="79">
        <f t="shared" si="240"/>
        <v>0</v>
      </c>
      <c r="U530" s="79">
        <f t="shared" si="240"/>
        <v>0</v>
      </c>
      <c r="V530" s="79">
        <f t="shared" si="240"/>
        <v>0</v>
      </c>
      <c r="W530" s="79">
        <f t="shared" si="240"/>
        <v>0</v>
      </c>
      <c r="X530" s="63">
        <f t="shared" si="240"/>
        <v>0</v>
      </c>
      <c r="Y530" s="63">
        <f t="shared" si="240"/>
        <v>0</v>
      </c>
      <c r="Z530" s="63">
        <f t="shared" si="240"/>
        <v>0</v>
      </c>
      <c r="AA530" s="63">
        <f t="shared" si="241"/>
        <v>0</v>
      </c>
      <c r="AB530" s="58" t="str">
        <f t="shared" si="242"/>
        <v>ok</v>
      </c>
    </row>
    <row r="531" spans="1:28">
      <c r="A531" s="60" t="s">
        <v>387</v>
      </c>
      <c r="D531" s="60" t="s">
        <v>1110</v>
      </c>
      <c r="F531" s="76">
        <f>SUM(F525:F530)</f>
        <v>-563836.34816578764</v>
      </c>
      <c r="G531" s="76">
        <f t="shared" ref="G531:P531" si="243">SUM(G525:G530)</f>
        <v>-222178.80036137273</v>
      </c>
      <c r="H531" s="76">
        <f t="shared" si="243"/>
        <v>-74772.824839755049</v>
      </c>
      <c r="I531" s="76">
        <f t="shared" si="243"/>
        <v>0</v>
      </c>
      <c r="J531" s="76">
        <f t="shared" si="243"/>
        <v>-6867.7604951586818</v>
      </c>
      <c r="K531" s="76">
        <f t="shared" si="243"/>
        <v>-88620.465885144687</v>
      </c>
      <c r="L531" s="76">
        <f t="shared" si="243"/>
        <v>0</v>
      </c>
      <c r="M531" s="76">
        <f t="shared" si="243"/>
        <v>0</v>
      </c>
      <c r="N531" s="76">
        <f t="shared" si="243"/>
        <v>-74786.242645249848</v>
      </c>
      <c r="O531" s="76">
        <f>SUM(O525:O530)</f>
        <v>-43246.195981840567</v>
      </c>
      <c r="P531" s="76">
        <f t="shared" si="243"/>
        <v>-44648.855324585806</v>
      </c>
      <c r="Q531" s="76">
        <f t="shared" ref="Q531:W531" si="244">SUM(Q525:Q530)</f>
        <v>-4735.1754475836842</v>
      </c>
      <c r="R531" s="76">
        <f t="shared" si="244"/>
        <v>-2099.2679806609749</v>
      </c>
      <c r="S531" s="76">
        <f t="shared" si="244"/>
        <v>-1707.4173746636393</v>
      </c>
      <c r="T531" s="76">
        <f t="shared" si="244"/>
        <v>-55.655388798602417</v>
      </c>
      <c r="U531" s="76">
        <f t="shared" si="244"/>
        <v>-117.6864409734131</v>
      </c>
      <c r="V531" s="76">
        <f t="shared" si="244"/>
        <v>0</v>
      </c>
      <c r="W531" s="76">
        <f t="shared" si="244"/>
        <v>0</v>
      </c>
      <c r="X531" s="62">
        <f>SUM(X525:X530)</f>
        <v>0</v>
      </c>
      <c r="Y531" s="62">
        <f>SUM(Y525:Y530)</f>
        <v>0</v>
      </c>
      <c r="Z531" s="62">
        <f>SUM(Z525:Z530)</f>
        <v>0</v>
      </c>
      <c r="AA531" s="64">
        <f t="shared" si="241"/>
        <v>-563836.34816578752</v>
      </c>
      <c r="AB531" s="58" t="str">
        <f t="shared" si="242"/>
        <v>ok</v>
      </c>
    </row>
    <row r="532" spans="1:28">
      <c r="F532" s="79"/>
      <c r="G532" s="79"/>
    </row>
    <row r="533" spans="1:28" ht="15">
      <c r="A533" s="65" t="s">
        <v>1131</v>
      </c>
      <c r="F533" s="79"/>
      <c r="G533" s="79"/>
    </row>
    <row r="534" spans="1:28">
      <c r="A534" s="68" t="s">
        <v>1363</v>
      </c>
      <c r="C534" s="60" t="s">
        <v>533</v>
      </c>
      <c r="D534" s="60" t="s">
        <v>568</v>
      </c>
      <c r="E534" s="60" t="s">
        <v>1367</v>
      </c>
      <c r="F534" s="76">
        <f>VLOOKUP(C534,'Functional Assignment'!$C$2:$AP$780,'Functional Assignment'!$N$2,)</f>
        <v>-106787.72830435807</v>
      </c>
      <c r="G534" s="76">
        <f t="shared" ref="G534:P536" si="245">IF(VLOOKUP($E534,$D$6:$AN$1131,3,)=0,0,(VLOOKUP($E534,$D$6:$AN$1131,G$2,)/VLOOKUP($E534,$D$6:$AN$1131,3,))*$F534)</f>
        <v>-47455.174664828104</v>
      </c>
      <c r="H534" s="76">
        <f t="shared" si="245"/>
        <v>-13659.839930579874</v>
      </c>
      <c r="I534" s="76">
        <f t="shared" si="245"/>
        <v>0</v>
      </c>
      <c r="J534" s="76">
        <f t="shared" si="245"/>
        <v>-1213.6887391653304</v>
      </c>
      <c r="K534" s="76">
        <f t="shared" si="245"/>
        <v>-14086.809648185364</v>
      </c>
      <c r="L534" s="76">
        <f t="shared" si="245"/>
        <v>0</v>
      </c>
      <c r="M534" s="76">
        <f t="shared" si="245"/>
        <v>0</v>
      </c>
      <c r="N534" s="76">
        <f t="shared" si="245"/>
        <v>-12814.698208881206</v>
      </c>
      <c r="O534" s="76">
        <f t="shared" si="245"/>
        <v>-7608.6952475666849</v>
      </c>
      <c r="P534" s="76">
        <f t="shared" si="245"/>
        <v>-7881.2209551235674</v>
      </c>
      <c r="Q534" s="76">
        <f t="shared" ref="Q534:Z536" si="246">IF(VLOOKUP($E534,$D$6:$AN$1131,3,)=0,0,(VLOOKUP($E534,$D$6:$AN$1131,Q$2,)/VLOOKUP($E534,$D$6:$AN$1131,3,))*$F534)</f>
        <v>-794.46177271937893</v>
      </c>
      <c r="R534" s="76">
        <f t="shared" si="246"/>
        <v>-415.83272188706258</v>
      </c>
      <c r="S534" s="76">
        <f t="shared" si="246"/>
        <v>-819.17218173356684</v>
      </c>
      <c r="T534" s="76">
        <f t="shared" si="246"/>
        <v>-26.199491033067705</v>
      </c>
      <c r="U534" s="76">
        <f t="shared" si="246"/>
        <v>-11.934742654880644</v>
      </c>
      <c r="V534" s="76">
        <f t="shared" si="246"/>
        <v>0</v>
      </c>
      <c r="W534" s="76">
        <f t="shared" si="246"/>
        <v>0</v>
      </c>
      <c r="X534" s="62">
        <f t="shared" si="246"/>
        <v>0</v>
      </c>
      <c r="Y534" s="62">
        <f t="shared" si="246"/>
        <v>0</v>
      </c>
      <c r="Z534" s="62">
        <f t="shared" si="246"/>
        <v>0</v>
      </c>
      <c r="AA534" s="64">
        <f>SUM(G534:Z534)</f>
        <v>-106787.7283043581</v>
      </c>
      <c r="AB534" s="58" t="str">
        <f>IF(ABS(F534-AA534)&lt;0.01,"ok","err")</f>
        <v>ok</v>
      </c>
    </row>
    <row r="535" spans="1:28" hidden="1">
      <c r="A535" s="68" t="s">
        <v>1364</v>
      </c>
      <c r="C535" s="60" t="s">
        <v>533</v>
      </c>
      <c r="D535" s="60" t="s">
        <v>569</v>
      </c>
      <c r="E535" s="60" t="s">
        <v>188</v>
      </c>
      <c r="F535" s="79">
        <f>VLOOKUP(C535,'Functional Assignment'!$C$2:$AP$780,'Functional Assignment'!$O$2,)</f>
        <v>0</v>
      </c>
      <c r="G535" s="79">
        <f t="shared" si="245"/>
        <v>0</v>
      </c>
      <c r="H535" s="79">
        <f t="shared" si="245"/>
        <v>0</v>
      </c>
      <c r="I535" s="79">
        <f t="shared" si="245"/>
        <v>0</v>
      </c>
      <c r="J535" s="79">
        <f t="shared" si="245"/>
        <v>0</v>
      </c>
      <c r="K535" s="79">
        <f t="shared" si="245"/>
        <v>0</v>
      </c>
      <c r="L535" s="79">
        <f t="shared" si="245"/>
        <v>0</v>
      </c>
      <c r="M535" s="79">
        <f t="shared" si="245"/>
        <v>0</v>
      </c>
      <c r="N535" s="79">
        <f t="shared" si="245"/>
        <v>0</v>
      </c>
      <c r="O535" s="79">
        <f t="shared" si="245"/>
        <v>0</v>
      </c>
      <c r="P535" s="79">
        <f t="shared" si="245"/>
        <v>0</v>
      </c>
      <c r="Q535" s="79">
        <f t="shared" si="246"/>
        <v>0</v>
      </c>
      <c r="R535" s="79">
        <f t="shared" si="246"/>
        <v>0</v>
      </c>
      <c r="S535" s="79">
        <f t="shared" si="246"/>
        <v>0</v>
      </c>
      <c r="T535" s="79">
        <f t="shared" si="246"/>
        <v>0</v>
      </c>
      <c r="U535" s="79">
        <f t="shared" si="246"/>
        <v>0</v>
      </c>
      <c r="V535" s="79">
        <f t="shared" si="246"/>
        <v>0</v>
      </c>
      <c r="W535" s="79">
        <f t="shared" si="246"/>
        <v>0</v>
      </c>
      <c r="X535" s="63">
        <f t="shared" si="246"/>
        <v>0</v>
      </c>
      <c r="Y535" s="63">
        <f t="shared" si="246"/>
        <v>0</v>
      </c>
      <c r="Z535" s="63">
        <f t="shared" si="246"/>
        <v>0</v>
      </c>
      <c r="AA535" s="63">
        <f>SUM(G535:Z535)</f>
        <v>0</v>
      </c>
      <c r="AB535" s="58" t="str">
        <f>IF(ABS(F535-AA535)&lt;0.01,"ok","err")</f>
        <v>ok</v>
      </c>
    </row>
    <row r="536" spans="1:28" hidden="1">
      <c r="A536" s="68" t="s">
        <v>1364</v>
      </c>
      <c r="C536" s="60" t="s">
        <v>533</v>
      </c>
      <c r="D536" s="60" t="s">
        <v>570</v>
      </c>
      <c r="E536" s="60" t="s">
        <v>191</v>
      </c>
      <c r="F536" s="79">
        <f>VLOOKUP(C536,'Functional Assignment'!$C$2:$AP$780,'Functional Assignment'!$P$2,)</f>
        <v>0</v>
      </c>
      <c r="G536" s="79">
        <f t="shared" si="245"/>
        <v>0</v>
      </c>
      <c r="H536" s="79">
        <f t="shared" si="245"/>
        <v>0</v>
      </c>
      <c r="I536" s="79">
        <f t="shared" si="245"/>
        <v>0</v>
      </c>
      <c r="J536" s="79">
        <f t="shared" si="245"/>
        <v>0</v>
      </c>
      <c r="K536" s="79">
        <f t="shared" si="245"/>
        <v>0</v>
      </c>
      <c r="L536" s="79">
        <f t="shared" si="245"/>
        <v>0</v>
      </c>
      <c r="M536" s="79">
        <f t="shared" si="245"/>
        <v>0</v>
      </c>
      <c r="N536" s="79">
        <f t="shared" si="245"/>
        <v>0</v>
      </c>
      <c r="O536" s="79">
        <f t="shared" si="245"/>
        <v>0</v>
      </c>
      <c r="P536" s="79">
        <f t="shared" si="245"/>
        <v>0</v>
      </c>
      <c r="Q536" s="79">
        <f t="shared" si="246"/>
        <v>0</v>
      </c>
      <c r="R536" s="79">
        <f t="shared" si="246"/>
        <v>0</v>
      </c>
      <c r="S536" s="79">
        <f t="shared" si="246"/>
        <v>0</v>
      </c>
      <c r="T536" s="79">
        <f t="shared" si="246"/>
        <v>0</v>
      </c>
      <c r="U536" s="79">
        <f t="shared" si="246"/>
        <v>0</v>
      </c>
      <c r="V536" s="79">
        <f t="shared" si="246"/>
        <v>0</v>
      </c>
      <c r="W536" s="79">
        <f t="shared" si="246"/>
        <v>0</v>
      </c>
      <c r="X536" s="63">
        <f t="shared" si="246"/>
        <v>0</v>
      </c>
      <c r="Y536" s="63">
        <f t="shared" si="246"/>
        <v>0</v>
      </c>
      <c r="Z536" s="63">
        <f t="shared" si="246"/>
        <v>0</v>
      </c>
      <c r="AA536" s="63">
        <f>SUM(G536:Z536)</f>
        <v>0</v>
      </c>
      <c r="AB536" s="58" t="str">
        <f>IF(ABS(F536-AA536)&lt;0.01,"ok","err")</f>
        <v>ok</v>
      </c>
    </row>
    <row r="537" spans="1:28" hidden="1">
      <c r="A537" s="60" t="s">
        <v>1133</v>
      </c>
      <c r="D537" s="60" t="s">
        <v>571</v>
      </c>
      <c r="F537" s="76">
        <f>SUM(F534:F536)</f>
        <v>-106787.72830435807</v>
      </c>
      <c r="G537" s="76">
        <f t="shared" ref="G537:W537" si="247">SUM(G534:G536)</f>
        <v>-47455.174664828104</v>
      </c>
      <c r="H537" s="76">
        <f t="shared" si="247"/>
        <v>-13659.839930579874</v>
      </c>
      <c r="I537" s="76">
        <f t="shared" si="247"/>
        <v>0</v>
      </c>
      <c r="J537" s="76">
        <f t="shared" si="247"/>
        <v>-1213.6887391653304</v>
      </c>
      <c r="K537" s="76">
        <f t="shared" si="247"/>
        <v>-14086.809648185364</v>
      </c>
      <c r="L537" s="76">
        <f t="shared" si="247"/>
        <v>0</v>
      </c>
      <c r="M537" s="76">
        <f t="shared" si="247"/>
        <v>0</v>
      </c>
      <c r="N537" s="76">
        <f t="shared" si="247"/>
        <v>-12814.698208881206</v>
      </c>
      <c r="O537" s="76">
        <f>SUM(O534:O536)</f>
        <v>-7608.6952475666849</v>
      </c>
      <c r="P537" s="76">
        <f t="shared" si="247"/>
        <v>-7881.2209551235674</v>
      </c>
      <c r="Q537" s="76">
        <f t="shared" si="247"/>
        <v>-794.46177271937893</v>
      </c>
      <c r="R537" s="76">
        <f t="shared" si="247"/>
        <v>-415.83272188706258</v>
      </c>
      <c r="S537" s="76">
        <f t="shared" si="247"/>
        <v>-819.17218173356684</v>
      </c>
      <c r="T537" s="76">
        <f t="shared" si="247"/>
        <v>-26.199491033067705</v>
      </c>
      <c r="U537" s="76">
        <f t="shared" si="247"/>
        <v>-11.934742654880644</v>
      </c>
      <c r="V537" s="76">
        <f t="shared" si="247"/>
        <v>0</v>
      </c>
      <c r="W537" s="76">
        <f t="shared" si="247"/>
        <v>0</v>
      </c>
      <c r="X537" s="62">
        <f>SUM(X534:X536)</f>
        <v>0</v>
      </c>
      <c r="Y537" s="62">
        <f>SUM(Y534:Y536)</f>
        <v>0</v>
      </c>
      <c r="Z537" s="62">
        <f>SUM(Z534:Z536)</f>
        <v>0</v>
      </c>
      <c r="AA537" s="64">
        <f>SUM(G537:Z537)</f>
        <v>-106787.7283043581</v>
      </c>
      <c r="AB537" s="58" t="str">
        <f>IF(ABS(F537-AA537)&lt;0.01,"ok","err")</f>
        <v>ok</v>
      </c>
    </row>
    <row r="538" spans="1:28">
      <c r="F538" s="79"/>
      <c r="G538" s="79"/>
    </row>
    <row r="539" spans="1:28" ht="15">
      <c r="A539" s="65" t="s">
        <v>348</v>
      </c>
      <c r="F539" s="79"/>
      <c r="G539" s="79"/>
    </row>
    <row r="540" spans="1:28">
      <c r="A540" s="68" t="s">
        <v>372</v>
      </c>
      <c r="C540" s="60" t="s">
        <v>533</v>
      </c>
      <c r="D540" s="60" t="s">
        <v>572</v>
      </c>
      <c r="E540" s="60" t="s">
        <v>1368</v>
      </c>
      <c r="F540" s="76">
        <f>VLOOKUP(C540,'Functional Assignment'!$C$2:$AP$780,'Functional Assignment'!$Q$2,)</f>
        <v>0</v>
      </c>
      <c r="G540" s="76">
        <f t="shared" ref="G540:Z540" si="248">IF(VLOOKUP($E540,$D$6:$AN$1131,3,)=0,0,(VLOOKUP($E540,$D$6:$AN$1131,G$2,)/VLOOKUP($E540,$D$6:$AN$1131,3,))*$F540)</f>
        <v>0</v>
      </c>
      <c r="H540" s="76">
        <f t="shared" si="248"/>
        <v>0</v>
      </c>
      <c r="I540" s="76">
        <f t="shared" si="248"/>
        <v>0</v>
      </c>
      <c r="J540" s="76">
        <f t="shared" si="248"/>
        <v>0</v>
      </c>
      <c r="K540" s="76">
        <f t="shared" si="248"/>
        <v>0</v>
      </c>
      <c r="L540" s="76">
        <f t="shared" si="248"/>
        <v>0</v>
      </c>
      <c r="M540" s="76">
        <f t="shared" si="248"/>
        <v>0</v>
      </c>
      <c r="N540" s="76">
        <f t="shared" si="248"/>
        <v>0</v>
      </c>
      <c r="O540" s="76">
        <f t="shared" si="248"/>
        <v>0</v>
      </c>
      <c r="P540" s="76">
        <f t="shared" si="248"/>
        <v>0</v>
      </c>
      <c r="Q540" s="76">
        <f t="shared" si="248"/>
        <v>0</v>
      </c>
      <c r="R540" s="76">
        <f t="shared" si="248"/>
        <v>0</v>
      </c>
      <c r="S540" s="76">
        <f t="shared" si="248"/>
        <v>0</v>
      </c>
      <c r="T540" s="76">
        <f t="shared" si="248"/>
        <v>0</v>
      </c>
      <c r="U540" s="76">
        <f t="shared" si="248"/>
        <v>0</v>
      </c>
      <c r="V540" s="76">
        <f t="shared" si="248"/>
        <v>0</v>
      </c>
      <c r="W540" s="76">
        <f t="shared" si="248"/>
        <v>0</v>
      </c>
      <c r="X540" s="62">
        <f t="shared" si="248"/>
        <v>0</v>
      </c>
      <c r="Y540" s="62">
        <f t="shared" si="248"/>
        <v>0</v>
      </c>
      <c r="Z540" s="62">
        <f t="shared" si="248"/>
        <v>0</v>
      </c>
      <c r="AA540" s="64">
        <f>SUM(G540:Z540)</f>
        <v>0</v>
      </c>
      <c r="AB540" s="58" t="str">
        <f>IF(ABS(F540-AA540)&lt;0.01,"ok","err")</f>
        <v>ok</v>
      </c>
    </row>
    <row r="541" spans="1:28">
      <c r="F541" s="79"/>
    </row>
    <row r="542" spans="1:28" ht="15">
      <c r="A542" s="65" t="s">
        <v>349</v>
      </c>
      <c r="F542" s="79"/>
      <c r="G542" s="79"/>
    </row>
    <row r="543" spans="1:28">
      <c r="A543" s="68" t="s">
        <v>374</v>
      </c>
      <c r="C543" s="60" t="s">
        <v>533</v>
      </c>
      <c r="D543" s="60" t="s">
        <v>573</v>
      </c>
      <c r="E543" s="60" t="s">
        <v>1368</v>
      </c>
      <c r="F543" s="76">
        <f>VLOOKUP(C543,'Functional Assignment'!$C$2:$AP$780,'Functional Assignment'!$R$2,)</f>
        <v>-37188.080668584982</v>
      </c>
      <c r="G543" s="76">
        <f t="shared" ref="G543:Z543" si="249">IF(VLOOKUP($E543,$D$6:$AN$1131,3,)=0,0,(VLOOKUP($E543,$D$6:$AN$1131,G$2,)/VLOOKUP($E543,$D$6:$AN$1131,3,))*$F543)</f>
        <v>-17842.778103023131</v>
      </c>
      <c r="H543" s="76">
        <f t="shared" si="249"/>
        <v>-5135.9940096226055</v>
      </c>
      <c r="I543" s="76">
        <f t="shared" si="249"/>
        <v>0</v>
      </c>
      <c r="J543" s="76">
        <f t="shared" si="249"/>
        <v>-456.33756512364425</v>
      </c>
      <c r="K543" s="76">
        <f t="shared" si="249"/>
        <v>-5296.5313162862694</v>
      </c>
      <c r="L543" s="76">
        <f t="shared" si="249"/>
        <v>0</v>
      </c>
      <c r="M543" s="76">
        <f t="shared" si="249"/>
        <v>0</v>
      </c>
      <c r="N543" s="76">
        <f t="shared" si="249"/>
        <v>-4818.2272684319396</v>
      </c>
      <c r="O543" s="76">
        <f t="shared" si="249"/>
        <v>-2860.810478830228</v>
      </c>
      <c r="P543" s="76">
        <f t="shared" si="249"/>
        <v>0</v>
      </c>
      <c r="Q543" s="76">
        <f t="shared" si="249"/>
        <v>-298.7114729233632</v>
      </c>
      <c r="R543" s="76">
        <f t="shared" si="249"/>
        <v>-156.34988253675334</v>
      </c>
      <c r="S543" s="76">
        <f t="shared" si="249"/>
        <v>-308.00239531463359</v>
      </c>
      <c r="T543" s="76">
        <f t="shared" si="249"/>
        <v>-9.8508056964679724</v>
      </c>
      <c r="U543" s="76">
        <f t="shared" si="249"/>
        <v>-4.4873707959513602</v>
      </c>
      <c r="V543" s="76">
        <f t="shared" si="249"/>
        <v>0</v>
      </c>
      <c r="W543" s="76">
        <f t="shared" si="249"/>
        <v>0</v>
      </c>
      <c r="X543" s="62">
        <f t="shared" si="249"/>
        <v>0</v>
      </c>
      <c r="Y543" s="62">
        <f t="shared" si="249"/>
        <v>0</v>
      </c>
      <c r="Z543" s="62">
        <f t="shared" si="249"/>
        <v>0</v>
      </c>
      <c r="AA543" s="64">
        <f>SUM(G543:Z543)</f>
        <v>-37188.080668584997</v>
      </c>
      <c r="AB543" s="58" t="str">
        <f>IF(ABS(F543-AA543)&lt;0.01,"ok","err")</f>
        <v>ok</v>
      </c>
    </row>
    <row r="544" spans="1:28">
      <c r="F544" s="79"/>
    </row>
    <row r="545" spans="1:28" ht="15">
      <c r="A545" s="65" t="s">
        <v>373</v>
      </c>
      <c r="F545" s="79"/>
    </row>
    <row r="546" spans="1:28">
      <c r="A546" s="68" t="s">
        <v>623</v>
      </c>
      <c r="C546" s="60" t="s">
        <v>533</v>
      </c>
      <c r="D546" s="60" t="s">
        <v>574</v>
      </c>
      <c r="E546" s="60" t="s">
        <v>1368</v>
      </c>
      <c r="F546" s="76">
        <f>VLOOKUP(C546,'Functional Assignment'!$C$2:$AP$780,'Functional Assignment'!$S$2,)</f>
        <v>0</v>
      </c>
      <c r="G546" s="76">
        <f t="shared" ref="G546:P550" si="250">IF(VLOOKUP($E546,$D$6:$AN$1131,3,)=0,0,(VLOOKUP($E546,$D$6:$AN$1131,G$2,)/VLOOKUP($E546,$D$6:$AN$1131,3,))*$F546)</f>
        <v>0</v>
      </c>
      <c r="H546" s="76">
        <f t="shared" si="250"/>
        <v>0</v>
      </c>
      <c r="I546" s="76">
        <f t="shared" si="250"/>
        <v>0</v>
      </c>
      <c r="J546" s="76">
        <f t="shared" si="250"/>
        <v>0</v>
      </c>
      <c r="K546" s="76">
        <f t="shared" si="250"/>
        <v>0</v>
      </c>
      <c r="L546" s="76">
        <f t="shared" si="250"/>
        <v>0</v>
      </c>
      <c r="M546" s="76">
        <f t="shared" si="250"/>
        <v>0</v>
      </c>
      <c r="N546" s="76">
        <f t="shared" si="250"/>
        <v>0</v>
      </c>
      <c r="O546" s="76">
        <f t="shared" si="250"/>
        <v>0</v>
      </c>
      <c r="P546" s="76">
        <f t="shared" si="250"/>
        <v>0</v>
      </c>
      <c r="Q546" s="76">
        <f t="shared" ref="Q546:Z550" si="251">IF(VLOOKUP($E546,$D$6:$AN$1131,3,)=0,0,(VLOOKUP($E546,$D$6:$AN$1131,Q$2,)/VLOOKUP($E546,$D$6:$AN$1131,3,))*$F546)</f>
        <v>0</v>
      </c>
      <c r="R546" s="76">
        <f t="shared" si="251"/>
        <v>0</v>
      </c>
      <c r="S546" s="76">
        <f t="shared" si="251"/>
        <v>0</v>
      </c>
      <c r="T546" s="76">
        <f t="shared" si="251"/>
        <v>0</v>
      </c>
      <c r="U546" s="76">
        <f t="shared" si="251"/>
        <v>0</v>
      </c>
      <c r="V546" s="76">
        <f t="shared" si="251"/>
        <v>0</v>
      </c>
      <c r="W546" s="76">
        <f t="shared" si="251"/>
        <v>0</v>
      </c>
      <c r="X546" s="62">
        <f t="shared" si="251"/>
        <v>0</v>
      </c>
      <c r="Y546" s="62">
        <f t="shared" si="251"/>
        <v>0</v>
      </c>
      <c r="Z546" s="62">
        <f t="shared" si="251"/>
        <v>0</v>
      </c>
      <c r="AA546" s="64">
        <f t="shared" ref="AA546:AA551" si="252">SUM(G546:Z546)</f>
        <v>0</v>
      </c>
      <c r="AB546" s="58" t="str">
        <f t="shared" ref="AB546:AB551" si="253">IF(ABS(F546-AA546)&lt;0.01,"ok","err")</f>
        <v>ok</v>
      </c>
    </row>
    <row r="547" spans="1:28">
      <c r="A547" s="68" t="s">
        <v>624</v>
      </c>
      <c r="C547" s="60" t="s">
        <v>533</v>
      </c>
      <c r="D547" s="60" t="s">
        <v>575</v>
      </c>
      <c r="E547" s="60" t="s">
        <v>1368</v>
      </c>
      <c r="F547" s="79">
        <f>VLOOKUP(C547,'Functional Assignment'!$C$2:$AP$780,'Functional Assignment'!$T$2,)</f>
        <v>-63595.443111471155</v>
      </c>
      <c r="G547" s="79">
        <f t="shared" si="250"/>
        <v>-30512.985865387149</v>
      </c>
      <c r="H547" s="79">
        <f t="shared" si="250"/>
        <v>-8783.0780451041574</v>
      </c>
      <c r="I547" s="79">
        <f t="shared" si="250"/>
        <v>0</v>
      </c>
      <c r="J547" s="79">
        <f t="shared" si="250"/>
        <v>-780.38417527053934</v>
      </c>
      <c r="K547" s="79">
        <f t="shared" si="250"/>
        <v>-9057.6133523759399</v>
      </c>
      <c r="L547" s="79">
        <f t="shared" si="250"/>
        <v>0</v>
      </c>
      <c r="M547" s="79">
        <f t="shared" si="250"/>
        <v>0</v>
      </c>
      <c r="N547" s="79">
        <f t="shared" si="250"/>
        <v>-8239.6642321622057</v>
      </c>
      <c r="O547" s="79">
        <f t="shared" si="250"/>
        <v>-4892.2801819358046</v>
      </c>
      <c r="P547" s="79">
        <f t="shared" si="250"/>
        <v>0</v>
      </c>
      <c r="Q547" s="79">
        <f t="shared" si="251"/>
        <v>-510.82734417883393</v>
      </c>
      <c r="R547" s="79">
        <f t="shared" si="251"/>
        <v>-267.37438129607119</v>
      </c>
      <c r="S547" s="79">
        <f t="shared" si="251"/>
        <v>-526.71577713273643</v>
      </c>
      <c r="T547" s="79">
        <f t="shared" si="251"/>
        <v>-16.845890995420447</v>
      </c>
      <c r="U547" s="79">
        <f t="shared" si="251"/>
        <v>-7.6738656323039649</v>
      </c>
      <c r="V547" s="79">
        <f t="shared" si="251"/>
        <v>0</v>
      </c>
      <c r="W547" s="79">
        <f t="shared" si="251"/>
        <v>0</v>
      </c>
      <c r="X547" s="63">
        <f t="shared" si="251"/>
        <v>0</v>
      </c>
      <c r="Y547" s="63">
        <f t="shared" si="251"/>
        <v>0</v>
      </c>
      <c r="Z547" s="63">
        <f t="shared" si="251"/>
        <v>0</v>
      </c>
      <c r="AA547" s="63">
        <f t="shared" si="252"/>
        <v>-63595.44311147117</v>
      </c>
      <c r="AB547" s="58" t="str">
        <f t="shared" si="253"/>
        <v>ok</v>
      </c>
    </row>
    <row r="548" spans="1:28">
      <c r="A548" s="68" t="s">
        <v>625</v>
      </c>
      <c r="C548" s="60" t="s">
        <v>533</v>
      </c>
      <c r="D548" s="60" t="s">
        <v>576</v>
      </c>
      <c r="E548" s="60" t="s">
        <v>698</v>
      </c>
      <c r="F548" s="79">
        <f>VLOOKUP(C548,'Functional Assignment'!$C$2:$AP$780,'Functional Assignment'!$U$2,)</f>
        <v>-101203.98635674978</v>
      </c>
      <c r="G548" s="79">
        <f t="shared" si="250"/>
        <v>-87249.296150976064</v>
      </c>
      <c r="H548" s="79">
        <f t="shared" si="250"/>
        <v>-10839.871036795384</v>
      </c>
      <c r="I548" s="79">
        <f t="shared" si="250"/>
        <v>0</v>
      </c>
      <c r="J548" s="79">
        <f t="shared" si="250"/>
        <v>-17.252928236825337</v>
      </c>
      <c r="K548" s="79">
        <f t="shared" si="250"/>
        <v>-676.73812262269746</v>
      </c>
      <c r="L548" s="79">
        <f t="shared" si="250"/>
        <v>0</v>
      </c>
      <c r="M548" s="79">
        <f t="shared" si="250"/>
        <v>0</v>
      </c>
      <c r="N548" s="79">
        <f t="shared" si="250"/>
        <v>-25.280332347014905</v>
      </c>
      <c r="O548" s="79">
        <f t="shared" si="250"/>
        <v>-66.136224907830453</v>
      </c>
      <c r="P548" s="79">
        <f t="shared" si="250"/>
        <v>0</v>
      </c>
      <c r="Q548" s="79">
        <f t="shared" si="251"/>
        <v>-0.23962400328924077</v>
      </c>
      <c r="R548" s="79">
        <f t="shared" si="251"/>
        <v>-0.23962400328924077</v>
      </c>
      <c r="S548" s="79">
        <f t="shared" si="251"/>
        <v>-2300.4436813552202</v>
      </c>
      <c r="T548" s="79">
        <f t="shared" si="251"/>
        <v>-4.393106726969414</v>
      </c>
      <c r="U548" s="79">
        <f t="shared" si="251"/>
        <v>-24.09552477519588</v>
      </c>
      <c r="V548" s="79">
        <f t="shared" si="251"/>
        <v>0</v>
      </c>
      <c r="W548" s="79">
        <f t="shared" si="251"/>
        <v>0</v>
      </c>
      <c r="X548" s="63">
        <f t="shared" si="251"/>
        <v>0</v>
      </c>
      <c r="Y548" s="63">
        <f t="shared" si="251"/>
        <v>0</v>
      </c>
      <c r="Z548" s="63">
        <f t="shared" si="251"/>
        <v>0</v>
      </c>
      <c r="AA548" s="63">
        <f t="shared" si="252"/>
        <v>-101203.98635674978</v>
      </c>
      <c r="AB548" s="58" t="str">
        <f t="shared" si="253"/>
        <v>ok</v>
      </c>
    </row>
    <row r="549" spans="1:28">
      <c r="A549" s="68" t="s">
        <v>626</v>
      </c>
      <c r="C549" s="60" t="s">
        <v>533</v>
      </c>
      <c r="D549" s="60" t="s">
        <v>577</v>
      </c>
      <c r="E549" s="60" t="s">
        <v>678</v>
      </c>
      <c r="F549" s="79">
        <f>VLOOKUP(C549,'Functional Assignment'!$C$2:$AP$780,'Functional Assignment'!$V$2,)</f>
        <v>-17482.626304005174</v>
      </c>
      <c r="G549" s="79">
        <f t="shared" si="250"/>
        <v>-14671.5601827562</v>
      </c>
      <c r="H549" s="79">
        <f t="shared" si="250"/>
        <v>-2684.829339934985</v>
      </c>
      <c r="I549" s="79">
        <f t="shared" si="250"/>
        <v>0</v>
      </c>
      <c r="J549" s="79">
        <f t="shared" si="250"/>
        <v>0</v>
      </c>
      <c r="K549" s="79">
        <f t="shared" si="250"/>
        <v>0</v>
      </c>
      <c r="L549" s="79">
        <f t="shared" si="250"/>
        <v>0</v>
      </c>
      <c r="M549" s="79">
        <f t="shared" si="250"/>
        <v>0</v>
      </c>
      <c r="N549" s="79">
        <f t="shared" si="250"/>
        <v>0</v>
      </c>
      <c r="O549" s="79">
        <f t="shared" si="250"/>
        <v>0</v>
      </c>
      <c r="P549" s="79">
        <f t="shared" si="250"/>
        <v>0</v>
      </c>
      <c r="Q549" s="79">
        <f t="shared" si="251"/>
        <v>0</v>
      </c>
      <c r="R549" s="79">
        <f t="shared" si="251"/>
        <v>0</v>
      </c>
      <c r="S549" s="79">
        <f t="shared" si="251"/>
        <v>-120.62158605585792</v>
      </c>
      <c r="T549" s="79">
        <f t="shared" si="251"/>
        <v>-3.857826514051117</v>
      </c>
      <c r="U549" s="79">
        <f t="shared" si="251"/>
        <v>-1.7573687440822119</v>
      </c>
      <c r="V549" s="79">
        <f t="shared" si="251"/>
        <v>0</v>
      </c>
      <c r="W549" s="79">
        <f t="shared" si="251"/>
        <v>0</v>
      </c>
      <c r="X549" s="63">
        <f t="shared" si="251"/>
        <v>0</v>
      </c>
      <c r="Y549" s="63">
        <f t="shared" si="251"/>
        <v>0</v>
      </c>
      <c r="Z549" s="63">
        <f t="shared" si="251"/>
        <v>0</v>
      </c>
      <c r="AA549" s="63">
        <f t="shared" si="252"/>
        <v>-17482.626304005174</v>
      </c>
      <c r="AB549" s="58" t="str">
        <f t="shared" si="253"/>
        <v>ok</v>
      </c>
    </row>
    <row r="550" spans="1:28">
      <c r="A550" s="68" t="s">
        <v>627</v>
      </c>
      <c r="C550" s="60" t="s">
        <v>533</v>
      </c>
      <c r="D550" s="60" t="s">
        <v>578</v>
      </c>
      <c r="E550" s="60" t="s">
        <v>697</v>
      </c>
      <c r="F550" s="79">
        <f>VLOOKUP(C550,'Functional Assignment'!$C$2:$AP$780,'Functional Assignment'!$W$2,)</f>
        <v>-26567.579103227159</v>
      </c>
      <c r="G550" s="79">
        <f t="shared" si="250"/>
        <v>-23083.513716343874</v>
      </c>
      <c r="H550" s="79">
        <f t="shared" si="250"/>
        <v>-2867.9006341584764</v>
      </c>
      <c r="I550" s="79">
        <f t="shared" si="250"/>
        <v>0</v>
      </c>
      <c r="J550" s="79">
        <f t="shared" si="250"/>
        <v>0</v>
      </c>
      <c r="K550" s="79">
        <f t="shared" si="250"/>
        <v>0</v>
      </c>
      <c r="L550" s="79">
        <f t="shared" si="250"/>
        <v>0</v>
      </c>
      <c r="M550" s="79">
        <f t="shared" si="250"/>
        <v>0</v>
      </c>
      <c r="N550" s="79">
        <f t="shared" si="250"/>
        <v>0</v>
      </c>
      <c r="O550" s="79">
        <f t="shared" si="250"/>
        <v>0</v>
      </c>
      <c r="P550" s="79">
        <f t="shared" si="250"/>
        <v>0</v>
      </c>
      <c r="Q550" s="79">
        <f t="shared" si="251"/>
        <v>0</v>
      </c>
      <c r="R550" s="79">
        <f t="shared" si="251"/>
        <v>0</v>
      </c>
      <c r="S550" s="79">
        <f t="shared" si="251"/>
        <v>-608.62752612183408</v>
      </c>
      <c r="T550" s="79">
        <f t="shared" si="251"/>
        <v>-1.1622826070010255</v>
      </c>
      <c r="U550" s="79">
        <f t="shared" si="251"/>
        <v>-6.3749439959753227</v>
      </c>
      <c r="V550" s="79">
        <f t="shared" si="251"/>
        <v>0</v>
      </c>
      <c r="W550" s="79">
        <f t="shared" si="251"/>
        <v>0</v>
      </c>
      <c r="X550" s="63">
        <f t="shared" si="251"/>
        <v>0</v>
      </c>
      <c r="Y550" s="63">
        <f t="shared" si="251"/>
        <v>0</v>
      </c>
      <c r="Z550" s="63">
        <f t="shared" si="251"/>
        <v>0</v>
      </c>
      <c r="AA550" s="63">
        <f t="shared" si="252"/>
        <v>-26567.579103227159</v>
      </c>
      <c r="AB550" s="58" t="str">
        <f t="shared" si="253"/>
        <v>ok</v>
      </c>
    </row>
    <row r="551" spans="1:28">
      <c r="A551" s="60" t="s">
        <v>378</v>
      </c>
      <c r="D551" s="60" t="s">
        <v>579</v>
      </c>
      <c r="F551" s="76">
        <f>SUM(F546:F550)</f>
        <v>-208849.63487545328</v>
      </c>
      <c r="G551" s="76">
        <f t="shared" ref="G551:W551" si="254">SUM(G546:G550)</f>
        <v>-155517.3559154633</v>
      </c>
      <c r="H551" s="76">
        <f t="shared" si="254"/>
        <v>-25175.679055993001</v>
      </c>
      <c r="I551" s="76">
        <f t="shared" si="254"/>
        <v>0</v>
      </c>
      <c r="J551" s="76">
        <f t="shared" si="254"/>
        <v>-797.63710350736471</v>
      </c>
      <c r="K551" s="76">
        <f t="shared" si="254"/>
        <v>-9734.3514749986371</v>
      </c>
      <c r="L551" s="76">
        <f t="shared" si="254"/>
        <v>0</v>
      </c>
      <c r="M551" s="76">
        <f t="shared" si="254"/>
        <v>0</v>
      </c>
      <c r="N551" s="76">
        <f t="shared" si="254"/>
        <v>-8264.9445645092201</v>
      </c>
      <c r="O551" s="76">
        <f>SUM(O546:O550)</f>
        <v>-4958.4164068436348</v>
      </c>
      <c r="P551" s="76">
        <f t="shared" si="254"/>
        <v>0</v>
      </c>
      <c r="Q551" s="76">
        <f t="shared" si="254"/>
        <v>-511.06696818212316</v>
      </c>
      <c r="R551" s="76">
        <f t="shared" si="254"/>
        <v>-267.61400529936043</v>
      </c>
      <c r="S551" s="76">
        <f t="shared" si="254"/>
        <v>-3556.4085706656488</v>
      </c>
      <c r="T551" s="76">
        <f t="shared" si="254"/>
        <v>-26.259106843442002</v>
      </c>
      <c r="U551" s="76">
        <f t="shared" si="254"/>
        <v>-39.901703147557377</v>
      </c>
      <c r="V551" s="76">
        <f t="shared" si="254"/>
        <v>0</v>
      </c>
      <c r="W551" s="76">
        <f t="shared" si="254"/>
        <v>0</v>
      </c>
      <c r="X551" s="62">
        <f>SUM(X546:X550)</f>
        <v>0</v>
      </c>
      <c r="Y551" s="62">
        <f>SUM(Y546:Y550)</f>
        <v>0</v>
      </c>
      <c r="Z551" s="62">
        <f>SUM(Z546:Z550)</f>
        <v>0</v>
      </c>
      <c r="AA551" s="64">
        <f t="shared" si="252"/>
        <v>-208849.63487545334</v>
      </c>
      <c r="AB551" s="58" t="str">
        <f t="shared" si="253"/>
        <v>ok</v>
      </c>
    </row>
    <row r="552" spans="1:28">
      <c r="F552" s="79"/>
    </row>
    <row r="553" spans="1:28" ht="15">
      <c r="A553" s="65" t="s">
        <v>634</v>
      </c>
      <c r="F553" s="79"/>
    </row>
    <row r="554" spans="1:28">
      <c r="A554" s="68" t="s">
        <v>1090</v>
      </c>
      <c r="C554" s="60" t="s">
        <v>533</v>
      </c>
      <c r="D554" s="60" t="s">
        <v>580</v>
      </c>
      <c r="E554" s="60" t="s">
        <v>1336</v>
      </c>
      <c r="F554" s="76">
        <f>VLOOKUP(C554,'Functional Assignment'!$C$2:$AP$780,'Functional Assignment'!$X$2,)</f>
        <v>-24166.2641652864</v>
      </c>
      <c r="G554" s="76">
        <f t="shared" ref="G554:P555" si="255">IF(VLOOKUP($E554,$D$6:$AN$1131,3,)=0,0,(VLOOKUP($E554,$D$6:$AN$1131,G$2,)/VLOOKUP($E554,$D$6:$AN$1131,3,))*$F554)</f>
        <v>-16766.57175353901</v>
      </c>
      <c r="H554" s="76">
        <f t="shared" si="255"/>
        <v>-3068.207008204502</v>
      </c>
      <c r="I554" s="76">
        <f t="shared" si="255"/>
        <v>0</v>
      </c>
      <c r="J554" s="76">
        <f t="shared" si="255"/>
        <v>0</v>
      </c>
      <c r="K554" s="76">
        <f t="shared" si="255"/>
        <v>-2702.1916421218257</v>
      </c>
      <c r="L554" s="76">
        <f t="shared" si="255"/>
        <v>0</v>
      </c>
      <c r="M554" s="76">
        <f t="shared" si="255"/>
        <v>0</v>
      </c>
      <c r="N554" s="76">
        <f t="shared" si="255"/>
        <v>0</v>
      </c>
      <c r="O554" s="76">
        <f t="shared" si="255"/>
        <v>-1485.0311182207577</v>
      </c>
      <c r="P554" s="76">
        <f t="shared" si="255"/>
        <v>0</v>
      </c>
      <c r="Q554" s="76">
        <f t="shared" ref="Q554:Z555" si="256">IF(VLOOKUP($E554,$D$6:$AN$1131,3,)=0,0,(VLOOKUP($E554,$D$6:$AN$1131,Q$2,)/VLOOKUP($E554,$D$6:$AN$1131,3,))*$F554)</f>
        <v>0</v>
      </c>
      <c r="R554" s="76">
        <f t="shared" si="256"/>
        <v>0</v>
      </c>
      <c r="S554" s="76">
        <f t="shared" si="256"/>
        <v>-137.84563144199242</v>
      </c>
      <c r="T554" s="76">
        <f t="shared" si="256"/>
        <v>-4.4087012052451016</v>
      </c>
      <c r="U554" s="76">
        <f t="shared" si="256"/>
        <v>-2.0083105530734242</v>
      </c>
      <c r="V554" s="76">
        <f t="shared" si="256"/>
        <v>0</v>
      </c>
      <c r="W554" s="76">
        <f t="shared" si="256"/>
        <v>0</v>
      </c>
      <c r="X554" s="62">
        <f t="shared" si="256"/>
        <v>0</v>
      </c>
      <c r="Y554" s="62">
        <f t="shared" si="256"/>
        <v>0</v>
      </c>
      <c r="Z554" s="62">
        <f t="shared" si="256"/>
        <v>0</v>
      </c>
      <c r="AA554" s="64">
        <f>SUM(G554:Z554)</f>
        <v>-24166.264165286408</v>
      </c>
      <c r="AB554" s="58" t="str">
        <f>IF(ABS(F554-AA554)&lt;0.01,"ok","err")</f>
        <v>ok</v>
      </c>
    </row>
    <row r="555" spans="1:28">
      <c r="A555" s="68" t="s">
        <v>1093</v>
      </c>
      <c r="C555" s="60" t="s">
        <v>533</v>
      </c>
      <c r="D555" s="60" t="s">
        <v>581</v>
      </c>
      <c r="E555" s="60" t="s">
        <v>1334</v>
      </c>
      <c r="F555" s="79">
        <f>VLOOKUP(C555,'Functional Assignment'!$C$2:$AP$780,'Functional Assignment'!$Y$2,)</f>
        <v>-16900.733733508026</v>
      </c>
      <c r="G555" s="79">
        <f t="shared" si="255"/>
        <v>-14576.541393294061</v>
      </c>
      <c r="H555" s="79">
        <f t="shared" si="255"/>
        <v>-1810.9925906152966</v>
      </c>
      <c r="I555" s="79">
        <f t="shared" si="255"/>
        <v>0</v>
      </c>
      <c r="J555" s="79">
        <f t="shared" si="255"/>
        <v>0</v>
      </c>
      <c r="K555" s="79">
        <f t="shared" si="255"/>
        <v>-113.06109839282077</v>
      </c>
      <c r="L555" s="79">
        <f t="shared" si="255"/>
        <v>0</v>
      </c>
      <c r="M555" s="79">
        <f t="shared" si="255"/>
        <v>0</v>
      </c>
      <c r="N555" s="79">
        <f t="shared" si="255"/>
        <v>0</v>
      </c>
      <c r="O555" s="79">
        <f t="shared" si="255"/>
        <v>-11.049228618383665</v>
      </c>
      <c r="P555" s="79">
        <f t="shared" si="255"/>
        <v>0</v>
      </c>
      <c r="Q555" s="79">
        <f t="shared" si="256"/>
        <v>0</v>
      </c>
      <c r="R555" s="79">
        <f t="shared" si="256"/>
        <v>0</v>
      </c>
      <c r="S555" s="79">
        <f t="shared" si="256"/>
        <v>-384.32989174137902</v>
      </c>
      <c r="T555" s="79">
        <f t="shared" si="256"/>
        <v>-0.7339463454240357</v>
      </c>
      <c r="U555" s="79">
        <f t="shared" si="256"/>
        <v>-4.0255845006591056</v>
      </c>
      <c r="V555" s="79">
        <f t="shared" si="256"/>
        <v>0</v>
      </c>
      <c r="W555" s="79">
        <f t="shared" si="256"/>
        <v>0</v>
      </c>
      <c r="X555" s="63">
        <f t="shared" si="256"/>
        <v>0</v>
      </c>
      <c r="Y555" s="63">
        <f t="shared" si="256"/>
        <v>0</v>
      </c>
      <c r="Z555" s="63">
        <f t="shared" si="256"/>
        <v>0</v>
      </c>
      <c r="AA555" s="63">
        <f>SUM(G555:Z555)</f>
        <v>-16900.733733508019</v>
      </c>
      <c r="AB555" s="58" t="str">
        <f>IF(ABS(F555-AA555)&lt;0.01,"ok","err")</f>
        <v>ok</v>
      </c>
    </row>
    <row r="556" spans="1:28">
      <c r="A556" s="60" t="s">
        <v>712</v>
      </c>
      <c r="D556" s="60" t="s">
        <v>582</v>
      </c>
      <c r="F556" s="76">
        <f>F554+F555</f>
        <v>-41066.997898794427</v>
      </c>
      <c r="G556" s="76">
        <f t="shared" ref="G556:W556" si="257">G554+G555</f>
        <v>-31343.113146833071</v>
      </c>
      <c r="H556" s="76">
        <f t="shared" si="257"/>
        <v>-4879.1995988197987</v>
      </c>
      <c r="I556" s="76">
        <f t="shared" si="257"/>
        <v>0</v>
      </c>
      <c r="J556" s="76">
        <f t="shared" si="257"/>
        <v>0</v>
      </c>
      <c r="K556" s="76">
        <f t="shared" si="257"/>
        <v>-2815.2527405146466</v>
      </c>
      <c r="L556" s="76">
        <f t="shared" si="257"/>
        <v>0</v>
      </c>
      <c r="M556" s="76">
        <f t="shared" si="257"/>
        <v>0</v>
      </c>
      <c r="N556" s="76">
        <f t="shared" si="257"/>
        <v>0</v>
      </c>
      <c r="O556" s="76">
        <f>O554+O555</f>
        <v>-1496.0803468391414</v>
      </c>
      <c r="P556" s="76">
        <f t="shared" si="257"/>
        <v>0</v>
      </c>
      <c r="Q556" s="76">
        <f t="shared" si="257"/>
        <v>0</v>
      </c>
      <c r="R556" s="76">
        <f t="shared" si="257"/>
        <v>0</v>
      </c>
      <c r="S556" s="76">
        <f t="shared" si="257"/>
        <v>-522.17552318337141</v>
      </c>
      <c r="T556" s="76">
        <f t="shared" si="257"/>
        <v>-5.1426475506691371</v>
      </c>
      <c r="U556" s="76">
        <f t="shared" si="257"/>
        <v>-6.0338950537325298</v>
      </c>
      <c r="V556" s="76">
        <f t="shared" si="257"/>
        <v>0</v>
      </c>
      <c r="W556" s="76">
        <f t="shared" si="257"/>
        <v>0</v>
      </c>
      <c r="X556" s="62">
        <f>X554+X555</f>
        <v>0</v>
      </c>
      <c r="Y556" s="62">
        <f>Y554+Y555</f>
        <v>0</v>
      </c>
      <c r="Z556" s="62">
        <f>Z554+Z555</f>
        <v>0</v>
      </c>
      <c r="AA556" s="64">
        <f>SUM(G556:Z556)</f>
        <v>-41066.997898794427</v>
      </c>
      <c r="AB556" s="58" t="str">
        <f>IF(ABS(F556-AA556)&lt;0.01,"ok","err")</f>
        <v>ok</v>
      </c>
    </row>
    <row r="557" spans="1:28">
      <c r="F557" s="79"/>
    </row>
    <row r="558" spans="1:28" ht="15">
      <c r="A558" s="65" t="s">
        <v>354</v>
      </c>
      <c r="F558" s="79"/>
    </row>
    <row r="559" spans="1:28">
      <c r="A559" s="68" t="s">
        <v>1093</v>
      </c>
      <c r="C559" s="60" t="s">
        <v>533</v>
      </c>
      <c r="D559" s="60" t="s">
        <v>583</v>
      </c>
      <c r="E559" s="60" t="s">
        <v>1095</v>
      </c>
      <c r="F559" s="76">
        <f>VLOOKUP(C559,'Functional Assignment'!$C$2:$AP$780,'Functional Assignment'!$Z$2,)</f>
        <v>-8393.220375975623</v>
      </c>
      <c r="G559" s="76">
        <f t="shared" ref="G559:Z559" si="258">IF(VLOOKUP($E559,$D$6:$AN$1131,3,)=0,0,(VLOOKUP($E559,$D$6:$AN$1131,G$2,)/VLOOKUP($E559,$D$6:$AN$1131,3,))*$F559)</f>
        <v>-6451.1668352060151</v>
      </c>
      <c r="H559" s="76">
        <f t="shared" si="258"/>
        <v>-1623.5539466342309</v>
      </c>
      <c r="I559" s="76">
        <f t="shared" si="258"/>
        <v>0</v>
      </c>
      <c r="J559" s="76">
        <f t="shared" si="258"/>
        <v>0</v>
      </c>
      <c r="K559" s="76">
        <f t="shared" si="258"/>
        <v>-283.23938864430647</v>
      </c>
      <c r="L559" s="76">
        <f t="shared" si="258"/>
        <v>0</v>
      </c>
      <c r="M559" s="76">
        <f t="shared" si="258"/>
        <v>0</v>
      </c>
      <c r="N559" s="76">
        <f t="shared" si="258"/>
        <v>0</v>
      </c>
      <c r="O559" s="76">
        <f t="shared" si="258"/>
        <v>-35.260205491069982</v>
      </c>
      <c r="P559" s="76">
        <f t="shared" si="258"/>
        <v>0</v>
      </c>
      <c r="Q559" s="76">
        <f t="shared" si="258"/>
        <v>0</v>
      </c>
      <c r="R559" s="76">
        <f t="shared" si="258"/>
        <v>0</v>
      </c>
      <c r="S559" s="76">
        <f t="shared" si="258"/>
        <v>0</v>
      </c>
      <c r="T559" s="76">
        <f t="shared" si="258"/>
        <v>0</v>
      </c>
      <c r="U559" s="76">
        <f t="shared" si="258"/>
        <v>0</v>
      </c>
      <c r="V559" s="76">
        <f t="shared" si="258"/>
        <v>0</v>
      </c>
      <c r="W559" s="76">
        <f t="shared" si="258"/>
        <v>0</v>
      </c>
      <c r="X559" s="62">
        <f t="shared" si="258"/>
        <v>0</v>
      </c>
      <c r="Y559" s="62">
        <f t="shared" si="258"/>
        <v>0</v>
      </c>
      <c r="Z559" s="62">
        <f t="shared" si="258"/>
        <v>0</v>
      </c>
      <c r="AA559" s="64">
        <f>SUM(G559:Z559)</f>
        <v>-8393.2203759756212</v>
      </c>
      <c r="AB559" s="58" t="str">
        <f>IF(ABS(F559-AA559)&lt;0.01,"ok","err")</f>
        <v>ok</v>
      </c>
    </row>
    <row r="560" spans="1:28">
      <c r="F560" s="79"/>
    </row>
    <row r="561" spans="1:28" ht="15">
      <c r="A561" s="65" t="s">
        <v>353</v>
      </c>
      <c r="F561" s="79"/>
    </row>
    <row r="562" spans="1:28">
      <c r="A562" s="68" t="s">
        <v>1093</v>
      </c>
      <c r="C562" s="60" t="s">
        <v>533</v>
      </c>
      <c r="D562" s="60" t="s">
        <v>584</v>
      </c>
      <c r="E562" s="60" t="s">
        <v>1096</v>
      </c>
      <c r="F562" s="76">
        <f>VLOOKUP(C562,'Functional Assignment'!$C$2:$AP$780,'Functional Assignment'!$AA$2,)</f>
        <v>-9735.9011972790304</v>
      </c>
      <c r="G562" s="76">
        <f t="shared" ref="G562:Z562" si="259">IF(VLOOKUP($E562,$D$6:$AN$1131,3,)=0,0,(VLOOKUP($E562,$D$6:$AN$1131,G$2,)/VLOOKUP($E562,$D$6:$AN$1131,3,))*$F562)</f>
        <v>-6814.3515982562949</v>
      </c>
      <c r="H562" s="76">
        <f t="shared" si="259"/>
        <v>-2003.4584843069404</v>
      </c>
      <c r="I562" s="76">
        <f t="shared" si="259"/>
        <v>0</v>
      </c>
      <c r="J562" s="76">
        <f t="shared" si="259"/>
        <v>-77.991375500260688</v>
      </c>
      <c r="K562" s="76">
        <f t="shared" si="259"/>
        <v>-538.94943220297887</v>
      </c>
      <c r="L562" s="76">
        <f t="shared" si="259"/>
        <v>0</v>
      </c>
      <c r="M562" s="76">
        <f t="shared" si="259"/>
        <v>0</v>
      </c>
      <c r="N562" s="76">
        <f t="shared" si="259"/>
        <v>-122.12708977171101</v>
      </c>
      <c r="O562" s="76">
        <f t="shared" si="259"/>
        <v>-56.777930291417654</v>
      </c>
      <c r="P562" s="76">
        <f t="shared" si="259"/>
        <v>-99.904888800623439</v>
      </c>
      <c r="Q562" s="76">
        <f t="shared" si="259"/>
        <v>-1.1576027466512893</v>
      </c>
      <c r="R562" s="76">
        <f t="shared" si="259"/>
        <v>-1.1576027466512893</v>
      </c>
      <c r="S562" s="76">
        <f t="shared" si="259"/>
        <v>0</v>
      </c>
      <c r="T562" s="76">
        <f t="shared" si="259"/>
        <v>-3.087996998278324</v>
      </c>
      <c r="U562" s="76">
        <f t="shared" si="259"/>
        <v>-16.937195657223533</v>
      </c>
      <c r="V562" s="76">
        <f t="shared" si="259"/>
        <v>0</v>
      </c>
      <c r="W562" s="76">
        <f t="shared" si="259"/>
        <v>0</v>
      </c>
      <c r="X562" s="62">
        <f t="shared" si="259"/>
        <v>0</v>
      </c>
      <c r="Y562" s="62">
        <f t="shared" si="259"/>
        <v>0</v>
      </c>
      <c r="Z562" s="62">
        <f t="shared" si="259"/>
        <v>0</v>
      </c>
      <c r="AA562" s="64">
        <f>SUM(G562:Z562)</f>
        <v>-9735.9011972790286</v>
      </c>
      <c r="AB562" s="58" t="str">
        <f>IF(ABS(F562-AA562)&lt;0.01,"ok","err")</f>
        <v>ok</v>
      </c>
    </row>
    <row r="563" spans="1:28"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62"/>
      <c r="Y563" s="62"/>
      <c r="Z563" s="62"/>
      <c r="AA563" s="64"/>
    </row>
    <row r="564" spans="1:28" ht="15">
      <c r="A564" s="65" t="s">
        <v>371</v>
      </c>
      <c r="F564" s="79"/>
    </row>
    <row r="565" spans="1:28">
      <c r="A565" s="68" t="s">
        <v>1093</v>
      </c>
      <c r="C565" s="60" t="s">
        <v>533</v>
      </c>
      <c r="D565" s="60" t="s">
        <v>585</v>
      </c>
      <c r="E565" s="60" t="s">
        <v>1097</v>
      </c>
      <c r="F565" s="76">
        <f>VLOOKUP(C565,'Functional Assignment'!$C$2:$AP$780,'Functional Assignment'!$AB$2,)</f>
        <v>-26677.088513766957</v>
      </c>
      <c r="G565" s="76">
        <f t="shared" ref="G565:Z565" si="260">IF(VLOOKUP($E565,$D$6:$AN$1131,3,)=0,0,(VLOOKUP($E565,$D$6:$AN$1131,G$2,)/VLOOKUP($E565,$D$6:$AN$1131,3,))*$F565)</f>
        <v>0</v>
      </c>
      <c r="H565" s="76">
        <f t="shared" si="260"/>
        <v>0</v>
      </c>
      <c r="I565" s="76">
        <f t="shared" si="260"/>
        <v>0</v>
      </c>
      <c r="J565" s="76">
        <f t="shared" si="260"/>
        <v>0</v>
      </c>
      <c r="K565" s="76">
        <f t="shared" si="260"/>
        <v>0</v>
      </c>
      <c r="L565" s="76">
        <f t="shared" si="260"/>
        <v>0</v>
      </c>
      <c r="M565" s="76">
        <f t="shared" si="260"/>
        <v>0</v>
      </c>
      <c r="N565" s="76">
        <f t="shared" si="260"/>
        <v>0</v>
      </c>
      <c r="O565" s="76">
        <f t="shared" si="260"/>
        <v>0</v>
      </c>
      <c r="P565" s="76">
        <f t="shared" si="260"/>
        <v>0</v>
      </c>
      <c r="Q565" s="76">
        <f t="shared" si="260"/>
        <v>0</v>
      </c>
      <c r="R565" s="76">
        <f t="shared" si="260"/>
        <v>0</v>
      </c>
      <c r="S565" s="76">
        <f t="shared" si="260"/>
        <v>-26677.088513766957</v>
      </c>
      <c r="T565" s="76">
        <f t="shared" si="260"/>
        <v>0</v>
      </c>
      <c r="U565" s="76">
        <f t="shared" si="260"/>
        <v>0</v>
      </c>
      <c r="V565" s="76">
        <f t="shared" si="260"/>
        <v>0</v>
      </c>
      <c r="W565" s="76">
        <f t="shared" si="260"/>
        <v>0</v>
      </c>
      <c r="X565" s="62">
        <f t="shared" si="260"/>
        <v>0</v>
      </c>
      <c r="Y565" s="62">
        <f t="shared" si="260"/>
        <v>0</v>
      </c>
      <c r="Z565" s="62">
        <f t="shared" si="260"/>
        <v>0</v>
      </c>
      <c r="AA565" s="64">
        <f>SUM(G565:Z565)</f>
        <v>-26677.088513766957</v>
      </c>
      <c r="AB565" s="58" t="str">
        <f>IF(ABS(F565-AA565)&lt;0.01,"ok","err")</f>
        <v>ok</v>
      </c>
    </row>
    <row r="566" spans="1:28"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62"/>
      <c r="Y566" s="62"/>
      <c r="Z566" s="62"/>
      <c r="AA566" s="64"/>
    </row>
    <row r="567" spans="1:28" ht="15">
      <c r="A567" s="65" t="s">
        <v>1025</v>
      </c>
      <c r="F567" s="79"/>
    </row>
    <row r="568" spans="1:28">
      <c r="A568" s="68" t="s">
        <v>1093</v>
      </c>
      <c r="C568" s="60" t="s">
        <v>533</v>
      </c>
      <c r="D568" s="60" t="s">
        <v>586</v>
      </c>
      <c r="E568" s="60" t="s">
        <v>1098</v>
      </c>
      <c r="F568" s="76">
        <f>VLOOKUP(C568,'Functional Assignment'!$C$2:$AP$780,'Functional Assignment'!$AC$2,)</f>
        <v>0</v>
      </c>
      <c r="G568" s="76">
        <f t="shared" ref="G568:Z568" si="261">IF(VLOOKUP($E568,$D$6:$AN$1131,3,)=0,0,(VLOOKUP($E568,$D$6:$AN$1131,G$2,)/VLOOKUP($E568,$D$6:$AN$1131,3,))*$F568)</f>
        <v>0</v>
      </c>
      <c r="H568" s="76">
        <f t="shared" si="261"/>
        <v>0</v>
      </c>
      <c r="I568" s="76">
        <f t="shared" si="261"/>
        <v>0</v>
      </c>
      <c r="J568" s="76">
        <f t="shared" si="261"/>
        <v>0</v>
      </c>
      <c r="K568" s="76">
        <f t="shared" si="261"/>
        <v>0</v>
      </c>
      <c r="L568" s="76">
        <f t="shared" si="261"/>
        <v>0</v>
      </c>
      <c r="M568" s="76">
        <f t="shared" si="261"/>
        <v>0</v>
      </c>
      <c r="N568" s="76">
        <f t="shared" si="261"/>
        <v>0</v>
      </c>
      <c r="O568" s="76">
        <f t="shared" si="261"/>
        <v>0</v>
      </c>
      <c r="P568" s="76">
        <f t="shared" si="261"/>
        <v>0</v>
      </c>
      <c r="Q568" s="76">
        <f t="shared" si="261"/>
        <v>0</v>
      </c>
      <c r="R568" s="76">
        <f t="shared" si="261"/>
        <v>0</v>
      </c>
      <c r="S568" s="76">
        <f t="shared" si="261"/>
        <v>0</v>
      </c>
      <c r="T568" s="76">
        <f t="shared" si="261"/>
        <v>0</v>
      </c>
      <c r="U568" s="76">
        <f t="shared" si="261"/>
        <v>0</v>
      </c>
      <c r="V568" s="76">
        <f t="shared" si="261"/>
        <v>0</v>
      </c>
      <c r="W568" s="76">
        <f t="shared" si="261"/>
        <v>0</v>
      </c>
      <c r="X568" s="62">
        <f t="shared" si="261"/>
        <v>0</v>
      </c>
      <c r="Y568" s="62">
        <f t="shared" si="261"/>
        <v>0</v>
      </c>
      <c r="Z568" s="62">
        <f t="shared" si="261"/>
        <v>0</v>
      </c>
      <c r="AA568" s="64">
        <f>SUM(G568:Z568)</f>
        <v>0</v>
      </c>
      <c r="AB568" s="58" t="str">
        <f>IF(ABS(F568-AA568)&lt;0.01,"ok","err")</f>
        <v>ok</v>
      </c>
    </row>
    <row r="569" spans="1:28"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62"/>
      <c r="Y569" s="62"/>
      <c r="Z569" s="62"/>
      <c r="AA569" s="64"/>
    </row>
    <row r="570" spans="1:28" ht="15">
      <c r="A570" s="65" t="s">
        <v>351</v>
      </c>
      <c r="F570" s="79"/>
    </row>
    <row r="571" spans="1:28">
      <c r="A571" s="68" t="s">
        <v>1093</v>
      </c>
      <c r="C571" s="60" t="s">
        <v>533</v>
      </c>
      <c r="D571" s="60" t="s">
        <v>587</v>
      </c>
      <c r="E571" s="60" t="s">
        <v>1098</v>
      </c>
      <c r="F571" s="76">
        <f>VLOOKUP(C571,'Functional Assignment'!$C$2:$AP$780,'Functional Assignment'!$AD$2,)</f>
        <v>0</v>
      </c>
      <c r="G571" s="76">
        <f t="shared" ref="G571:Z571" si="262">IF(VLOOKUP($E571,$D$6:$AN$1131,3,)=0,0,(VLOOKUP($E571,$D$6:$AN$1131,G$2,)/VLOOKUP($E571,$D$6:$AN$1131,3,))*$F571)</f>
        <v>0</v>
      </c>
      <c r="H571" s="76">
        <f t="shared" si="262"/>
        <v>0</v>
      </c>
      <c r="I571" s="76">
        <f t="shared" si="262"/>
        <v>0</v>
      </c>
      <c r="J571" s="76">
        <f t="shared" si="262"/>
        <v>0</v>
      </c>
      <c r="K571" s="76">
        <f t="shared" si="262"/>
        <v>0</v>
      </c>
      <c r="L571" s="76">
        <f t="shared" si="262"/>
        <v>0</v>
      </c>
      <c r="M571" s="76">
        <f t="shared" si="262"/>
        <v>0</v>
      </c>
      <c r="N571" s="76">
        <f t="shared" si="262"/>
        <v>0</v>
      </c>
      <c r="O571" s="76">
        <f t="shared" si="262"/>
        <v>0</v>
      </c>
      <c r="P571" s="76">
        <f t="shared" si="262"/>
        <v>0</v>
      </c>
      <c r="Q571" s="76">
        <f t="shared" si="262"/>
        <v>0</v>
      </c>
      <c r="R571" s="76">
        <f t="shared" si="262"/>
        <v>0</v>
      </c>
      <c r="S571" s="76">
        <f t="shared" si="262"/>
        <v>0</v>
      </c>
      <c r="T571" s="76">
        <f t="shared" si="262"/>
        <v>0</v>
      </c>
      <c r="U571" s="76">
        <f t="shared" si="262"/>
        <v>0</v>
      </c>
      <c r="V571" s="76">
        <f t="shared" si="262"/>
        <v>0</v>
      </c>
      <c r="W571" s="76">
        <f t="shared" si="262"/>
        <v>0</v>
      </c>
      <c r="X571" s="62">
        <f t="shared" si="262"/>
        <v>0</v>
      </c>
      <c r="Y571" s="62">
        <f t="shared" si="262"/>
        <v>0</v>
      </c>
      <c r="Z571" s="62">
        <f t="shared" si="262"/>
        <v>0</v>
      </c>
      <c r="AA571" s="64">
        <f>SUM(G571:Z571)</f>
        <v>0</v>
      </c>
      <c r="AB571" s="58" t="str">
        <f>IF(ABS(F571-AA571)&lt;0.01,"ok","err")</f>
        <v>ok</v>
      </c>
    </row>
    <row r="572" spans="1:28"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62"/>
      <c r="Y572" s="62"/>
      <c r="Z572" s="62"/>
      <c r="AA572" s="64"/>
    </row>
    <row r="573" spans="1:28" ht="15">
      <c r="A573" s="65" t="s">
        <v>350</v>
      </c>
      <c r="F573" s="79"/>
    </row>
    <row r="574" spans="1:28">
      <c r="A574" s="68" t="s">
        <v>1093</v>
      </c>
      <c r="C574" s="60" t="s">
        <v>533</v>
      </c>
      <c r="D574" s="60" t="s">
        <v>588</v>
      </c>
      <c r="E574" s="60" t="s">
        <v>1099</v>
      </c>
      <c r="F574" s="76">
        <f>VLOOKUP(C574,'Functional Assignment'!$C$2:$AP$780,'Functional Assignment'!$AE$2,)</f>
        <v>0</v>
      </c>
      <c r="G574" s="76">
        <f t="shared" ref="G574:Z574" si="263">IF(VLOOKUP($E574,$D$6:$AN$1131,3,)=0,0,(VLOOKUP($E574,$D$6:$AN$1131,G$2,)/VLOOKUP($E574,$D$6:$AN$1131,3,))*$F574)</f>
        <v>0</v>
      </c>
      <c r="H574" s="76">
        <f t="shared" si="263"/>
        <v>0</v>
      </c>
      <c r="I574" s="76">
        <f t="shared" si="263"/>
        <v>0</v>
      </c>
      <c r="J574" s="76">
        <f t="shared" si="263"/>
        <v>0</v>
      </c>
      <c r="K574" s="76">
        <f t="shared" si="263"/>
        <v>0</v>
      </c>
      <c r="L574" s="76">
        <f t="shared" si="263"/>
        <v>0</v>
      </c>
      <c r="M574" s="76">
        <f t="shared" si="263"/>
        <v>0</v>
      </c>
      <c r="N574" s="76">
        <f t="shared" si="263"/>
        <v>0</v>
      </c>
      <c r="O574" s="76">
        <f t="shared" si="263"/>
        <v>0</v>
      </c>
      <c r="P574" s="76">
        <f t="shared" si="263"/>
        <v>0</v>
      </c>
      <c r="Q574" s="76">
        <f t="shared" si="263"/>
        <v>0</v>
      </c>
      <c r="R574" s="76">
        <f t="shared" si="263"/>
        <v>0</v>
      </c>
      <c r="S574" s="76">
        <f t="shared" si="263"/>
        <v>0</v>
      </c>
      <c r="T574" s="76">
        <f t="shared" si="263"/>
        <v>0</v>
      </c>
      <c r="U574" s="76">
        <f t="shared" si="263"/>
        <v>0</v>
      </c>
      <c r="V574" s="76">
        <f t="shared" si="263"/>
        <v>0</v>
      </c>
      <c r="W574" s="76">
        <f t="shared" si="263"/>
        <v>0</v>
      </c>
      <c r="X574" s="62">
        <f t="shared" si="263"/>
        <v>0</v>
      </c>
      <c r="Y574" s="62">
        <f t="shared" si="263"/>
        <v>0</v>
      </c>
      <c r="Z574" s="62">
        <f t="shared" si="263"/>
        <v>0</v>
      </c>
      <c r="AA574" s="64">
        <f>SUM(G574:Z574)</f>
        <v>0</v>
      </c>
      <c r="AB574" s="58" t="str">
        <f>IF(ABS(F574-AA574)&lt;0.01,"ok","err")</f>
        <v>ok</v>
      </c>
    </row>
    <row r="575" spans="1:28"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62"/>
      <c r="Y575" s="62"/>
      <c r="Z575" s="62"/>
      <c r="AA575" s="64"/>
    </row>
    <row r="576" spans="1:28">
      <c r="A576" s="60" t="s">
        <v>922</v>
      </c>
      <c r="D576" s="60" t="s">
        <v>1111</v>
      </c>
      <c r="F576" s="76">
        <f>F531+F537+F540+F543+F551+F556+F559+F562+F565+F568+F571+F574</f>
        <v>-1002535.0000000001</v>
      </c>
      <c r="G576" s="76">
        <f t="shared" ref="G576:Z576" si="264">G531+G537+G540+G543+G551+G556+G559+G562+G565+G568+G571+G574</f>
        <v>-487602.74062498263</v>
      </c>
      <c r="H576" s="76">
        <f t="shared" si="264"/>
        <v>-127250.54986571152</v>
      </c>
      <c r="I576" s="76">
        <f t="shared" si="264"/>
        <v>0</v>
      </c>
      <c r="J576" s="76">
        <f t="shared" si="264"/>
        <v>-9413.4152784552807</v>
      </c>
      <c r="K576" s="76">
        <f t="shared" si="264"/>
        <v>-121375.59988597687</v>
      </c>
      <c r="L576" s="76">
        <f t="shared" si="264"/>
        <v>0</v>
      </c>
      <c r="M576" s="76">
        <f t="shared" si="264"/>
        <v>0</v>
      </c>
      <c r="N576" s="76">
        <f t="shared" si="264"/>
        <v>-100806.23977684391</v>
      </c>
      <c r="O576" s="76">
        <f>O531+O537+O540+O543+O551+O556+O559+O562+O565+O568+O571+O574</f>
        <v>-60262.236597702744</v>
      </c>
      <c r="P576" s="76">
        <f t="shared" si="264"/>
        <v>-52629.981168509992</v>
      </c>
      <c r="Q576" s="76">
        <f t="shared" si="264"/>
        <v>-6340.5732641552013</v>
      </c>
      <c r="R576" s="76">
        <f t="shared" si="264"/>
        <v>-2940.2221931308027</v>
      </c>
      <c r="S576" s="76">
        <f t="shared" si="264"/>
        <v>-33590.264559327814</v>
      </c>
      <c r="T576" s="76">
        <f t="shared" si="264"/>
        <v>-126.19543692052756</v>
      </c>
      <c r="U576" s="76">
        <f t="shared" si="264"/>
        <v>-196.98134828275855</v>
      </c>
      <c r="V576" s="76">
        <f t="shared" si="264"/>
        <v>0</v>
      </c>
      <c r="W576" s="76">
        <f t="shared" si="264"/>
        <v>0</v>
      </c>
      <c r="X576" s="62">
        <f t="shared" si="264"/>
        <v>0</v>
      </c>
      <c r="Y576" s="62">
        <f t="shared" si="264"/>
        <v>0</v>
      </c>
      <c r="Z576" s="62">
        <f t="shared" si="264"/>
        <v>0</v>
      </c>
      <c r="AA576" s="64">
        <f>SUM(G576:Z576)</f>
        <v>-1002535</v>
      </c>
      <c r="AB576" s="58" t="str">
        <f>IF(ABS(F576-AA576)&lt;0.01,"ok","err")</f>
        <v>ok</v>
      </c>
    </row>
    <row r="577" spans="1:28"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62"/>
      <c r="Y577" s="62"/>
      <c r="Z577" s="62"/>
      <c r="AA577" s="64"/>
      <c r="AB577" s="58"/>
    </row>
    <row r="578" spans="1:28"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62"/>
      <c r="Y578" s="62"/>
      <c r="Z578" s="62"/>
      <c r="AA578" s="64"/>
      <c r="AB578" s="58"/>
    </row>
    <row r="579" spans="1:28"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62"/>
      <c r="Y579" s="62"/>
      <c r="Z579" s="62"/>
      <c r="AA579" s="64"/>
      <c r="AB579" s="58"/>
    </row>
    <row r="580" spans="1:28" ht="15">
      <c r="A580" s="65" t="s">
        <v>1070</v>
      </c>
    </row>
    <row r="582" spans="1:28" ht="15">
      <c r="A582" s="65" t="s">
        <v>364</v>
      </c>
    </row>
    <row r="583" spans="1:28">
      <c r="A583" s="68" t="s">
        <v>359</v>
      </c>
      <c r="C583" s="60" t="s">
        <v>1075</v>
      </c>
      <c r="D583" s="60" t="s">
        <v>562</v>
      </c>
      <c r="E583" s="60" t="s">
        <v>869</v>
      </c>
      <c r="F583" s="76">
        <f>VLOOKUP(C583,'Functional Assignment'!$C$2:$AP$780,'Functional Assignment'!$H$2,)</f>
        <v>0</v>
      </c>
      <c r="G583" s="76">
        <f t="shared" ref="G583:P588" si="265">IF(VLOOKUP($E583,$D$6:$AN$1131,3,)=0,0,(VLOOKUP($E583,$D$6:$AN$1131,G$2,)/VLOOKUP($E583,$D$6:$AN$1131,3,))*$F583)</f>
        <v>0</v>
      </c>
      <c r="H583" s="76">
        <f t="shared" si="265"/>
        <v>0</v>
      </c>
      <c r="I583" s="76">
        <f t="shared" si="265"/>
        <v>0</v>
      </c>
      <c r="J583" s="76">
        <f t="shared" si="265"/>
        <v>0</v>
      </c>
      <c r="K583" s="76">
        <f t="shared" si="265"/>
        <v>0</v>
      </c>
      <c r="L583" s="76">
        <f t="shared" si="265"/>
        <v>0</v>
      </c>
      <c r="M583" s="76">
        <f t="shared" si="265"/>
        <v>0</v>
      </c>
      <c r="N583" s="76">
        <f t="shared" si="265"/>
        <v>0</v>
      </c>
      <c r="O583" s="76">
        <f t="shared" si="265"/>
        <v>0</v>
      </c>
      <c r="P583" s="76">
        <f t="shared" si="265"/>
        <v>0</v>
      </c>
      <c r="Q583" s="76">
        <f t="shared" ref="Q583:Z588" si="266">IF(VLOOKUP($E583,$D$6:$AN$1131,3,)=0,0,(VLOOKUP($E583,$D$6:$AN$1131,Q$2,)/VLOOKUP($E583,$D$6:$AN$1131,3,))*$F583)</f>
        <v>0</v>
      </c>
      <c r="R583" s="76">
        <f t="shared" si="266"/>
        <v>0</v>
      </c>
      <c r="S583" s="76">
        <f t="shared" si="266"/>
        <v>0</v>
      </c>
      <c r="T583" s="76">
        <f t="shared" si="266"/>
        <v>0</v>
      </c>
      <c r="U583" s="76">
        <f t="shared" si="266"/>
        <v>0</v>
      </c>
      <c r="V583" s="76">
        <f t="shared" si="266"/>
        <v>0</v>
      </c>
      <c r="W583" s="76">
        <f t="shared" si="266"/>
        <v>0</v>
      </c>
      <c r="X583" s="62">
        <f t="shared" si="266"/>
        <v>0</v>
      </c>
      <c r="Y583" s="62">
        <f t="shared" si="266"/>
        <v>0</v>
      </c>
      <c r="Z583" s="62">
        <f t="shared" si="266"/>
        <v>0</v>
      </c>
      <c r="AA583" s="64">
        <f t="shared" ref="AA583:AA589" si="267">SUM(G583:Z583)</f>
        <v>0</v>
      </c>
      <c r="AB583" s="58" t="str">
        <f t="shared" ref="AB583:AB589" si="268">IF(ABS(F583-AA583)&lt;0.01,"ok","err")</f>
        <v>ok</v>
      </c>
    </row>
    <row r="584" spans="1:28">
      <c r="A584" s="68" t="s">
        <v>1255</v>
      </c>
      <c r="C584" s="60" t="s">
        <v>1075</v>
      </c>
      <c r="D584" s="60" t="s">
        <v>563</v>
      </c>
      <c r="E584" s="60" t="s">
        <v>188</v>
      </c>
      <c r="F584" s="79">
        <f>VLOOKUP(C584,'Functional Assignment'!$C$2:$AP$780,'Functional Assignment'!$I$2,)</f>
        <v>0</v>
      </c>
      <c r="G584" s="79">
        <f t="shared" si="265"/>
        <v>0</v>
      </c>
      <c r="H584" s="79">
        <f t="shared" si="265"/>
        <v>0</v>
      </c>
      <c r="I584" s="79">
        <f t="shared" si="265"/>
        <v>0</v>
      </c>
      <c r="J584" s="79">
        <f t="shared" si="265"/>
        <v>0</v>
      </c>
      <c r="K584" s="79">
        <f t="shared" si="265"/>
        <v>0</v>
      </c>
      <c r="L584" s="79">
        <f t="shared" si="265"/>
        <v>0</v>
      </c>
      <c r="M584" s="79">
        <f t="shared" si="265"/>
        <v>0</v>
      </c>
      <c r="N584" s="79">
        <f t="shared" si="265"/>
        <v>0</v>
      </c>
      <c r="O584" s="79">
        <f t="shared" si="265"/>
        <v>0</v>
      </c>
      <c r="P584" s="79">
        <f t="shared" si="265"/>
        <v>0</v>
      </c>
      <c r="Q584" s="79">
        <f t="shared" si="266"/>
        <v>0</v>
      </c>
      <c r="R584" s="79">
        <f t="shared" si="266"/>
        <v>0</v>
      </c>
      <c r="S584" s="79">
        <f t="shared" si="266"/>
        <v>0</v>
      </c>
      <c r="T584" s="79">
        <f t="shared" si="266"/>
        <v>0</v>
      </c>
      <c r="U584" s="79">
        <f t="shared" si="266"/>
        <v>0</v>
      </c>
      <c r="V584" s="79">
        <f t="shared" si="266"/>
        <v>0</v>
      </c>
      <c r="W584" s="79">
        <f t="shared" si="266"/>
        <v>0</v>
      </c>
      <c r="X584" s="63">
        <f t="shared" si="266"/>
        <v>0</v>
      </c>
      <c r="Y584" s="63">
        <f t="shared" si="266"/>
        <v>0</v>
      </c>
      <c r="Z584" s="63">
        <f t="shared" si="266"/>
        <v>0</v>
      </c>
      <c r="AA584" s="63">
        <f t="shared" si="267"/>
        <v>0</v>
      </c>
      <c r="AB584" s="58" t="str">
        <f t="shared" si="268"/>
        <v>ok</v>
      </c>
    </row>
    <row r="585" spans="1:28">
      <c r="A585" s="68" t="s">
        <v>1256</v>
      </c>
      <c r="C585" s="60" t="s">
        <v>1075</v>
      </c>
      <c r="D585" s="60" t="s">
        <v>564</v>
      </c>
      <c r="E585" s="60" t="s">
        <v>191</v>
      </c>
      <c r="F585" s="79">
        <f>VLOOKUP(C585,'Functional Assignment'!$C$2:$AP$780,'Functional Assignment'!$J$2,)</f>
        <v>0</v>
      </c>
      <c r="G585" s="79">
        <f t="shared" si="265"/>
        <v>0</v>
      </c>
      <c r="H585" s="79">
        <f t="shared" si="265"/>
        <v>0</v>
      </c>
      <c r="I585" s="79">
        <f t="shared" si="265"/>
        <v>0</v>
      </c>
      <c r="J585" s="79">
        <f t="shared" si="265"/>
        <v>0</v>
      </c>
      <c r="K585" s="79">
        <f t="shared" si="265"/>
        <v>0</v>
      </c>
      <c r="L585" s="79">
        <f t="shared" si="265"/>
        <v>0</v>
      </c>
      <c r="M585" s="79">
        <f t="shared" si="265"/>
        <v>0</v>
      </c>
      <c r="N585" s="79">
        <f t="shared" si="265"/>
        <v>0</v>
      </c>
      <c r="O585" s="79">
        <f t="shared" si="265"/>
        <v>0</v>
      </c>
      <c r="P585" s="79">
        <f t="shared" si="265"/>
        <v>0</v>
      </c>
      <c r="Q585" s="79">
        <f t="shared" si="266"/>
        <v>0</v>
      </c>
      <c r="R585" s="79">
        <f t="shared" si="266"/>
        <v>0</v>
      </c>
      <c r="S585" s="79">
        <f t="shared" si="266"/>
        <v>0</v>
      </c>
      <c r="T585" s="79">
        <f t="shared" si="266"/>
        <v>0</v>
      </c>
      <c r="U585" s="79">
        <f t="shared" si="266"/>
        <v>0</v>
      </c>
      <c r="V585" s="79">
        <f t="shared" si="266"/>
        <v>0</v>
      </c>
      <c r="W585" s="79">
        <f t="shared" si="266"/>
        <v>0</v>
      </c>
      <c r="X585" s="63">
        <f t="shared" si="266"/>
        <v>0</v>
      </c>
      <c r="Y585" s="63">
        <f t="shared" si="266"/>
        <v>0</v>
      </c>
      <c r="Z585" s="63">
        <f t="shared" si="266"/>
        <v>0</v>
      </c>
      <c r="AA585" s="63">
        <f t="shared" si="267"/>
        <v>0</v>
      </c>
      <c r="AB585" s="58" t="str">
        <f t="shared" si="268"/>
        <v>ok</v>
      </c>
    </row>
    <row r="586" spans="1:28">
      <c r="A586" s="68" t="s">
        <v>1257</v>
      </c>
      <c r="C586" s="60" t="s">
        <v>1075</v>
      </c>
      <c r="D586" s="60" t="s">
        <v>565</v>
      </c>
      <c r="E586" s="60" t="s">
        <v>1091</v>
      </c>
      <c r="F586" s="79">
        <f>VLOOKUP(C586,'Functional Assignment'!$C$2:$AP$780,'Functional Assignment'!$K$2,)</f>
        <v>0</v>
      </c>
      <c r="G586" s="79">
        <f t="shared" si="265"/>
        <v>0</v>
      </c>
      <c r="H586" s="79">
        <f t="shared" si="265"/>
        <v>0</v>
      </c>
      <c r="I586" s="79">
        <f t="shared" si="265"/>
        <v>0</v>
      </c>
      <c r="J586" s="79">
        <f t="shared" si="265"/>
        <v>0</v>
      </c>
      <c r="K586" s="79">
        <f t="shared" si="265"/>
        <v>0</v>
      </c>
      <c r="L586" s="79">
        <f t="shared" si="265"/>
        <v>0</v>
      </c>
      <c r="M586" s="79">
        <f t="shared" si="265"/>
        <v>0</v>
      </c>
      <c r="N586" s="79">
        <f t="shared" si="265"/>
        <v>0</v>
      </c>
      <c r="O586" s="79">
        <f t="shared" si="265"/>
        <v>0</v>
      </c>
      <c r="P586" s="79">
        <f t="shared" si="265"/>
        <v>0</v>
      </c>
      <c r="Q586" s="79">
        <f t="shared" si="266"/>
        <v>0</v>
      </c>
      <c r="R586" s="79">
        <f t="shared" si="266"/>
        <v>0</v>
      </c>
      <c r="S586" s="79">
        <f t="shared" si="266"/>
        <v>0</v>
      </c>
      <c r="T586" s="79">
        <f t="shared" si="266"/>
        <v>0</v>
      </c>
      <c r="U586" s="79">
        <f t="shared" si="266"/>
        <v>0</v>
      </c>
      <c r="V586" s="79">
        <f t="shared" si="266"/>
        <v>0</v>
      </c>
      <c r="W586" s="79">
        <f t="shared" si="266"/>
        <v>0</v>
      </c>
      <c r="X586" s="63">
        <f t="shared" si="266"/>
        <v>0</v>
      </c>
      <c r="Y586" s="63">
        <f t="shared" si="266"/>
        <v>0</v>
      </c>
      <c r="Z586" s="63">
        <f t="shared" si="266"/>
        <v>0</v>
      </c>
      <c r="AA586" s="63">
        <f t="shared" si="267"/>
        <v>0</v>
      </c>
      <c r="AB586" s="58" t="str">
        <f t="shared" si="268"/>
        <v>ok</v>
      </c>
    </row>
    <row r="587" spans="1:28">
      <c r="A587" s="68" t="s">
        <v>1258</v>
      </c>
      <c r="C587" s="60" t="s">
        <v>1075</v>
      </c>
      <c r="D587" s="60" t="s">
        <v>566</v>
      </c>
      <c r="E587" s="60" t="s">
        <v>1091</v>
      </c>
      <c r="F587" s="79">
        <f>VLOOKUP(C587,'Functional Assignment'!$C$2:$AP$780,'Functional Assignment'!$L$2,)</f>
        <v>0</v>
      </c>
      <c r="G587" s="79">
        <f t="shared" si="265"/>
        <v>0</v>
      </c>
      <c r="H587" s="79">
        <f t="shared" si="265"/>
        <v>0</v>
      </c>
      <c r="I587" s="79">
        <f t="shared" si="265"/>
        <v>0</v>
      </c>
      <c r="J587" s="79">
        <f t="shared" si="265"/>
        <v>0</v>
      </c>
      <c r="K587" s="79">
        <f t="shared" si="265"/>
        <v>0</v>
      </c>
      <c r="L587" s="79">
        <f t="shared" si="265"/>
        <v>0</v>
      </c>
      <c r="M587" s="79">
        <f t="shared" si="265"/>
        <v>0</v>
      </c>
      <c r="N587" s="79">
        <f t="shared" si="265"/>
        <v>0</v>
      </c>
      <c r="O587" s="79">
        <f t="shared" si="265"/>
        <v>0</v>
      </c>
      <c r="P587" s="79">
        <f t="shared" si="265"/>
        <v>0</v>
      </c>
      <c r="Q587" s="79">
        <f t="shared" si="266"/>
        <v>0</v>
      </c>
      <c r="R587" s="79">
        <f t="shared" si="266"/>
        <v>0</v>
      </c>
      <c r="S587" s="79">
        <f t="shared" si="266"/>
        <v>0</v>
      </c>
      <c r="T587" s="79">
        <f t="shared" si="266"/>
        <v>0</v>
      </c>
      <c r="U587" s="79">
        <f t="shared" si="266"/>
        <v>0</v>
      </c>
      <c r="V587" s="79">
        <f t="shared" si="266"/>
        <v>0</v>
      </c>
      <c r="W587" s="79">
        <f t="shared" si="266"/>
        <v>0</v>
      </c>
      <c r="X587" s="63">
        <f t="shared" si="266"/>
        <v>0</v>
      </c>
      <c r="Y587" s="63">
        <f t="shared" si="266"/>
        <v>0</v>
      </c>
      <c r="Z587" s="63">
        <f t="shared" si="266"/>
        <v>0</v>
      </c>
      <c r="AA587" s="63">
        <f t="shared" si="267"/>
        <v>0</v>
      </c>
      <c r="AB587" s="58" t="str">
        <f t="shared" si="268"/>
        <v>ok</v>
      </c>
    </row>
    <row r="588" spans="1:28">
      <c r="A588" s="68" t="s">
        <v>1258</v>
      </c>
      <c r="C588" s="60" t="s">
        <v>1075</v>
      </c>
      <c r="D588" s="60" t="s">
        <v>567</v>
      </c>
      <c r="E588" s="60" t="s">
        <v>1091</v>
      </c>
      <c r="F588" s="79">
        <f>VLOOKUP(C588,'Functional Assignment'!$C$2:$AP$780,'Functional Assignment'!$M$2,)</f>
        <v>0</v>
      </c>
      <c r="G588" s="79">
        <f t="shared" si="265"/>
        <v>0</v>
      </c>
      <c r="H588" s="79">
        <f t="shared" si="265"/>
        <v>0</v>
      </c>
      <c r="I588" s="79">
        <f t="shared" si="265"/>
        <v>0</v>
      </c>
      <c r="J588" s="79">
        <f t="shared" si="265"/>
        <v>0</v>
      </c>
      <c r="K588" s="79">
        <f t="shared" si="265"/>
        <v>0</v>
      </c>
      <c r="L588" s="79">
        <f t="shared" si="265"/>
        <v>0</v>
      </c>
      <c r="M588" s="79">
        <f t="shared" si="265"/>
        <v>0</v>
      </c>
      <c r="N588" s="79">
        <f t="shared" si="265"/>
        <v>0</v>
      </c>
      <c r="O588" s="79">
        <f t="shared" si="265"/>
        <v>0</v>
      </c>
      <c r="P588" s="79">
        <f t="shared" si="265"/>
        <v>0</v>
      </c>
      <c r="Q588" s="79">
        <f t="shared" si="266"/>
        <v>0</v>
      </c>
      <c r="R588" s="79">
        <f t="shared" si="266"/>
        <v>0</v>
      </c>
      <c r="S588" s="79">
        <f t="shared" si="266"/>
        <v>0</v>
      </c>
      <c r="T588" s="79">
        <f t="shared" si="266"/>
        <v>0</v>
      </c>
      <c r="U588" s="79">
        <f t="shared" si="266"/>
        <v>0</v>
      </c>
      <c r="V588" s="79">
        <f t="shared" si="266"/>
        <v>0</v>
      </c>
      <c r="W588" s="79">
        <f t="shared" si="266"/>
        <v>0</v>
      </c>
      <c r="X588" s="63">
        <f t="shared" si="266"/>
        <v>0</v>
      </c>
      <c r="Y588" s="63">
        <f t="shared" si="266"/>
        <v>0</v>
      </c>
      <c r="Z588" s="63">
        <f t="shared" si="266"/>
        <v>0</v>
      </c>
      <c r="AA588" s="63">
        <f t="shared" si="267"/>
        <v>0</v>
      </c>
      <c r="AB588" s="58" t="str">
        <f t="shared" si="268"/>
        <v>ok</v>
      </c>
    </row>
    <row r="589" spans="1:28">
      <c r="A589" s="60" t="s">
        <v>387</v>
      </c>
      <c r="D589" s="60" t="s">
        <v>1110</v>
      </c>
      <c r="F589" s="76">
        <f>SUM(F583:F588)</f>
        <v>0</v>
      </c>
      <c r="G589" s="76">
        <f t="shared" ref="G589:P589" si="269">SUM(G583:G588)</f>
        <v>0</v>
      </c>
      <c r="H589" s="76">
        <f t="shared" si="269"/>
        <v>0</v>
      </c>
      <c r="I589" s="76">
        <f t="shared" si="269"/>
        <v>0</v>
      </c>
      <c r="J589" s="76">
        <f t="shared" si="269"/>
        <v>0</v>
      </c>
      <c r="K589" s="76">
        <f t="shared" si="269"/>
        <v>0</v>
      </c>
      <c r="L589" s="76">
        <f t="shared" si="269"/>
        <v>0</v>
      </c>
      <c r="M589" s="76">
        <f t="shared" si="269"/>
        <v>0</v>
      </c>
      <c r="N589" s="76">
        <f t="shared" si="269"/>
        <v>0</v>
      </c>
      <c r="O589" s="76">
        <f>SUM(O583:O588)</f>
        <v>0</v>
      </c>
      <c r="P589" s="76">
        <f t="shared" si="269"/>
        <v>0</v>
      </c>
      <c r="Q589" s="76">
        <f t="shared" ref="Q589:W589" si="270">SUM(Q583:Q588)</f>
        <v>0</v>
      </c>
      <c r="R589" s="76">
        <f t="shared" si="270"/>
        <v>0</v>
      </c>
      <c r="S589" s="76">
        <f t="shared" si="270"/>
        <v>0</v>
      </c>
      <c r="T589" s="76">
        <f t="shared" si="270"/>
        <v>0</v>
      </c>
      <c r="U589" s="76">
        <f t="shared" si="270"/>
        <v>0</v>
      </c>
      <c r="V589" s="76">
        <f t="shared" si="270"/>
        <v>0</v>
      </c>
      <c r="W589" s="76">
        <f t="shared" si="270"/>
        <v>0</v>
      </c>
      <c r="X589" s="62">
        <f>SUM(X583:X588)</f>
        <v>0</v>
      </c>
      <c r="Y589" s="62">
        <f>SUM(Y583:Y588)</f>
        <v>0</v>
      </c>
      <c r="Z589" s="62">
        <f>SUM(Z583:Z588)</f>
        <v>0</v>
      </c>
      <c r="AA589" s="64">
        <f t="shared" si="267"/>
        <v>0</v>
      </c>
      <c r="AB589" s="58" t="str">
        <f t="shared" si="268"/>
        <v>ok</v>
      </c>
    </row>
    <row r="590" spans="1:28">
      <c r="F590" s="79"/>
      <c r="G590" s="79"/>
    </row>
    <row r="591" spans="1:28" ht="15">
      <c r="A591" s="65" t="s">
        <v>1131</v>
      </c>
      <c r="F591" s="79"/>
      <c r="G591" s="79"/>
    </row>
    <row r="592" spans="1:28">
      <c r="A592" s="68" t="s">
        <v>1363</v>
      </c>
      <c r="C592" s="60" t="s">
        <v>1075</v>
      </c>
      <c r="D592" s="60" t="s">
        <v>568</v>
      </c>
      <c r="E592" s="60" t="s">
        <v>1367</v>
      </c>
      <c r="F592" s="76">
        <f>VLOOKUP(C592,'Functional Assignment'!$C$2:$AP$780,'Functional Assignment'!$N$2,)</f>
        <v>0</v>
      </c>
      <c r="G592" s="76">
        <f t="shared" ref="G592:P594" si="271">IF(VLOOKUP($E592,$D$6:$AN$1131,3,)=0,0,(VLOOKUP($E592,$D$6:$AN$1131,G$2,)/VLOOKUP($E592,$D$6:$AN$1131,3,))*$F592)</f>
        <v>0</v>
      </c>
      <c r="H592" s="76">
        <f t="shared" si="271"/>
        <v>0</v>
      </c>
      <c r="I592" s="76">
        <f t="shared" si="271"/>
        <v>0</v>
      </c>
      <c r="J592" s="76">
        <f t="shared" si="271"/>
        <v>0</v>
      </c>
      <c r="K592" s="76">
        <f t="shared" si="271"/>
        <v>0</v>
      </c>
      <c r="L592" s="76">
        <f t="shared" si="271"/>
        <v>0</v>
      </c>
      <c r="M592" s="76">
        <f t="shared" si="271"/>
        <v>0</v>
      </c>
      <c r="N592" s="76">
        <f t="shared" si="271"/>
        <v>0</v>
      </c>
      <c r="O592" s="76">
        <f t="shared" si="271"/>
        <v>0</v>
      </c>
      <c r="P592" s="76">
        <f t="shared" si="271"/>
        <v>0</v>
      </c>
      <c r="Q592" s="76">
        <f t="shared" ref="Q592:Z594" si="272">IF(VLOOKUP($E592,$D$6:$AN$1131,3,)=0,0,(VLOOKUP($E592,$D$6:$AN$1131,Q$2,)/VLOOKUP($E592,$D$6:$AN$1131,3,))*$F592)</f>
        <v>0</v>
      </c>
      <c r="R592" s="76">
        <f t="shared" si="272"/>
        <v>0</v>
      </c>
      <c r="S592" s="76">
        <f t="shared" si="272"/>
        <v>0</v>
      </c>
      <c r="T592" s="76">
        <f t="shared" si="272"/>
        <v>0</v>
      </c>
      <c r="U592" s="76">
        <f t="shared" si="272"/>
        <v>0</v>
      </c>
      <c r="V592" s="76">
        <f t="shared" si="272"/>
        <v>0</v>
      </c>
      <c r="W592" s="76">
        <f t="shared" si="272"/>
        <v>0</v>
      </c>
      <c r="X592" s="62">
        <f t="shared" si="272"/>
        <v>0</v>
      </c>
      <c r="Y592" s="62">
        <f t="shared" si="272"/>
        <v>0</v>
      </c>
      <c r="Z592" s="62">
        <f t="shared" si="272"/>
        <v>0</v>
      </c>
      <c r="AA592" s="64">
        <f>SUM(G592:Z592)</f>
        <v>0</v>
      </c>
      <c r="AB592" s="58" t="str">
        <f>IF(ABS(F592-AA592)&lt;0.01,"ok","err")</f>
        <v>ok</v>
      </c>
    </row>
    <row r="593" spans="1:28" hidden="1">
      <c r="A593" s="68" t="s">
        <v>1364</v>
      </c>
      <c r="C593" s="60" t="s">
        <v>1075</v>
      </c>
      <c r="D593" s="60" t="s">
        <v>569</v>
      </c>
      <c r="E593" s="60" t="s">
        <v>188</v>
      </c>
      <c r="F593" s="79">
        <f>VLOOKUP(C593,'Functional Assignment'!$C$2:$AP$780,'Functional Assignment'!$O$2,)</f>
        <v>0</v>
      </c>
      <c r="G593" s="79">
        <f t="shared" si="271"/>
        <v>0</v>
      </c>
      <c r="H593" s="79">
        <f t="shared" si="271"/>
        <v>0</v>
      </c>
      <c r="I593" s="79">
        <f t="shared" si="271"/>
        <v>0</v>
      </c>
      <c r="J593" s="79">
        <f t="shared" si="271"/>
        <v>0</v>
      </c>
      <c r="K593" s="79">
        <f t="shared" si="271"/>
        <v>0</v>
      </c>
      <c r="L593" s="79">
        <f t="shared" si="271"/>
        <v>0</v>
      </c>
      <c r="M593" s="79">
        <f t="shared" si="271"/>
        <v>0</v>
      </c>
      <c r="N593" s="79">
        <f t="shared" si="271"/>
        <v>0</v>
      </c>
      <c r="O593" s="79">
        <f t="shared" si="271"/>
        <v>0</v>
      </c>
      <c r="P593" s="79">
        <f t="shared" si="271"/>
        <v>0</v>
      </c>
      <c r="Q593" s="79">
        <f t="shared" si="272"/>
        <v>0</v>
      </c>
      <c r="R593" s="79">
        <f t="shared" si="272"/>
        <v>0</v>
      </c>
      <c r="S593" s="79">
        <f t="shared" si="272"/>
        <v>0</v>
      </c>
      <c r="T593" s="79">
        <f t="shared" si="272"/>
        <v>0</v>
      </c>
      <c r="U593" s="79">
        <f t="shared" si="272"/>
        <v>0</v>
      </c>
      <c r="V593" s="79">
        <f t="shared" si="272"/>
        <v>0</v>
      </c>
      <c r="W593" s="79">
        <f t="shared" si="272"/>
        <v>0</v>
      </c>
      <c r="X593" s="63">
        <f t="shared" si="272"/>
        <v>0</v>
      </c>
      <c r="Y593" s="63">
        <f t="shared" si="272"/>
        <v>0</v>
      </c>
      <c r="Z593" s="63">
        <f t="shared" si="272"/>
        <v>0</v>
      </c>
      <c r="AA593" s="63">
        <f>SUM(G593:Z593)</f>
        <v>0</v>
      </c>
      <c r="AB593" s="58" t="str">
        <f>IF(ABS(F593-AA593)&lt;0.01,"ok","err")</f>
        <v>ok</v>
      </c>
    </row>
    <row r="594" spans="1:28" hidden="1">
      <c r="A594" s="68" t="s">
        <v>1364</v>
      </c>
      <c r="C594" s="60" t="s">
        <v>1075</v>
      </c>
      <c r="D594" s="60" t="s">
        <v>570</v>
      </c>
      <c r="E594" s="60" t="s">
        <v>191</v>
      </c>
      <c r="F594" s="79">
        <f>VLOOKUP(C594,'Functional Assignment'!$C$2:$AP$780,'Functional Assignment'!$P$2,)</f>
        <v>0</v>
      </c>
      <c r="G594" s="79">
        <f t="shared" si="271"/>
        <v>0</v>
      </c>
      <c r="H594" s="79">
        <f t="shared" si="271"/>
        <v>0</v>
      </c>
      <c r="I594" s="79">
        <f t="shared" si="271"/>
        <v>0</v>
      </c>
      <c r="J594" s="79">
        <f t="shared" si="271"/>
        <v>0</v>
      </c>
      <c r="K594" s="79">
        <f t="shared" si="271"/>
        <v>0</v>
      </c>
      <c r="L594" s="79">
        <f t="shared" si="271"/>
        <v>0</v>
      </c>
      <c r="M594" s="79">
        <f t="shared" si="271"/>
        <v>0</v>
      </c>
      <c r="N594" s="79">
        <f t="shared" si="271"/>
        <v>0</v>
      </c>
      <c r="O594" s="79">
        <f t="shared" si="271"/>
        <v>0</v>
      </c>
      <c r="P594" s="79">
        <f t="shared" si="271"/>
        <v>0</v>
      </c>
      <c r="Q594" s="79">
        <f t="shared" si="272"/>
        <v>0</v>
      </c>
      <c r="R594" s="79">
        <f t="shared" si="272"/>
        <v>0</v>
      </c>
      <c r="S594" s="79">
        <f t="shared" si="272"/>
        <v>0</v>
      </c>
      <c r="T594" s="79">
        <f t="shared" si="272"/>
        <v>0</v>
      </c>
      <c r="U594" s="79">
        <f t="shared" si="272"/>
        <v>0</v>
      </c>
      <c r="V594" s="79">
        <f t="shared" si="272"/>
        <v>0</v>
      </c>
      <c r="W594" s="79">
        <f t="shared" si="272"/>
        <v>0</v>
      </c>
      <c r="X594" s="63">
        <f t="shared" si="272"/>
        <v>0</v>
      </c>
      <c r="Y594" s="63">
        <f t="shared" si="272"/>
        <v>0</v>
      </c>
      <c r="Z594" s="63">
        <f t="shared" si="272"/>
        <v>0</v>
      </c>
      <c r="AA594" s="63">
        <f>SUM(G594:Z594)</f>
        <v>0</v>
      </c>
      <c r="AB594" s="58" t="str">
        <f>IF(ABS(F594-AA594)&lt;0.01,"ok","err")</f>
        <v>ok</v>
      </c>
    </row>
    <row r="595" spans="1:28" hidden="1">
      <c r="A595" s="60" t="s">
        <v>1133</v>
      </c>
      <c r="D595" s="60" t="s">
        <v>571</v>
      </c>
      <c r="F595" s="76">
        <f>SUM(F592:F594)</f>
        <v>0</v>
      </c>
      <c r="G595" s="76">
        <f t="shared" ref="G595:W595" si="273">SUM(G592:G594)</f>
        <v>0</v>
      </c>
      <c r="H595" s="76">
        <f t="shared" si="273"/>
        <v>0</v>
      </c>
      <c r="I595" s="76">
        <f t="shared" si="273"/>
        <v>0</v>
      </c>
      <c r="J595" s="76">
        <f t="shared" si="273"/>
        <v>0</v>
      </c>
      <c r="K595" s="76">
        <f t="shared" si="273"/>
        <v>0</v>
      </c>
      <c r="L595" s="76">
        <f t="shared" si="273"/>
        <v>0</v>
      </c>
      <c r="M595" s="76">
        <f t="shared" si="273"/>
        <v>0</v>
      </c>
      <c r="N595" s="76">
        <f t="shared" si="273"/>
        <v>0</v>
      </c>
      <c r="O595" s="76">
        <f>SUM(O592:O594)</f>
        <v>0</v>
      </c>
      <c r="P595" s="76">
        <f t="shared" si="273"/>
        <v>0</v>
      </c>
      <c r="Q595" s="76">
        <f t="shared" si="273"/>
        <v>0</v>
      </c>
      <c r="R595" s="76">
        <f t="shared" si="273"/>
        <v>0</v>
      </c>
      <c r="S595" s="76">
        <f t="shared" si="273"/>
        <v>0</v>
      </c>
      <c r="T595" s="76">
        <f t="shared" si="273"/>
        <v>0</v>
      </c>
      <c r="U595" s="76">
        <f t="shared" si="273"/>
        <v>0</v>
      </c>
      <c r="V595" s="76">
        <f t="shared" si="273"/>
        <v>0</v>
      </c>
      <c r="W595" s="76">
        <f t="shared" si="273"/>
        <v>0</v>
      </c>
      <c r="X595" s="62">
        <f>SUM(X592:X594)</f>
        <v>0</v>
      </c>
      <c r="Y595" s="62">
        <f>SUM(Y592:Y594)</f>
        <v>0</v>
      </c>
      <c r="Z595" s="62">
        <f>SUM(Z592:Z594)</f>
        <v>0</v>
      </c>
      <c r="AA595" s="64">
        <f>SUM(G595:Z595)</f>
        <v>0</v>
      </c>
      <c r="AB595" s="58" t="str">
        <f>IF(ABS(F595-AA595)&lt;0.01,"ok","err")</f>
        <v>ok</v>
      </c>
    </row>
    <row r="596" spans="1:28">
      <c r="F596" s="79"/>
      <c r="G596" s="79"/>
    </row>
    <row r="597" spans="1:28" ht="15">
      <c r="A597" s="65" t="s">
        <v>348</v>
      </c>
      <c r="F597" s="79"/>
      <c r="G597" s="79"/>
    </row>
    <row r="598" spans="1:28">
      <c r="A598" s="68" t="s">
        <v>372</v>
      </c>
      <c r="C598" s="60" t="s">
        <v>1075</v>
      </c>
      <c r="D598" s="60" t="s">
        <v>572</v>
      </c>
      <c r="E598" s="60" t="s">
        <v>1368</v>
      </c>
      <c r="F598" s="76">
        <f>VLOOKUP(C598,'Functional Assignment'!$C$2:$AP$780,'Functional Assignment'!$Q$2,)</f>
        <v>0</v>
      </c>
      <c r="G598" s="76">
        <f t="shared" ref="G598:Z598" si="274">IF(VLOOKUP($E598,$D$6:$AN$1131,3,)=0,0,(VLOOKUP($E598,$D$6:$AN$1131,G$2,)/VLOOKUP($E598,$D$6:$AN$1131,3,))*$F598)</f>
        <v>0</v>
      </c>
      <c r="H598" s="76">
        <f t="shared" si="274"/>
        <v>0</v>
      </c>
      <c r="I598" s="76">
        <f t="shared" si="274"/>
        <v>0</v>
      </c>
      <c r="J598" s="76">
        <f t="shared" si="274"/>
        <v>0</v>
      </c>
      <c r="K598" s="76">
        <f t="shared" si="274"/>
        <v>0</v>
      </c>
      <c r="L598" s="76">
        <f t="shared" si="274"/>
        <v>0</v>
      </c>
      <c r="M598" s="76">
        <f t="shared" si="274"/>
        <v>0</v>
      </c>
      <c r="N598" s="76">
        <f t="shared" si="274"/>
        <v>0</v>
      </c>
      <c r="O598" s="76">
        <f t="shared" si="274"/>
        <v>0</v>
      </c>
      <c r="P598" s="76">
        <f t="shared" si="274"/>
        <v>0</v>
      </c>
      <c r="Q598" s="76">
        <f t="shared" si="274"/>
        <v>0</v>
      </c>
      <c r="R598" s="76">
        <f t="shared" si="274"/>
        <v>0</v>
      </c>
      <c r="S598" s="76">
        <f t="shared" si="274"/>
        <v>0</v>
      </c>
      <c r="T598" s="76">
        <f t="shared" si="274"/>
        <v>0</v>
      </c>
      <c r="U598" s="76">
        <f t="shared" si="274"/>
        <v>0</v>
      </c>
      <c r="V598" s="76">
        <f t="shared" si="274"/>
        <v>0</v>
      </c>
      <c r="W598" s="76">
        <f t="shared" si="274"/>
        <v>0</v>
      </c>
      <c r="X598" s="62">
        <f t="shared" si="274"/>
        <v>0</v>
      </c>
      <c r="Y598" s="62">
        <f t="shared" si="274"/>
        <v>0</v>
      </c>
      <c r="Z598" s="62">
        <f t="shared" si="274"/>
        <v>0</v>
      </c>
      <c r="AA598" s="64">
        <f>SUM(G598:Z598)</f>
        <v>0</v>
      </c>
      <c r="AB598" s="58" t="str">
        <f>IF(ABS(F598-AA598)&lt;0.01,"ok","err")</f>
        <v>ok</v>
      </c>
    </row>
    <row r="599" spans="1:28">
      <c r="F599" s="79"/>
    </row>
    <row r="600" spans="1:28" ht="15">
      <c r="A600" s="65" t="s">
        <v>349</v>
      </c>
      <c r="F600" s="79"/>
      <c r="G600" s="79"/>
    </row>
    <row r="601" spans="1:28">
      <c r="A601" s="68" t="s">
        <v>374</v>
      </c>
      <c r="C601" s="60" t="s">
        <v>1075</v>
      </c>
      <c r="D601" s="60" t="s">
        <v>573</v>
      </c>
      <c r="E601" s="60" t="s">
        <v>1368</v>
      </c>
      <c r="F601" s="76">
        <f>VLOOKUP(C601,'Functional Assignment'!$C$2:$AP$780,'Functional Assignment'!$R$2,)</f>
        <v>0</v>
      </c>
      <c r="G601" s="76">
        <f t="shared" ref="G601:Z601" si="275">IF(VLOOKUP($E601,$D$6:$AN$1131,3,)=0,0,(VLOOKUP($E601,$D$6:$AN$1131,G$2,)/VLOOKUP($E601,$D$6:$AN$1131,3,))*$F601)</f>
        <v>0</v>
      </c>
      <c r="H601" s="76">
        <f t="shared" si="275"/>
        <v>0</v>
      </c>
      <c r="I601" s="76">
        <f t="shared" si="275"/>
        <v>0</v>
      </c>
      <c r="J601" s="76">
        <f t="shared" si="275"/>
        <v>0</v>
      </c>
      <c r="K601" s="76">
        <f t="shared" si="275"/>
        <v>0</v>
      </c>
      <c r="L601" s="76">
        <f t="shared" si="275"/>
        <v>0</v>
      </c>
      <c r="M601" s="76">
        <f t="shared" si="275"/>
        <v>0</v>
      </c>
      <c r="N601" s="76">
        <f t="shared" si="275"/>
        <v>0</v>
      </c>
      <c r="O601" s="76">
        <f t="shared" si="275"/>
        <v>0</v>
      </c>
      <c r="P601" s="76">
        <f t="shared" si="275"/>
        <v>0</v>
      </c>
      <c r="Q601" s="76">
        <f t="shared" si="275"/>
        <v>0</v>
      </c>
      <c r="R601" s="76">
        <f t="shared" si="275"/>
        <v>0</v>
      </c>
      <c r="S601" s="76">
        <f t="shared" si="275"/>
        <v>0</v>
      </c>
      <c r="T601" s="76">
        <f t="shared" si="275"/>
        <v>0</v>
      </c>
      <c r="U601" s="76">
        <f t="shared" si="275"/>
        <v>0</v>
      </c>
      <c r="V601" s="76">
        <f t="shared" si="275"/>
        <v>0</v>
      </c>
      <c r="W601" s="76">
        <f t="shared" si="275"/>
        <v>0</v>
      </c>
      <c r="X601" s="62">
        <f t="shared" si="275"/>
        <v>0</v>
      </c>
      <c r="Y601" s="62">
        <f t="shared" si="275"/>
        <v>0</v>
      </c>
      <c r="Z601" s="62">
        <f t="shared" si="275"/>
        <v>0</v>
      </c>
      <c r="AA601" s="64">
        <f>SUM(G601:Z601)</f>
        <v>0</v>
      </c>
      <c r="AB601" s="58" t="str">
        <f>IF(ABS(F601-AA601)&lt;0.01,"ok","err")</f>
        <v>ok</v>
      </c>
    </row>
    <row r="602" spans="1:28">
      <c r="F602" s="79"/>
    </row>
    <row r="603" spans="1:28" ht="15">
      <c r="A603" s="65" t="s">
        <v>373</v>
      </c>
      <c r="F603" s="79"/>
    </row>
    <row r="604" spans="1:28">
      <c r="A604" s="68" t="s">
        <v>623</v>
      </c>
      <c r="C604" s="60" t="s">
        <v>1075</v>
      </c>
      <c r="D604" s="60" t="s">
        <v>574</v>
      </c>
      <c r="E604" s="60" t="s">
        <v>1368</v>
      </c>
      <c r="F604" s="76">
        <f>VLOOKUP(C604,'Functional Assignment'!$C$2:$AP$780,'Functional Assignment'!$S$2,)</f>
        <v>0</v>
      </c>
      <c r="G604" s="76">
        <f t="shared" ref="G604:P608" si="276">IF(VLOOKUP($E604,$D$6:$AN$1131,3,)=0,0,(VLOOKUP($E604,$D$6:$AN$1131,G$2,)/VLOOKUP($E604,$D$6:$AN$1131,3,))*$F604)</f>
        <v>0</v>
      </c>
      <c r="H604" s="76">
        <f t="shared" si="276"/>
        <v>0</v>
      </c>
      <c r="I604" s="76">
        <f t="shared" si="276"/>
        <v>0</v>
      </c>
      <c r="J604" s="76">
        <f t="shared" si="276"/>
        <v>0</v>
      </c>
      <c r="K604" s="76">
        <f t="shared" si="276"/>
        <v>0</v>
      </c>
      <c r="L604" s="76">
        <f t="shared" si="276"/>
        <v>0</v>
      </c>
      <c r="M604" s="76">
        <f t="shared" si="276"/>
        <v>0</v>
      </c>
      <c r="N604" s="76">
        <f t="shared" si="276"/>
        <v>0</v>
      </c>
      <c r="O604" s="76">
        <f t="shared" si="276"/>
        <v>0</v>
      </c>
      <c r="P604" s="76">
        <f t="shared" si="276"/>
        <v>0</v>
      </c>
      <c r="Q604" s="76">
        <f t="shared" ref="Q604:Z608" si="277">IF(VLOOKUP($E604,$D$6:$AN$1131,3,)=0,0,(VLOOKUP($E604,$D$6:$AN$1131,Q$2,)/VLOOKUP($E604,$D$6:$AN$1131,3,))*$F604)</f>
        <v>0</v>
      </c>
      <c r="R604" s="76">
        <f t="shared" si="277"/>
        <v>0</v>
      </c>
      <c r="S604" s="76">
        <f t="shared" si="277"/>
        <v>0</v>
      </c>
      <c r="T604" s="76">
        <f t="shared" si="277"/>
        <v>0</v>
      </c>
      <c r="U604" s="76">
        <f t="shared" si="277"/>
        <v>0</v>
      </c>
      <c r="V604" s="76">
        <f t="shared" si="277"/>
        <v>0</v>
      </c>
      <c r="W604" s="76">
        <f t="shared" si="277"/>
        <v>0</v>
      </c>
      <c r="X604" s="62">
        <f t="shared" si="277"/>
        <v>0</v>
      </c>
      <c r="Y604" s="62">
        <f t="shared" si="277"/>
        <v>0</v>
      </c>
      <c r="Z604" s="62">
        <f t="shared" si="277"/>
        <v>0</v>
      </c>
      <c r="AA604" s="64">
        <f t="shared" ref="AA604:AA609" si="278">SUM(G604:Z604)</f>
        <v>0</v>
      </c>
      <c r="AB604" s="58" t="str">
        <f t="shared" ref="AB604:AB609" si="279">IF(ABS(F604-AA604)&lt;0.01,"ok","err")</f>
        <v>ok</v>
      </c>
    </row>
    <row r="605" spans="1:28">
      <c r="A605" s="68" t="s">
        <v>624</v>
      </c>
      <c r="C605" s="60" t="s">
        <v>1075</v>
      </c>
      <c r="D605" s="60" t="s">
        <v>575</v>
      </c>
      <c r="E605" s="60" t="s">
        <v>1368</v>
      </c>
      <c r="F605" s="79">
        <f>VLOOKUP(C605,'Functional Assignment'!$C$2:$AP$780,'Functional Assignment'!$T$2,)</f>
        <v>0</v>
      </c>
      <c r="G605" s="79">
        <f t="shared" si="276"/>
        <v>0</v>
      </c>
      <c r="H605" s="79">
        <f t="shared" si="276"/>
        <v>0</v>
      </c>
      <c r="I605" s="79">
        <f t="shared" si="276"/>
        <v>0</v>
      </c>
      <c r="J605" s="79">
        <f t="shared" si="276"/>
        <v>0</v>
      </c>
      <c r="K605" s="79">
        <f t="shared" si="276"/>
        <v>0</v>
      </c>
      <c r="L605" s="79">
        <f t="shared" si="276"/>
        <v>0</v>
      </c>
      <c r="M605" s="79">
        <f t="shared" si="276"/>
        <v>0</v>
      </c>
      <c r="N605" s="79">
        <f t="shared" si="276"/>
        <v>0</v>
      </c>
      <c r="O605" s="79">
        <f t="shared" si="276"/>
        <v>0</v>
      </c>
      <c r="P605" s="79">
        <f t="shared" si="276"/>
        <v>0</v>
      </c>
      <c r="Q605" s="79">
        <f t="shared" si="277"/>
        <v>0</v>
      </c>
      <c r="R605" s="79">
        <f t="shared" si="277"/>
        <v>0</v>
      </c>
      <c r="S605" s="79">
        <f t="shared" si="277"/>
        <v>0</v>
      </c>
      <c r="T605" s="79">
        <f t="shared" si="277"/>
        <v>0</v>
      </c>
      <c r="U605" s="79">
        <f t="shared" si="277"/>
        <v>0</v>
      </c>
      <c r="V605" s="79">
        <f t="shared" si="277"/>
        <v>0</v>
      </c>
      <c r="W605" s="79">
        <f t="shared" si="277"/>
        <v>0</v>
      </c>
      <c r="X605" s="63">
        <f t="shared" si="277"/>
        <v>0</v>
      </c>
      <c r="Y605" s="63">
        <f t="shared" si="277"/>
        <v>0</v>
      </c>
      <c r="Z605" s="63">
        <f t="shared" si="277"/>
        <v>0</v>
      </c>
      <c r="AA605" s="63">
        <f t="shared" si="278"/>
        <v>0</v>
      </c>
      <c r="AB605" s="58" t="str">
        <f t="shared" si="279"/>
        <v>ok</v>
      </c>
    </row>
    <row r="606" spans="1:28">
      <c r="A606" s="68" t="s">
        <v>625</v>
      </c>
      <c r="C606" s="60" t="s">
        <v>1075</v>
      </c>
      <c r="D606" s="60" t="s">
        <v>576</v>
      </c>
      <c r="E606" s="60" t="s">
        <v>698</v>
      </c>
      <c r="F606" s="79">
        <f>VLOOKUP(C606,'Functional Assignment'!$C$2:$AP$780,'Functional Assignment'!$U$2,)</f>
        <v>0</v>
      </c>
      <c r="G606" s="79">
        <f t="shared" si="276"/>
        <v>0</v>
      </c>
      <c r="H606" s="79">
        <f t="shared" si="276"/>
        <v>0</v>
      </c>
      <c r="I606" s="79">
        <f t="shared" si="276"/>
        <v>0</v>
      </c>
      <c r="J606" s="79">
        <f t="shared" si="276"/>
        <v>0</v>
      </c>
      <c r="K606" s="79">
        <f t="shared" si="276"/>
        <v>0</v>
      </c>
      <c r="L606" s="79">
        <f t="shared" si="276"/>
        <v>0</v>
      </c>
      <c r="M606" s="79">
        <f t="shared" si="276"/>
        <v>0</v>
      </c>
      <c r="N606" s="79">
        <f t="shared" si="276"/>
        <v>0</v>
      </c>
      <c r="O606" s="79">
        <f t="shared" si="276"/>
        <v>0</v>
      </c>
      <c r="P606" s="79">
        <f t="shared" si="276"/>
        <v>0</v>
      </c>
      <c r="Q606" s="79">
        <f t="shared" si="277"/>
        <v>0</v>
      </c>
      <c r="R606" s="79">
        <f t="shared" si="277"/>
        <v>0</v>
      </c>
      <c r="S606" s="79">
        <f t="shared" si="277"/>
        <v>0</v>
      </c>
      <c r="T606" s="79">
        <f t="shared" si="277"/>
        <v>0</v>
      </c>
      <c r="U606" s="79">
        <f t="shared" si="277"/>
        <v>0</v>
      </c>
      <c r="V606" s="79">
        <f t="shared" si="277"/>
        <v>0</v>
      </c>
      <c r="W606" s="79">
        <f t="shared" si="277"/>
        <v>0</v>
      </c>
      <c r="X606" s="63">
        <f t="shared" si="277"/>
        <v>0</v>
      </c>
      <c r="Y606" s="63">
        <f t="shared" si="277"/>
        <v>0</v>
      </c>
      <c r="Z606" s="63">
        <f t="shared" si="277"/>
        <v>0</v>
      </c>
      <c r="AA606" s="63">
        <f t="shared" si="278"/>
        <v>0</v>
      </c>
      <c r="AB606" s="58" t="str">
        <f t="shared" si="279"/>
        <v>ok</v>
      </c>
    </row>
    <row r="607" spans="1:28">
      <c r="A607" s="68" t="s">
        <v>626</v>
      </c>
      <c r="C607" s="60" t="s">
        <v>1075</v>
      </c>
      <c r="D607" s="60" t="s">
        <v>577</v>
      </c>
      <c r="E607" s="60" t="s">
        <v>678</v>
      </c>
      <c r="F607" s="79">
        <f>VLOOKUP(C607,'Functional Assignment'!$C$2:$AP$780,'Functional Assignment'!$V$2,)</f>
        <v>0</v>
      </c>
      <c r="G607" s="79">
        <f t="shared" si="276"/>
        <v>0</v>
      </c>
      <c r="H607" s="79">
        <f t="shared" si="276"/>
        <v>0</v>
      </c>
      <c r="I607" s="79">
        <f t="shared" si="276"/>
        <v>0</v>
      </c>
      <c r="J607" s="79">
        <f t="shared" si="276"/>
        <v>0</v>
      </c>
      <c r="K607" s="79">
        <f t="shared" si="276"/>
        <v>0</v>
      </c>
      <c r="L607" s="79">
        <f t="shared" si="276"/>
        <v>0</v>
      </c>
      <c r="M607" s="79">
        <f t="shared" si="276"/>
        <v>0</v>
      </c>
      <c r="N607" s="79">
        <f t="shared" si="276"/>
        <v>0</v>
      </c>
      <c r="O607" s="79">
        <f t="shared" si="276"/>
        <v>0</v>
      </c>
      <c r="P607" s="79">
        <f t="shared" si="276"/>
        <v>0</v>
      </c>
      <c r="Q607" s="79">
        <f t="shared" si="277"/>
        <v>0</v>
      </c>
      <c r="R607" s="79">
        <f t="shared" si="277"/>
        <v>0</v>
      </c>
      <c r="S607" s="79">
        <f t="shared" si="277"/>
        <v>0</v>
      </c>
      <c r="T607" s="79">
        <f t="shared" si="277"/>
        <v>0</v>
      </c>
      <c r="U607" s="79">
        <f t="shared" si="277"/>
        <v>0</v>
      </c>
      <c r="V607" s="79">
        <f t="shared" si="277"/>
        <v>0</v>
      </c>
      <c r="W607" s="79">
        <f t="shared" si="277"/>
        <v>0</v>
      </c>
      <c r="X607" s="63">
        <f t="shared" si="277"/>
        <v>0</v>
      </c>
      <c r="Y607" s="63">
        <f t="shared" si="277"/>
        <v>0</v>
      </c>
      <c r="Z607" s="63">
        <f t="shared" si="277"/>
        <v>0</v>
      </c>
      <c r="AA607" s="63">
        <f t="shared" si="278"/>
        <v>0</v>
      </c>
      <c r="AB607" s="58" t="str">
        <f t="shared" si="279"/>
        <v>ok</v>
      </c>
    </row>
    <row r="608" spans="1:28">
      <c r="A608" s="68" t="s">
        <v>627</v>
      </c>
      <c r="C608" s="60" t="s">
        <v>1075</v>
      </c>
      <c r="D608" s="60" t="s">
        <v>578</v>
      </c>
      <c r="E608" s="60" t="s">
        <v>697</v>
      </c>
      <c r="F608" s="79">
        <f>VLOOKUP(C608,'Functional Assignment'!$C$2:$AP$780,'Functional Assignment'!$W$2,)</f>
        <v>0</v>
      </c>
      <c r="G608" s="79">
        <f t="shared" si="276"/>
        <v>0</v>
      </c>
      <c r="H608" s="79">
        <f t="shared" si="276"/>
        <v>0</v>
      </c>
      <c r="I608" s="79">
        <f t="shared" si="276"/>
        <v>0</v>
      </c>
      <c r="J608" s="79">
        <f t="shared" si="276"/>
        <v>0</v>
      </c>
      <c r="K608" s="79">
        <f t="shared" si="276"/>
        <v>0</v>
      </c>
      <c r="L608" s="79">
        <f t="shared" si="276"/>
        <v>0</v>
      </c>
      <c r="M608" s="79">
        <f t="shared" si="276"/>
        <v>0</v>
      </c>
      <c r="N608" s="79">
        <f t="shared" si="276"/>
        <v>0</v>
      </c>
      <c r="O608" s="79">
        <f t="shared" si="276"/>
        <v>0</v>
      </c>
      <c r="P608" s="79">
        <f t="shared" si="276"/>
        <v>0</v>
      </c>
      <c r="Q608" s="79">
        <f t="shared" si="277"/>
        <v>0</v>
      </c>
      <c r="R608" s="79">
        <f t="shared" si="277"/>
        <v>0</v>
      </c>
      <c r="S608" s="79">
        <f t="shared" si="277"/>
        <v>0</v>
      </c>
      <c r="T608" s="79">
        <f t="shared" si="277"/>
        <v>0</v>
      </c>
      <c r="U608" s="79">
        <f t="shared" si="277"/>
        <v>0</v>
      </c>
      <c r="V608" s="79">
        <f t="shared" si="277"/>
        <v>0</v>
      </c>
      <c r="W608" s="79">
        <f t="shared" si="277"/>
        <v>0</v>
      </c>
      <c r="X608" s="63">
        <f t="shared" si="277"/>
        <v>0</v>
      </c>
      <c r="Y608" s="63">
        <f t="shared" si="277"/>
        <v>0</v>
      </c>
      <c r="Z608" s="63">
        <f t="shared" si="277"/>
        <v>0</v>
      </c>
      <c r="AA608" s="63">
        <f t="shared" si="278"/>
        <v>0</v>
      </c>
      <c r="AB608" s="58" t="str">
        <f t="shared" si="279"/>
        <v>ok</v>
      </c>
    </row>
    <row r="609" spans="1:28">
      <c r="A609" s="60" t="s">
        <v>378</v>
      </c>
      <c r="D609" s="60" t="s">
        <v>579</v>
      </c>
      <c r="F609" s="76">
        <f>SUM(F604:F608)</f>
        <v>0</v>
      </c>
      <c r="G609" s="76">
        <f t="shared" ref="G609:W609" si="280">SUM(G604:G608)</f>
        <v>0</v>
      </c>
      <c r="H609" s="76">
        <f t="shared" si="280"/>
        <v>0</v>
      </c>
      <c r="I609" s="76">
        <f t="shared" si="280"/>
        <v>0</v>
      </c>
      <c r="J609" s="76">
        <f t="shared" si="280"/>
        <v>0</v>
      </c>
      <c r="K609" s="76">
        <f t="shared" si="280"/>
        <v>0</v>
      </c>
      <c r="L609" s="76">
        <f t="shared" si="280"/>
        <v>0</v>
      </c>
      <c r="M609" s="76">
        <f t="shared" si="280"/>
        <v>0</v>
      </c>
      <c r="N609" s="76">
        <f t="shared" si="280"/>
        <v>0</v>
      </c>
      <c r="O609" s="76">
        <f>SUM(O604:O608)</f>
        <v>0</v>
      </c>
      <c r="P609" s="76">
        <f t="shared" si="280"/>
        <v>0</v>
      </c>
      <c r="Q609" s="76">
        <f t="shared" si="280"/>
        <v>0</v>
      </c>
      <c r="R609" s="76">
        <f t="shared" si="280"/>
        <v>0</v>
      </c>
      <c r="S609" s="76">
        <f t="shared" si="280"/>
        <v>0</v>
      </c>
      <c r="T609" s="76">
        <f t="shared" si="280"/>
        <v>0</v>
      </c>
      <c r="U609" s="76">
        <f t="shared" si="280"/>
        <v>0</v>
      </c>
      <c r="V609" s="76">
        <f t="shared" si="280"/>
        <v>0</v>
      </c>
      <c r="W609" s="76">
        <f t="shared" si="280"/>
        <v>0</v>
      </c>
      <c r="X609" s="62">
        <f>SUM(X604:X608)</f>
        <v>0</v>
      </c>
      <c r="Y609" s="62">
        <f>SUM(Y604:Y608)</f>
        <v>0</v>
      </c>
      <c r="Z609" s="62">
        <f>SUM(Z604:Z608)</f>
        <v>0</v>
      </c>
      <c r="AA609" s="64">
        <f t="shared" si="278"/>
        <v>0</v>
      </c>
      <c r="AB609" s="58" t="str">
        <f t="shared" si="279"/>
        <v>ok</v>
      </c>
    </row>
    <row r="610" spans="1:28">
      <c r="F610" s="79"/>
    </row>
    <row r="611" spans="1:28" ht="15">
      <c r="A611" s="65" t="s">
        <v>634</v>
      </c>
      <c r="F611" s="79"/>
    </row>
    <row r="612" spans="1:28">
      <c r="A612" s="68" t="s">
        <v>1090</v>
      </c>
      <c r="C612" s="60" t="s">
        <v>1075</v>
      </c>
      <c r="D612" s="60" t="s">
        <v>580</v>
      </c>
      <c r="E612" s="60" t="s">
        <v>1336</v>
      </c>
      <c r="F612" s="76">
        <f>VLOOKUP(C612,'Functional Assignment'!$C$2:$AP$780,'Functional Assignment'!$X$2,)</f>
        <v>0</v>
      </c>
      <c r="G612" s="76">
        <f t="shared" ref="G612:P613" si="281">IF(VLOOKUP($E612,$D$6:$AN$1131,3,)=0,0,(VLOOKUP($E612,$D$6:$AN$1131,G$2,)/VLOOKUP($E612,$D$6:$AN$1131,3,))*$F612)</f>
        <v>0</v>
      </c>
      <c r="H612" s="76">
        <f t="shared" si="281"/>
        <v>0</v>
      </c>
      <c r="I612" s="76">
        <f t="shared" si="281"/>
        <v>0</v>
      </c>
      <c r="J612" s="76">
        <f t="shared" si="281"/>
        <v>0</v>
      </c>
      <c r="K612" s="76">
        <f t="shared" si="281"/>
        <v>0</v>
      </c>
      <c r="L612" s="76">
        <f t="shared" si="281"/>
        <v>0</v>
      </c>
      <c r="M612" s="76">
        <f t="shared" si="281"/>
        <v>0</v>
      </c>
      <c r="N612" s="76">
        <f t="shared" si="281"/>
        <v>0</v>
      </c>
      <c r="O612" s="76">
        <f t="shared" si="281"/>
        <v>0</v>
      </c>
      <c r="P612" s="76">
        <f t="shared" si="281"/>
        <v>0</v>
      </c>
      <c r="Q612" s="76">
        <f t="shared" ref="Q612:Z613" si="282">IF(VLOOKUP($E612,$D$6:$AN$1131,3,)=0,0,(VLOOKUP($E612,$D$6:$AN$1131,Q$2,)/VLOOKUP($E612,$D$6:$AN$1131,3,))*$F612)</f>
        <v>0</v>
      </c>
      <c r="R612" s="76">
        <f t="shared" si="282"/>
        <v>0</v>
      </c>
      <c r="S612" s="76">
        <f t="shared" si="282"/>
        <v>0</v>
      </c>
      <c r="T612" s="76">
        <f t="shared" si="282"/>
        <v>0</v>
      </c>
      <c r="U612" s="76">
        <f t="shared" si="282"/>
        <v>0</v>
      </c>
      <c r="V612" s="76">
        <f t="shared" si="282"/>
        <v>0</v>
      </c>
      <c r="W612" s="76">
        <f t="shared" si="282"/>
        <v>0</v>
      </c>
      <c r="X612" s="62">
        <f t="shared" si="282"/>
        <v>0</v>
      </c>
      <c r="Y612" s="62">
        <f t="shared" si="282"/>
        <v>0</v>
      </c>
      <c r="Z612" s="62">
        <f t="shared" si="282"/>
        <v>0</v>
      </c>
      <c r="AA612" s="64">
        <f>SUM(G612:Z612)</f>
        <v>0</v>
      </c>
      <c r="AB612" s="58" t="str">
        <f>IF(ABS(F612-AA612)&lt;0.01,"ok","err")</f>
        <v>ok</v>
      </c>
    </row>
    <row r="613" spans="1:28">
      <c r="A613" s="68" t="s">
        <v>1093</v>
      </c>
      <c r="C613" s="60" t="s">
        <v>1075</v>
      </c>
      <c r="D613" s="60" t="s">
        <v>581</v>
      </c>
      <c r="E613" s="60" t="s">
        <v>1334</v>
      </c>
      <c r="F613" s="79">
        <f>VLOOKUP(C613,'Functional Assignment'!$C$2:$AP$780,'Functional Assignment'!$Y$2,)</f>
        <v>0</v>
      </c>
      <c r="G613" s="79">
        <f t="shared" si="281"/>
        <v>0</v>
      </c>
      <c r="H613" s="79">
        <f t="shared" si="281"/>
        <v>0</v>
      </c>
      <c r="I613" s="79">
        <f t="shared" si="281"/>
        <v>0</v>
      </c>
      <c r="J613" s="79">
        <f t="shared" si="281"/>
        <v>0</v>
      </c>
      <c r="K613" s="79">
        <f t="shared" si="281"/>
        <v>0</v>
      </c>
      <c r="L613" s="79">
        <f t="shared" si="281"/>
        <v>0</v>
      </c>
      <c r="M613" s="79">
        <f t="shared" si="281"/>
        <v>0</v>
      </c>
      <c r="N613" s="79">
        <f t="shared" si="281"/>
        <v>0</v>
      </c>
      <c r="O613" s="79">
        <f t="shared" si="281"/>
        <v>0</v>
      </c>
      <c r="P613" s="79">
        <f t="shared" si="281"/>
        <v>0</v>
      </c>
      <c r="Q613" s="79">
        <f t="shared" si="282"/>
        <v>0</v>
      </c>
      <c r="R613" s="79">
        <f t="shared" si="282"/>
        <v>0</v>
      </c>
      <c r="S613" s="79">
        <f t="shared" si="282"/>
        <v>0</v>
      </c>
      <c r="T613" s="79">
        <f t="shared" si="282"/>
        <v>0</v>
      </c>
      <c r="U613" s="79">
        <f t="shared" si="282"/>
        <v>0</v>
      </c>
      <c r="V613" s="79">
        <f t="shared" si="282"/>
        <v>0</v>
      </c>
      <c r="W613" s="79">
        <f t="shared" si="282"/>
        <v>0</v>
      </c>
      <c r="X613" s="63">
        <f t="shared" si="282"/>
        <v>0</v>
      </c>
      <c r="Y613" s="63">
        <f t="shared" si="282"/>
        <v>0</v>
      </c>
      <c r="Z613" s="63">
        <f t="shared" si="282"/>
        <v>0</v>
      </c>
      <c r="AA613" s="63">
        <f>SUM(G613:Z613)</f>
        <v>0</v>
      </c>
      <c r="AB613" s="58" t="str">
        <f>IF(ABS(F613-AA613)&lt;0.01,"ok","err")</f>
        <v>ok</v>
      </c>
    </row>
    <row r="614" spans="1:28">
      <c r="A614" s="60" t="s">
        <v>712</v>
      </c>
      <c r="D614" s="60" t="s">
        <v>582</v>
      </c>
      <c r="F614" s="76">
        <f>F612+F613</f>
        <v>0</v>
      </c>
      <c r="G614" s="76">
        <f t="shared" ref="G614:W614" si="283">G612+G613</f>
        <v>0</v>
      </c>
      <c r="H614" s="76">
        <f t="shared" si="283"/>
        <v>0</v>
      </c>
      <c r="I614" s="76">
        <f t="shared" si="283"/>
        <v>0</v>
      </c>
      <c r="J614" s="76">
        <f t="shared" si="283"/>
        <v>0</v>
      </c>
      <c r="K614" s="76">
        <f t="shared" si="283"/>
        <v>0</v>
      </c>
      <c r="L614" s="76">
        <f t="shared" si="283"/>
        <v>0</v>
      </c>
      <c r="M614" s="76">
        <f t="shared" si="283"/>
        <v>0</v>
      </c>
      <c r="N614" s="76">
        <f t="shared" si="283"/>
        <v>0</v>
      </c>
      <c r="O614" s="76">
        <f>O612+O613</f>
        <v>0</v>
      </c>
      <c r="P614" s="76">
        <f t="shared" si="283"/>
        <v>0</v>
      </c>
      <c r="Q614" s="76">
        <f t="shared" si="283"/>
        <v>0</v>
      </c>
      <c r="R614" s="76">
        <f t="shared" si="283"/>
        <v>0</v>
      </c>
      <c r="S614" s="76">
        <f t="shared" si="283"/>
        <v>0</v>
      </c>
      <c r="T614" s="76">
        <f t="shared" si="283"/>
        <v>0</v>
      </c>
      <c r="U614" s="76">
        <f t="shared" si="283"/>
        <v>0</v>
      </c>
      <c r="V614" s="76">
        <f t="shared" si="283"/>
        <v>0</v>
      </c>
      <c r="W614" s="76">
        <f t="shared" si="283"/>
        <v>0</v>
      </c>
      <c r="X614" s="62">
        <f>X612+X613</f>
        <v>0</v>
      </c>
      <c r="Y614" s="62">
        <f>Y612+Y613</f>
        <v>0</v>
      </c>
      <c r="Z614" s="62">
        <f>Z612+Z613</f>
        <v>0</v>
      </c>
      <c r="AA614" s="64">
        <f>SUM(G614:Z614)</f>
        <v>0</v>
      </c>
      <c r="AB614" s="58" t="str">
        <f>IF(ABS(F614-AA614)&lt;0.01,"ok","err")</f>
        <v>ok</v>
      </c>
    </row>
    <row r="615" spans="1:28">
      <c r="F615" s="79"/>
    </row>
    <row r="616" spans="1:28" ht="15">
      <c r="A616" s="65" t="s">
        <v>354</v>
      </c>
      <c r="F616" s="79"/>
    </row>
    <row r="617" spans="1:28">
      <c r="A617" s="68" t="s">
        <v>1093</v>
      </c>
      <c r="C617" s="60" t="s">
        <v>1075</v>
      </c>
      <c r="D617" s="60" t="s">
        <v>583</v>
      </c>
      <c r="E617" s="60" t="s">
        <v>1095</v>
      </c>
      <c r="F617" s="76">
        <f>VLOOKUP(C617,'Functional Assignment'!$C$2:$AP$780,'Functional Assignment'!$Z$2,)</f>
        <v>0</v>
      </c>
      <c r="G617" s="76">
        <f t="shared" ref="G617:Z617" si="284">IF(VLOOKUP($E617,$D$6:$AN$1131,3,)=0,0,(VLOOKUP($E617,$D$6:$AN$1131,G$2,)/VLOOKUP($E617,$D$6:$AN$1131,3,))*$F617)</f>
        <v>0</v>
      </c>
      <c r="H617" s="76">
        <f t="shared" si="284"/>
        <v>0</v>
      </c>
      <c r="I617" s="76">
        <f t="shared" si="284"/>
        <v>0</v>
      </c>
      <c r="J617" s="76">
        <f t="shared" si="284"/>
        <v>0</v>
      </c>
      <c r="K617" s="76">
        <f t="shared" si="284"/>
        <v>0</v>
      </c>
      <c r="L617" s="76">
        <f t="shared" si="284"/>
        <v>0</v>
      </c>
      <c r="M617" s="76">
        <f t="shared" si="284"/>
        <v>0</v>
      </c>
      <c r="N617" s="76">
        <f t="shared" si="284"/>
        <v>0</v>
      </c>
      <c r="O617" s="76">
        <f t="shared" si="284"/>
        <v>0</v>
      </c>
      <c r="P617" s="76">
        <f t="shared" si="284"/>
        <v>0</v>
      </c>
      <c r="Q617" s="76">
        <f t="shared" si="284"/>
        <v>0</v>
      </c>
      <c r="R617" s="76">
        <f t="shared" si="284"/>
        <v>0</v>
      </c>
      <c r="S617" s="76">
        <f t="shared" si="284"/>
        <v>0</v>
      </c>
      <c r="T617" s="76">
        <f t="shared" si="284"/>
        <v>0</v>
      </c>
      <c r="U617" s="76">
        <f t="shared" si="284"/>
        <v>0</v>
      </c>
      <c r="V617" s="76">
        <f t="shared" si="284"/>
        <v>0</v>
      </c>
      <c r="W617" s="76">
        <f t="shared" si="284"/>
        <v>0</v>
      </c>
      <c r="X617" s="62">
        <f t="shared" si="284"/>
        <v>0</v>
      </c>
      <c r="Y617" s="62">
        <f t="shared" si="284"/>
        <v>0</v>
      </c>
      <c r="Z617" s="62">
        <f t="shared" si="284"/>
        <v>0</v>
      </c>
      <c r="AA617" s="64">
        <f>SUM(G617:Z617)</f>
        <v>0</v>
      </c>
      <c r="AB617" s="58" t="str">
        <f>IF(ABS(F617-AA617)&lt;0.01,"ok","err")</f>
        <v>ok</v>
      </c>
    </row>
    <row r="618" spans="1:28">
      <c r="F618" s="79"/>
    </row>
    <row r="619" spans="1:28" ht="15">
      <c r="A619" s="65" t="s">
        <v>353</v>
      </c>
      <c r="F619" s="79"/>
    </row>
    <row r="620" spans="1:28">
      <c r="A620" s="68" t="s">
        <v>1093</v>
      </c>
      <c r="C620" s="60" t="s">
        <v>1075</v>
      </c>
      <c r="D620" s="60" t="s">
        <v>584</v>
      </c>
      <c r="E620" s="60" t="s">
        <v>1096</v>
      </c>
      <c r="F620" s="76">
        <f>VLOOKUP(C620,'Functional Assignment'!$C$2:$AP$780,'Functional Assignment'!$AA$2,)</f>
        <v>0</v>
      </c>
      <c r="G620" s="76">
        <f t="shared" ref="G620:Z620" si="285">IF(VLOOKUP($E620,$D$6:$AN$1131,3,)=0,0,(VLOOKUP($E620,$D$6:$AN$1131,G$2,)/VLOOKUP($E620,$D$6:$AN$1131,3,))*$F620)</f>
        <v>0</v>
      </c>
      <c r="H620" s="76">
        <f t="shared" si="285"/>
        <v>0</v>
      </c>
      <c r="I620" s="76">
        <f t="shared" si="285"/>
        <v>0</v>
      </c>
      <c r="J620" s="76">
        <f t="shared" si="285"/>
        <v>0</v>
      </c>
      <c r="K620" s="76">
        <f t="shared" si="285"/>
        <v>0</v>
      </c>
      <c r="L620" s="76">
        <f t="shared" si="285"/>
        <v>0</v>
      </c>
      <c r="M620" s="76">
        <f t="shared" si="285"/>
        <v>0</v>
      </c>
      <c r="N620" s="76">
        <f t="shared" si="285"/>
        <v>0</v>
      </c>
      <c r="O620" s="76">
        <f t="shared" si="285"/>
        <v>0</v>
      </c>
      <c r="P620" s="76">
        <f t="shared" si="285"/>
        <v>0</v>
      </c>
      <c r="Q620" s="76">
        <f t="shared" si="285"/>
        <v>0</v>
      </c>
      <c r="R620" s="76">
        <f t="shared" si="285"/>
        <v>0</v>
      </c>
      <c r="S620" s="76">
        <f t="shared" si="285"/>
        <v>0</v>
      </c>
      <c r="T620" s="76">
        <f t="shared" si="285"/>
        <v>0</v>
      </c>
      <c r="U620" s="76">
        <f t="shared" si="285"/>
        <v>0</v>
      </c>
      <c r="V620" s="76">
        <f t="shared" si="285"/>
        <v>0</v>
      </c>
      <c r="W620" s="76">
        <f t="shared" si="285"/>
        <v>0</v>
      </c>
      <c r="X620" s="62">
        <f t="shared" si="285"/>
        <v>0</v>
      </c>
      <c r="Y620" s="62">
        <f t="shared" si="285"/>
        <v>0</v>
      </c>
      <c r="Z620" s="62">
        <f t="shared" si="285"/>
        <v>0</v>
      </c>
      <c r="AA620" s="64">
        <f>SUM(G620:Z620)</f>
        <v>0</v>
      </c>
      <c r="AB620" s="58" t="str">
        <f>IF(ABS(F620-AA620)&lt;0.01,"ok","err")</f>
        <v>ok</v>
      </c>
    </row>
    <row r="621" spans="1:28"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62"/>
      <c r="Y621" s="62"/>
      <c r="Z621" s="62"/>
      <c r="AA621" s="64"/>
    </row>
    <row r="622" spans="1:28" ht="15">
      <c r="A622" s="65" t="s">
        <v>371</v>
      </c>
      <c r="F622" s="79"/>
    </row>
    <row r="623" spans="1:28">
      <c r="A623" s="68" t="s">
        <v>1093</v>
      </c>
      <c r="C623" s="60" t="s">
        <v>1075</v>
      </c>
      <c r="D623" s="60" t="s">
        <v>585</v>
      </c>
      <c r="E623" s="60" t="s">
        <v>1097</v>
      </c>
      <c r="F623" s="76">
        <f>VLOOKUP(C623,'Functional Assignment'!$C$2:$AP$780,'Functional Assignment'!$AB$2,)</f>
        <v>0</v>
      </c>
      <c r="G623" s="76">
        <f t="shared" ref="G623:Z623" si="286">IF(VLOOKUP($E623,$D$6:$AN$1131,3,)=0,0,(VLOOKUP($E623,$D$6:$AN$1131,G$2,)/VLOOKUP($E623,$D$6:$AN$1131,3,))*$F623)</f>
        <v>0</v>
      </c>
      <c r="H623" s="76">
        <f t="shared" si="286"/>
        <v>0</v>
      </c>
      <c r="I623" s="76">
        <f t="shared" si="286"/>
        <v>0</v>
      </c>
      <c r="J623" s="76">
        <f t="shared" si="286"/>
        <v>0</v>
      </c>
      <c r="K623" s="76">
        <f t="shared" si="286"/>
        <v>0</v>
      </c>
      <c r="L623" s="76">
        <f t="shared" si="286"/>
        <v>0</v>
      </c>
      <c r="M623" s="76">
        <f t="shared" si="286"/>
        <v>0</v>
      </c>
      <c r="N623" s="76">
        <f t="shared" si="286"/>
        <v>0</v>
      </c>
      <c r="O623" s="76">
        <f t="shared" si="286"/>
        <v>0</v>
      </c>
      <c r="P623" s="76">
        <f t="shared" si="286"/>
        <v>0</v>
      </c>
      <c r="Q623" s="76">
        <f t="shared" si="286"/>
        <v>0</v>
      </c>
      <c r="R623" s="76">
        <f t="shared" si="286"/>
        <v>0</v>
      </c>
      <c r="S623" s="76">
        <f t="shared" si="286"/>
        <v>0</v>
      </c>
      <c r="T623" s="76">
        <f t="shared" si="286"/>
        <v>0</v>
      </c>
      <c r="U623" s="76">
        <f t="shared" si="286"/>
        <v>0</v>
      </c>
      <c r="V623" s="76">
        <f t="shared" si="286"/>
        <v>0</v>
      </c>
      <c r="W623" s="76">
        <f t="shared" si="286"/>
        <v>0</v>
      </c>
      <c r="X623" s="62">
        <f t="shared" si="286"/>
        <v>0</v>
      </c>
      <c r="Y623" s="62">
        <f t="shared" si="286"/>
        <v>0</v>
      </c>
      <c r="Z623" s="62">
        <f t="shared" si="286"/>
        <v>0</v>
      </c>
      <c r="AA623" s="64">
        <f>SUM(G623:Z623)</f>
        <v>0</v>
      </c>
      <c r="AB623" s="58" t="str">
        <f>IF(ABS(F623-AA623)&lt;0.01,"ok","err")</f>
        <v>ok</v>
      </c>
    </row>
    <row r="624" spans="1:28"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62"/>
      <c r="Y624" s="62"/>
      <c r="Z624" s="62"/>
      <c r="AA624" s="64"/>
    </row>
    <row r="625" spans="1:28" ht="15">
      <c r="A625" s="65" t="s">
        <v>1025</v>
      </c>
      <c r="F625" s="79"/>
    </row>
    <row r="626" spans="1:28">
      <c r="A626" s="68" t="s">
        <v>1093</v>
      </c>
      <c r="C626" s="60" t="s">
        <v>1075</v>
      </c>
      <c r="D626" s="60" t="s">
        <v>586</v>
      </c>
      <c r="E626" s="60" t="s">
        <v>1098</v>
      </c>
      <c r="F626" s="76">
        <f>VLOOKUP(C626,'Functional Assignment'!$C$2:$AP$780,'Functional Assignment'!$AC$2,)</f>
        <v>0</v>
      </c>
      <c r="G626" s="76">
        <f t="shared" ref="G626:Z626" si="287">IF(VLOOKUP($E626,$D$6:$AN$1131,3,)=0,0,(VLOOKUP($E626,$D$6:$AN$1131,G$2,)/VLOOKUP($E626,$D$6:$AN$1131,3,))*$F626)</f>
        <v>0</v>
      </c>
      <c r="H626" s="76">
        <f t="shared" si="287"/>
        <v>0</v>
      </c>
      <c r="I626" s="76">
        <f t="shared" si="287"/>
        <v>0</v>
      </c>
      <c r="J626" s="76">
        <f t="shared" si="287"/>
        <v>0</v>
      </c>
      <c r="K626" s="76">
        <f t="shared" si="287"/>
        <v>0</v>
      </c>
      <c r="L626" s="76">
        <f t="shared" si="287"/>
        <v>0</v>
      </c>
      <c r="M626" s="76">
        <f t="shared" si="287"/>
        <v>0</v>
      </c>
      <c r="N626" s="76">
        <f t="shared" si="287"/>
        <v>0</v>
      </c>
      <c r="O626" s="76">
        <f t="shared" si="287"/>
        <v>0</v>
      </c>
      <c r="P626" s="76">
        <f t="shared" si="287"/>
        <v>0</v>
      </c>
      <c r="Q626" s="76">
        <f t="shared" si="287"/>
        <v>0</v>
      </c>
      <c r="R626" s="76">
        <f t="shared" si="287"/>
        <v>0</v>
      </c>
      <c r="S626" s="76">
        <f t="shared" si="287"/>
        <v>0</v>
      </c>
      <c r="T626" s="76">
        <f t="shared" si="287"/>
        <v>0</v>
      </c>
      <c r="U626" s="76">
        <f t="shared" si="287"/>
        <v>0</v>
      </c>
      <c r="V626" s="76">
        <f t="shared" si="287"/>
        <v>0</v>
      </c>
      <c r="W626" s="76">
        <f t="shared" si="287"/>
        <v>0</v>
      </c>
      <c r="X626" s="62">
        <f t="shared" si="287"/>
        <v>0</v>
      </c>
      <c r="Y626" s="62">
        <f t="shared" si="287"/>
        <v>0</v>
      </c>
      <c r="Z626" s="62">
        <f t="shared" si="287"/>
        <v>0</v>
      </c>
      <c r="AA626" s="64">
        <f>SUM(G626:Z626)</f>
        <v>0</v>
      </c>
      <c r="AB626" s="58" t="str">
        <f>IF(ABS(F626-AA626)&lt;0.01,"ok","err")</f>
        <v>ok</v>
      </c>
    </row>
    <row r="627" spans="1:28"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62"/>
      <c r="Y627" s="62"/>
      <c r="Z627" s="62"/>
      <c r="AA627" s="64"/>
    </row>
    <row r="628" spans="1:28" ht="15">
      <c r="A628" s="65" t="s">
        <v>351</v>
      </c>
      <c r="F628" s="79"/>
    </row>
    <row r="629" spans="1:28">
      <c r="A629" s="68" t="s">
        <v>1093</v>
      </c>
      <c r="C629" s="60" t="s">
        <v>1075</v>
      </c>
      <c r="D629" s="60" t="s">
        <v>587</v>
      </c>
      <c r="E629" s="60" t="s">
        <v>1098</v>
      </c>
      <c r="F629" s="76">
        <f>VLOOKUP(C629,'Functional Assignment'!$C$2:$AP$780,'Functional Assignment'!$AD$2,)</f>
        <v>0</v>
      </c>
      <c r="G629" s="76">
        <f t="shared" ref="G629:Z629" si="288">IF(VLOOKUP($E629,$D$6:$AN$1131,3,)=0,0,(VLOOKUP($E629,$D$6:$AN$1131,G$2,)/VLOOKUP($E629,$D$6:$AN$1131,3,))*$F629)</f>
        <v>0</v>
      </c>
      <c r="H629" s="76">
        <f t="shared" si="288"/>
        <v>0</v>
      </c>
      <c r="I629" s="76">
        <f t="shared" si="288"/>
        <v>0</v>
      </c>
      <c r="J629" s="76">
        <f t="shared" si="288"/>
        <v>0</v>
      </c>
      <c r="K629" s="76">
        <f t="shared" si="288"/>
        <v>0</v>
      </c>
      <c r="L629" s="76">
        <f t="shared" si="288"/>
        <v>0</v>
      </c>
      <c r="M629" s="76">
        <f t="shared" si="288"/>
        <v>0</v>
      </c>
      <c r="N629" s="76">
        <f t="shared" si="288"/>
        <v>0</v>
      </c>
      <c r="O629" s="76">
        <f t="shared" si="288"/>
        <v>0</v>
      </c>
      <c r="P629" s="76">
        <f t="shared" si="288"/>
        <v>0</v>
      </c>
      <c r="Q629" s="76">
        <f t="shared" si="288"/>
        <v>0</v>
      </c>
      <c r="R629" s="76">
        <f t="shared" si="288"/>
        <v>0</v>
      </c>
      <c r="S629" s="76">
        <f t="shared" si="288"/>
        <v>0</v>
      </c>
      <c r="T629" s="76">
        <f t="shared" si="288"/>
        <v>0</v>
      </c>
      <c r="U629" s="76">
        <f t="shared" si="288"/>
        <v>0</v>
      </c>
      <c r="V629" s="76">
        <f t="shared" si="288"/>
        <v>0</v>
      </c>
      <c r="W629" s="76">
        <f t="shared" si="288"/>
        <v>0</v>
      </c>
      <c r="X629" s="62">
        <f t="shared" si="288"/>
        <v>0</v>
      </c>
      <c r="Y629" s="62">
        <f t="shared" si="288"/>
        <v>0</v>
      </c>
      <c r="Z629" s="62">
        <f t="shared" si="288"/>
        <v>0</v>
      </c>
      <c r="AA629" s="64">
        <f>SUM(G629:Z629)</f>
        <v>0</v>
      </c>
      <c r="AB629" s="58" t="str">
        <f>IF(ABS(F629-AA629)&lt;0.01,"ok","err")</f>
        <v>ok</v>
      </c>
    </row>
    <row r="630" spans="1:28"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62"/>
      <c r="Y630" s="62"/>
      <c r="Z630" s="62"/>
      <c r="AA630" s="64"/>
    </row>
    <row r="631" spans="1:28" ht="15">
      <c r="A631" s="65" t="s">
        <v>350</v>
      </c>
      <c r="F631" s="79"/>
    </row>
    <row r="632" spans="1:28">
      <c r="A632" s="68" t="s">
        <v>1093</v>
      </c>
      <c r="C632" s="60" t="s">
        <v>1075</v>
      </c>
      <c r="D632" s="60" t="s">
        <v>588</v>
      </c>
      <c r="E632" s="60" t="s">
        <v>1099</v>
      </c>
      <c r="F632" s="76">
        <f>VLOOKUP(C632,'Functional Assignment'!$C$2:$AP$780,'Functional Assignment'!$AE$2,)</f>
        <v>0</v>
      </c>
      <c r="G632" s="76">
        <f t="shared" ref="G632:Z632" si="289">IF(VLOOKUP($E632,$D$6:$AN$1131,3,)=0,0,(VLOOKUP($E632,$D$6:$AN$1131,G$2,)/VLOOKUP($E632,$D$6:$AN$1131,3,))*$F632)</f>
        <v>0</v>
      </c>
      <c r="H632" s="76">
        <f t="shared" si="289"/>
        <v>0</v>
      </c>
      <c r="I632" s="76">
        <f t="shared" si="289"/>
        <v>0</v>
      </c>
      <c r="J632" s="76">
        <f t="shared" si="289"/>
        <v>0</v>
      </c>
      <c r="K632" s="76">
        <f t="shared" si="289"/>
        <v>0</v>
      </c>
      <c r="L632" s="76">
        <f t="shared" si="289"/>
        <v>0</v>
      </c>
      <c r="M632" s="76">
        <f t="shared" si="289"/>
        <v>0</v>
      </c>
      <c r="N632" s="76">
        <f t="shared" si="289"/>
        <v>0</v>
      </c>
      <c r="O632" s="76">
        <f t="shared" si="289"/>
        <v>0</v>
      </c>
      <c r="P632" s="76">
        <f t="shared" si="289"/>
        <v>0</v>
      </c>
      <c r="Q632" s="76">
        <f t="shared" si="289"/>
        <v>0</v>
      </c>
      <c r="R632" s="76">
        <f t="shared" si="289"/>
        <v>0</v>
      </c>
      <c r="S632" s="76">
        <f t="shared" si="289"/>
        <v>0</v>
      </c>
      <c r="T632" s="76">
        <f t="shared" si="289"/>
        <v>0</v>
      </c>
      <c r="U632" s="76">
        <f t="shared" si="289"/>
        <v>0</v>
      </c>
      <c r="V632" s="76">
        <f t="shared" si="289"/>
        <v>0</v>
      </c>
      <c r="W632" s="76">
        <f t="shared" si="289"/>
        <v>0</v>
      </c>
      <c r="X632" s="62">
        <f t="shared" si="289"/>
        <v>0</v>
      </c>
      <c r="Y632" s="62">
        <f t="shared" si="289"/>
        <v>0</v>
      </c>
      <c r="Z632" s="62">
        <f t="shared" si="289"/>
        <v>0</v>
      </c>
      <c r="AA632" s="64">
        <f>SUM(G632:Z632)</f>
        <v>0</v>
      </c>
      <c r="AB632" s="58" t="str">
        <f>IF(ABS(F632-AA632)&lt;0.01,"ok","err")</f>
        <v>ok</v>
      </c>
    </row>
    <row r="633" spans="1:28"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62"/>
      <c r="Y633" s="62"/>
      <c r="Z633" s="62"/>
      <c r="AA633" s="64"/>
    </row>
    <row r="634" spans="1:28">
      <c r="A634" s="60" t="s">
        <v>922</v>
      </c>
      <c r="D634" s="60" t="s">
        <v>1111</v>
      </c>
      <c r="F634" s="76">
        <f>F589+F595+F598+F601+F609+F614+F617+F620+F623+F626+F629+F632</f>
        <v>0</v>
      </c>
      <c r="G634" s="76">
        <f t="shared" ref="G634:Z634" si="290">G589+G595+G598+G601+G609+G614+G617+G620+G623+G626+G629+G632</f>
        <v>0</v>
      </c>
      <c r="H634" s="76">
        <f t="shared" si="290"/>
        <v>0</v>
      </c>
      <c r="I634" s="76">
        <f t="shared" si="290"/>
        <v>0</v>
      </c>
      <c r="J634" s="76">
        <f t="shared" si="290"/>
        <v>0</v>
      </c>
      <c r="K634" s="76">
        <f t="shared" si="290"/>
        <v>0</v>
      </c>
      <c r="L634" s="76">
        <f t="shared" si="290"/>
        <v>0</v>
      </c>
      <c r="M634" s="76">
        <f t="shared" si="290"/>
        <v>0</v>
      </c>
      <c r="N634" s="76">
        <f t="shared" si="290"/>
        <v>0</v>
      </c>
      <c r="O634" s="76">
        <f>O589+O595+O598+O601+O609+O614+O617+O620+O623+O626+O629+O632</f>
        <v>0</v>
      </c>
      <c r="P634" s="76">
        <f t="shared" si="290"/>
        <v>0</v>
      </c>
      <c r="Q634" s="76">
        <f t="shared" si="290"/>
        <v>0</v>
      </c>
      <c r="R634" s="76">
        <f t="shared" si="290"/>
        <v>0</v>
      </c>
      <c r="S634" s="76">
        <f t="shared" si="290"/>
        <v>0</v>
      </c>
      <c r="T634" s="76">
        <f t="shared" si="290"/>
        <v>0</v>
      </c>
      <c r="U634" s="76">
        <f t="shared" si="290"/>
        <v>0</v>
      </c>
      <c r="V634" s="76">
        <f t="shared" si="290"/>
        <v>0</v>
      </c>
      <c r="W634" s="76">
        <f t="shared" si="290"/>
        <v>0</v>
      </c>
      <c r="X634" s="62">
        <f t="shared" si="290"/>
        <v>0</v>
      </c>
      <c r="Y634" s="62">
        <f t="shared" si="290"/>
        <v>0</v>
      </c>
      <c r="Z634" s="62">
        <f t="shared" si="290"/>
        <v>0</v>
      </c>
      <c r="AA634" s="64">
        <f>SUM(G634:Z634)</f>
        <v>0</v>
      </c>
      <c r="AB634" s="58" t="str">
        <f>IF(ABS(F634-AA634)&lt;0.01,"ok","err")</f>
        <v>ok</v>
      </c>
    </row>
    <row r="635" spans="1:28"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62"/>
      <c r="Y635" s="62"/>
      <c r="Z635" s="62"/>
      <c r="AA635" s="64"/>
      <c r="AB635" s="58"/>
    </row>
    <row r="636" spans="1:28"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62"/>
      <c r="Y636" s="62"/>
      <c r="Z636" s="62"/>
      <c r="AA636" s="64"/>
      <c r="AB636" s="58"/>
    </row>
    <row r="637" spans="1:28" ht="15">
      <c r="A637" s="65" t="s">
        <v>806</v>
      </c>
    </row>
    <row r="639" spans="1:28" ht="15">
      <c r="A639" s="65" t="s">
        <v>364</v>
      </c>
    </row>
    <row r="640" spans="1:28">
      <c r="A640" s="68" t="s">
        <v>359</v>
      </c>
      <c r="C640" s="60" t="s">
        <v>1076</v>
      </c>
      <c r="D640" s="60" t="s">
        <v>807</v>
      </c>
      <c r="E640" s="60" t="s">
        <v>869</v>
      </c>
      <c r="F640" s="76">
        <f>VLOOKUP(C640,'Functional Assignment'!$C$2:$AP$780,'Functional Assignment'!$H$2,)</f>
        <v>12024043.976316927</v>
      </c>
      <c r="G640" s="76">
        <f t="shared" ref="G640:P645" si="291">IF(VLOOKUP($E640,$D$6:$AN$1131,3,)=0,0,(VLOOKUP($E640,$D$6:$AN$1131,G$2,)/VLOOKUP($E640,$D$6:$AN$1131,3,))*$F640)</f>
        <v>4350034.9750902811</v>
      </c>
      <c r="H640" s="76">
        <f t="shared" si="291"/>
        <v>1413605.6494766816</v>
      </c>
      <c r="I640" s="76">
        <f t="shared" si="291"/>
        <v>0</v>
      </c>
      <c r="J640" s="76">
        <f t="shared" si="291"/>
        <v>168362.83637461704</v>
      </c>
      <c r="K640" s="76">
        <f t="shared" si="291"/>
        <v>1950701.8091052235</v>
      </c>
      <c r="L640" s="76">
        <f t="shared" si="291"/>
        <v>0</v>
      </c>
      <c r="M640" s="76">
        <f t="shared" si="291"/>
        <v>0</v>
      </c>
      <c r="N640" s="76">
        <f t="shared" si="291"/>
        <v>1882968.8358094147</v>
      </c>
      <c r="O640" s="76">
        <f t="shared" si="291"/>
        <v>828155.2748639232</v>
      </c>
      <c r="P640" s="76">
        <f t="shared" si="291"/>
        <v>1146583.8075518326</v>
      </c>
      <c r="Q640" s="76">
        <f t="shared" ref="Q640:Z645" si="292">IF(VLOOKUP($E640,$D$6:$AN$1131,3,)=0,0,(VLOOKUP($E640,$D$6:$AN$1131,Q$2,)/VLOOKUP($E640,$D$6:$AN$1131,3,))*$F640)</f>
        <v>111912.35920168979</v>
      </c>
      <c r="R640" s="76">
        <f t="shared" si="292"/>
        <v>59122.901788749194</v>
      </c>
      <c r="S640" s="76">
        <f t="shared" si="292"/>
        <v>105908.2183330441</v>
      </c>
      <c r="T640" s="76">
        <f t="shared" si="292"/>
        <v>3452.2098438022686</v>
      </c>
      <c r="U640" s="76">
        <f t="shared" si="292"/>
        <v>3235.0988776712238</v>
      </c>
      <c r="V640" s="76">
        <f t="shared" si="292"/>
        <v>0</v>
      </c>
      <c r="W640" s="76">
        <f t="shared" si="292"/>
        <v>0</v>
      </c>
      <c r="X640" s="62">
        <f t="shared" si="292"/>
        <v>0</v>
      </c>
      <c r="Y640" s="62">
        <f t="shared" si="292"/>
        <v>0</v>
      </c>
      <c r="Z640" s="62">
        <f t="shared" si="292"/>
        <v>0</v>
      </c>
      <c r="AA640" s="64">
        <f t="shared" ref="AA640:AA646" si="293">SUM(G640:Z640)</f>
        <v>12024043.976316934</v>
      </c>
      <c r="AB640" s="58" t="str">
        <f t="shared" ref="AB640:AB646" si="294">IF(ABS(F640-AA640)&lt;0.01,"ok","err")</f>
        <v>ok</v>
      </c>
    </row>
    <row r="641" spans="1:28">
      <c r="A641" s="68" t="s">
        <v>1255</v>
      </c>
      <c r="C641" s="60" t="s">
        <v>1076</v>
      </c>
      <c r="D641" s="60" t="s">
        <v>808</v>
      </c>
      <c r="E641" s="60" t="s">
        <v>188</v>
      </c>
      <c r="F641" s="79">
        <f>VLOOKUP(C641,'Functional Assignment'!$C$2:$AP$780,'Functional Assignment'!$I$2,)</f>
        <v>12595947.11891138</v>
      </c>
      <c r="G641" s="79">
        <f t="shared" si="291"/>
        <v>5382477.2477473179</v>
      </c>
      <c r="H641" s="79">
        <f t="shared" si="291"/>
        <v>1761267.3911671266</v>
      </c>
      <c r="I641" s="79">
        <f t="shared" si="291"/>
        <v>0</v>
      </c>
      <c r="J641" s="79">
        <f t="shared" si="291"/>
        <v>136963.3708165448</v>
      </c>
      <c r="K641" s="79">
        <f t="shared" si="291"/>
        <v>1842998.647132172</v>
      </c>
      <c r="L641" s="79">
        <f t="shared" si="291"/>
        <v>0</v>
      </c>
      <c r="M641" s="79">
        <f t="shared" si="291"/>
        <v>0</v>
      </c>
      <c r="N641" s="79">
        <f t="shared" si="291"/>
        <v>1467662.787688144</v>
      </c>
      <c r="O641" s="79">
        <f t="shared" si="291"/>
        <v>984235.35234486568</v>
      </c>
      <c r="P641" s="79">
        <f t="shared" si="291"/>
        <v>877858.00215899397</v>
      </c>
      <c r="Q641" s="79">
        <f t="shared" si="292"/>
        <v>101354.27385231027</v>
      </c>
      <c r="R641" s="79">
        <f t="shared" si="292"/>
        <v>38525.153257665501</v>
      </c>
      <c r="S641" s="79">
        <f t="shared" si="292"/>
        <v>0</v>
      </c>
      <c r="T641" s="79">
        <f t="shared" si="292"/>
        <v>0</v>
      </c>
      <c r="U641" s="79">
        <f t="shared" si="292"/>
        <v>2604.8927462396391</v>
      </c>
      <c r="V641" s="79">
        <f t="shared" si="292"/>
        <v>0</v>
      </c>
      <c r="W641" s="79">
        <f t="shared" si="292"/>
        <v>0</v>
      </c>
      <c r="X641" s="63">
        <f t="shared" si="292"/>
        <v>0</v>
      </c>
      <c r="Y641" s="63">
        <f t="shared" si="292"/>
        <v>0</v>
      </c>
      <c r="Z641" s="63">
        <f t="shared" si="292"/>
        <v>0</v>
      </c>
      <c r="AA641" s="63">
        <f t="shared" si="293"/>
        <v>12595947.11891138</v>
      </c>
      <c r="AB641" s="58" t="str">
        <f t="shared" si="294"/>
        <v>ok</v>
      </c>
    </row>
    <row r="642" spans="1:28">
      <c r="A642" s="68" t="s">
        <v>1256</v>
      </c>
      <c r="C642" s="60" t="s">
        <v>1076</v>
      </c>
      <c r="D642" s="60" t="s">
        <v>809</v>
      </c>
      <c r="E642" s="60" t="s">
        <v>191</v>
      </c>
      <c r="F642" s="79">
        <f>VLOOKUP(C642,'Functional Assignment'!$C$2:$AP$780,'Functional Assignment'!$J$2,)</f>
        <v>10353826.057951551</v>
      </c>
      <c r="G642" s="79">
        <f t="shared" si="291"/>
        <v>4048863.8172660084</v>
      </c>
      <c r="H642" s="79">
        <f t="shared" si="291"/>
        <v>1463159.0984324929</v>
      </c>
      <c r="I642" s="79">
        <f t="shared" si="291"/>
        <v>0</v>
      </c>
      <c r="J642" s="79">
        <f t="shared" si="291"/>
        <v>120669.38637225081</v>
      </c>
      <c r="K642" s="79">
        <f t="shared" si="291"/>
        <v>1703277.4877693865</v>
      </c>
      <c r="L642" s="79">
        <f t="shared" si="291"/>
        <v>0</v>
      </c>
      <c r="M642" s="79">
        <f t="shared" si="291"/>
        <v>0</v>
      </c>
      <c r="N642" s="79">
        <f t="shared" si="291"/>
        <v>1288232.7994098549</v>
      </c>
      <c r="O642" s="79">
        <f t="shared" si="291"/>
        <v>870097.92777658429</v>
      </c>
      <c r="P642" s="79">
        <f t="shared" si="291"/>
        <v>745051.33719373774</v>
      </c>
      <c r="Q642" s="79">
        <f t="shared" si="292"/>
        <v>80448.308933606691</v>
      </c>
      <c r="R642" s="79">
        <f t="shared" si="292"/>
        <v>32565.995094201953</v>
      </c>
      <c r="S642" s="79">
        <f t="shared" si="292"/>
        <v>0</v>
      </c>
      <c r="T642" s="79">
        <f t="shared" si="292"/>
        <v>0</v>
      </c>
      <c r="U642" s="79">
        <f t="shared" si="292"/>
        <v>1459.8997034258634</v>
      </c>
      <c r="V642" s="79">
        <f t="shared" si="292"/>
        <v>0</v>
      </c>
      <c r="W642" s="79">
        <f t="shared" si="292"/>
        <v>0</v>
      </c>
      <c r="X642" s="63">
        <f t="shared" si="292"/>
        <v>0</v>
      </c>
      <c r="Y642" s="63">
        <f t="shared" si="292"/>
        <v>0</v>
      </c>
      <c r="Z642" s="63">
        <f t="shared" si="292"/>
        <v>0</v>
      </c>
      <c r="AA642" s="63">
        <f t="shared" si="293"/>
        <v>10353826.057951551</v>
      </c>
      <c r="AB642" s="58" t="str">
        <f t="shared" si="294"/>
        <v>ok</v>
      </c>
    </row>
    <row r="643" spans="1:28">
      <c r="A643" s="68" t="s">
        <v>1257</v>
      </c>
      <c r="C643" s="60" t="s">
        <v>1076</v>
      </c>
      <c r="D643" s="60" t="s">
        <v>810</v>
      </c>
      <c r="E643" s="60" t="s">
        <v>1091</v>
      </c>
      <c r="F643" s="79">
        <f>VLOOKUP(C643,'Functional Assignment'!$C$2:$AP$780,'Functional Assignment'!$K$2,)</f>
        <v>0</v>
      </c>
      <c r="G643" s="79">
        <f t="shared" si="291"/>
        <v>0</v>
      </c>
      <c r="H643" s="79">
        <f t="shared" si="291"/>
        <v>0</v>
      </c>
      <c r="I643" s="79">
        <f t="shared" si="291"/>
        <v>0</v>
      </c>
      <c r="J643" s="79">
        <f t="shared" si="291"/>
        <v>0</v>
      </c>
      <c r="K643" s="79">
        <f t="shared" si="291"/>
        <v>0</v>
      </c>
      <c r="L643" s="79">
        <f t="shared" si="291"/>
        <v>0</v>
      </c>
      <c r="M643" s="79">
        <f t="shared" si="291"/>
        <v>0</v>
      </c>
      <c r="N643" s="79">
        <f t="shared" si="291"/>
        <v>0</v>
      </c>
      <c r="O643" s="79">
        <f t="shared" si="291"/>
        <v>0</v>
      </c>
      <c r="P643" s="79">
        <f t="shared" si="291"/>
        <v>0</v>
      </c>
      <c r="Q643" s="79">
        <f t="shared" si="292"/>
        <v>0</v>
      </c>
      <c r="R643" s="79">
        <f t="shared" si="292"/>
        <v>0</v>
      </c>
      <c r="S643" s="79">
        <f t="shared" si="292"/>
        <v>0</v>
      </c>
      <c r="T643" s="79">
        <f t="shared" si="292"/>
        <v>0</v>
      </c>
      <c r="U643" s="79">
        <f t="shared" si="292"/>
        <v>0</v>
      </c>
      <c r="V643" s="79">
        <f t="shared" si="292"/>
        <v>0</v>
      </c>
      <c r="W643" s="79">
        <f t="shared" si="292"/>
        <v>0</v>
      </c>
      <c r="X643" s="63">
        <f t="shared" si="292"/>
        <v>0</v>
      </c>
      <c r="Y643" s="63">
        <f t="shared" si="292"/>
        <v>0</v>
      </c>
      <c r="Z643" s="63">
        <f t="shared" si="292"/>
        <v>0</v>
      </c>
      <c r="AA643" s="63">
        <f t="shared" si="293"/>
        <v>0</v>
      </c>
      <c r="AB643" s="58" t="str">
        <f t="shared" si="294"/>
        <v>ok</v>
      </c>
    </row>
    <row r="644" spans="1:28">
      <c r="A644" s="68" t="s">
        <v>1258</v>
      </c>
      <c r="C644" s="60" t="s">
        <v>1076</v>
      </c>
      <c r="D644" s="60" t="s">
        <v>811</v>
      </c>
      <c r="E644" s="60" t="s">
        <v>1091</v>
      </c>
      <c r="F644" s="79">
        <f>VLOOKUP(C644,'Functional Assignment'!$C$2:$AP$780,'Functional Assignment'!$L$2,)</f>
        <v>0</v>
      </c>
      <c r="G644" s="79">
        <f t="shared" si="291"/>
        <v>0</v>
      </c>
      <c r="H644" s="79">
        <f t="shared" si="291"/>
        <v>0</v>
      </c>
      <c r="I644" s="79">
        <f t="shared" si="291"/>
        <v>0</v>
      </c>
      <c r="J644" s="79">
        <f t="shared" si="291"/>
        <v>0</v>
      </c>
      <c r="K644" s="79">
        <f t="shared" si="291"/>
        <v>0</v>
      </c>
      <c r="L644" s="79">
        <f t="shared" si="291"/>
        <v>0</v>
      </c>
      <c r="M644" s="79">
        <f t="shared" si="291"/>
        <v>0</v>
      </c>
      <c r="N644" s="79">
        <f t="shared" si="291"/>
        <v>0</v>
      </c>
      <c r="O644" s="79">
        <f t="shared" si="291"/>
        <v>0</v>
      </c>
      <c r="P644" s="79">
        <f t="shared" si="291"/>
        <v>0</v>
      </c>
      <c r="Q644" s="79">
        <f t="shared" si="292"/>
        <v>0</v>
      </c>
      <c r="R644" s="79">
        <f t="shared" si="292"/>
        <v>0</v>
      </c>
      <c r="S644" s="79">
        <f t="shared" si="292"/>
        <v>0</v>
      </c>
      <c r="T644" s="79">
        <f t="shared" si="292"/>
        <v>0</v>
      </c>
      <c r="U644" s="79">
        <f t="shared" si="292"/>
        <v>0</v>
      </c>
      <c r="V644" s="79">
        <f t="shared" si="292"/>
        <v>0</v>
      </c>
      <c r="W644" s="79">
        <f t="shared" si="292"/>
        <v>0</v>
      </c>
      <c r="X644" s="63">
        <f t="shared" si="292"/>
        <v>0</v>
      </c>
      <c r="Y644" s="63">
        <f t="shared" si="292"/>
        <v>0</v>
      </c>
      <c r="Z644" s="63">
        <f t="shared" si="292"/>
        <v>0</v>
      </c>
      <c r="AA644" s="63">
        <f t="shared" si="293"/>
        <v>0</v>
      </c>
      <c r="AB644" s="58" t="str">
        <f t="shared" si="294"/>
        <v>ok</v>
      </c>
    </row>
    <row r="645" spans="1:28">
      <c r="A645" s="68" t="s">
        <v>1258</v>
      </c>
      <c r="C645" s="60" t="s">
        <v>1076</v>
      </c>
      <c r="D645" s="60" t="s">
        <v>812</v>
      </c>
      <c r="E645" s="60" t="s">
        <v>1091</v>
      </c>
      <c r="F645" s="79">
        <f>VLOOKUP(C645,'Functional Assignment'!$C$2:$AP$780,'Functional Assignment'!$M$2,)</f>
        <v>0</v>
      </c>
      <c r="G645" s="79">
        <f t="shared" si="291"/>
        <v>0</v>
      </c>
      <c r="H645" s="79">
        <f t="shared" si="291"/>
        <v>0</v>
      </c>
      <c r="I645" s="79">
        <f t="shared" si="291"/>
        <v>0</v>
      </c>
      <c r="J645" s="79">
        <f t="shared" si="291"/>
        <v>0</v>
      </c>
      <c r="K645" s="79">
        <f t="shared" si="291"/>
        <v>0</v>
      </c>
      <c r="L645" s="79">
        <f t="shared" si="291"/>
        <v>0</v>
      </c>
      <c r="M645" s="79">
        <f t="shared" si="291"/>
        <v>0</v>
      </c>
      <c r="N645" s="79">
        <f t="shared" si="291"/>
        <v>0</v>
      </c>
      <c r="O645" s="79">
        <f t="shared" si="291"/>
        <v>0</v>
      </c>
      <c r="P645" s="79">
        <f t="shared" si="291"/>
        <v>0</v>
      </c>
      <c r="Q645" s="79">
        <f t="shared" si="292"/>
        <v>0</v>
      </c>
      <c r="R645" s="79">
        <f t="shared" si="292"/>
        <v>0</v>
      </c>
      <c r="S645" s="79">
        <f t="shared" si="292"/>
        <v>0</v>
      </c>
      <c r="T645" s="79">
        <f t="shared" si="292"/>
        <v>0</v>
      </c>
      <c r="U645" s="79">
        <f t="shared" si="292"/>
        <v>0</v>
      </c>
      <c r="V645" s="79">
        <f t="shared" si="292"/>
        <v>0</v>
      </c>
      <c r="W645" s="79">
        <f t="shared" si="292"/>
        <v>0</v>
      </c>
      <c r="X645" s="63">
        <f t="shared" si="292"/>
        <v>0</v>
      </c>
      <c r="Y645" s="63">
        <f t="shared" si="292"/>
        <v>0</v>
      </c>
      <c r="Z645" s="63">
        <f t="shared" si="292"/>
        <v>0</v>
      </c>
      <c r="AA645" s="63">
        <f t="shared" si="293"/>
        <v>0</v>
      </c>
      <c r="AB645" s="58" t="str">
        <f t="shared" si="294"/>
        <v>ok</v>
      </c>
    </row>
    <row r="646" spans="1:28">
      <c r="A646" s="60" t="s">
        <v>387</v>
      </c>
      <c r="D646" s="60" t="s">
        <v>813</v>
      </c>
      <c r="F646" s="76">
        <f>SUM(F640:F645)</f>
        <v>34973817.153179854</v>
      </c>
      <c r="G646" s="76">
        <f t="shared" ref="G646:W646" si="295">SUM(G640:G645)</f>
        <v>13781376.040103607</v>
      </c>
      <c r="H646" s="76">
        <f t="shared" si="295"/>
        <v>4638032.1390763018</v>
      </c>
      <c r="I646" s="76">
        <f t="shared" si="295"/>
        <v>0</v>
      </c>
      <c r="J646" s="76">
        <f t="shared" si="295"/>
        <v>425995.59356341261</v>
      </c>
      <c r="K646" s="76">
        <f t="shared" si="295"/>
        <v>5496977.944006782</v>
      </c>
      <c r="L646" s="76">
        <f t="shared" si="295"/>
        <v>0</v>
      </c>
      <c r="M646" s="76">
        <f t="shared" si="295"/>
        <v>0</v>
      </c>
      <c r="N646" s="76">
        <f t="shared" si="295"/>
        <v>4638864.4229074139</v>
      </c>
      <c r="O646" s="76">
        <f>SUM(O640:O645)</f>
        <v>2682488.5549853733</v>
      </c>
      <c r="P646" s="76">
        <f t="shared" si="295"/>
        <v>2769493.1469045645</v>
      </c>
      <c r="Q646" s="76">
        <f t="shared" si="295"/>
        <v>293714.94198760675</v>
      </c>
      <c r="R646" s="76">
        <f t="shared" si="295"/>
        <v>130214.05014061664</v>
      </c>
      <c r="S646" s="76">
        <f t="shared" si="295"/>
        <v>105908.2183330441</v>
      </c>
      <c r="T646" s="76">
        <f t="shared" si="295"/>
        <v>3452.2098438022686</v>
      </c>
      <c r="U646" s="76">
        <f t="shared" si="295"/>
        <v>7299.8913273367261</v>
      </c>
      <c r="V646" s="76">
        <f t="shared" si="295"/>
        <v>0</v>
      </c>
      <c r="W646" s="76">
        <f t="shared" si="295"/>
        <v>0</v>
      </c>
      <c r="X646" s="62">
        <f>SUM(X640:X645)</f>
        <v>0</v>
      </c>
      <c r="Y646" s="62">
        <f>SUM(Y640:Y645)</f>
        <v>0</v>
      </c>
      <c r="Z646" s="62">
        <f>SUM(Z640:Z645)</f>
        <v>0</v>
      </c>
      <c r="AA646" s="64">
        <f t="shared" si="293"/>
        <v>34973817.153179854</v>
      </c>
      <c r="AB646" s="58" t="str">
        <f t="shared" si="294"/>
        <v>ok</v>
      </c>
    </row>
    <row r="647" spans="1:28">
      <c r="F647" s="79"/>
      <c r="G647" s="79"/>
    </row>
    <row r="648" spans="1:28" ht="15">
      <c r="A648" s="65" t="s">
        <v>1131</v>
      </c>
      <c r="F648" s="79"/>
      <c r="G648" s="79"/>
    </row>
    <row r="649" spans="1:28">
      <c r="A649" s="68" t="s">
        <v>1363</v>
      </c>
      <c r="C649" s="60" t="s">
        <v>1076</v>
      </c>
      <c r="D649" s="60" t="s">
        <v>814</v>
      </c>
      <c r="E649" s="60" t="s">
        <v>1367</v>
      </c>
      <c r="F649" s="76">
        <f>VLOOKUP(C649,'Functional Assignment'!$C$2:$AP$780,'Functional Assignment'!$N$2,)</f>
        <v>6623862.5730136754</v>
      </c>
      <c r="G649" s="76">
        <f t="shared" ref="G649:P651" si="296">IF(VLOOKUP($E649,$D$6:$AN$1131,3,)=0,0,(VLOOKUP($E649,$D$6:$AN$1131,G$2,)/VLOOKUP($E649,$D$6:$AN$1131,3,))*$F649)</f>
        <v>2943564.3996685096</v>
      </c>
      <c r="H649" s="76">
        <f t="shared" si="296"/>
        <v>847296.81870976905</v>
      </c>
      <c r="I649" s="76">
        <f t="shared" si="296"/>
        <v>0</v>
      </c>
      <c r="J649" s="76">
        <f t="shared" si="296"/>
        <v>75283.064283682295</v>
      </c>
      <c r="K649" s="76">
        <f t="shared" si="296"/>
        <v>873781.02974379854</v>
      </c>
      <c r="L649" s="76">
        <f t="shared" si="296"/>
        <v>0</v>
      </c>
      <c r="M649" s="76">
        <f t="shared" si="296"/>
        <v>0</v>
      </c>
      <c r="N649" s="76">
        <f t="shared" si="296"/>
        <v>794874.10396396159</v>
      </c>
      <c r="O649" s="76">
        <f t="shared" si="296"/>
        <v>471954.52586256748</v>
      </c>
      <c r="P649" s="76">
        <f t="shared" si="296"/>
        <v>488858.83559116413</v>
      </c>
      <c r="Q649" s="76">
        <f t="shared" ref="Q649:Z651" si="297">IF(VLOOKUP($E649,$D$6:$AN$1131,3,)=0,0,(VLOOKUP($E649,$D$6:$AN$1131,Q$2,)/VLOOKUP($E649,$D$6:$AN$1131,3,))*$F649)</f>
        <v>49279.123037503829</v>
      </c>
      <c r="R649" s="76">
        <f t="shared" si="297"/>
        <v>25793.401984277523</v>
      </c>
      <c r="S649" s="76">
        <f t="shared" si="297"/>
        <v>50811.868007660283</v>
      </c>
      <c r="T649" s="76">
        <f t="shared" si="297"/>
        <v>1625.1102148303889</v>
      </c>
      <c r="U649" s="76">
        <f t="shared" si="297"/>
        <v>740.2919459518788</v>
      </c>
      <c r="V649" s="76">
        <f t="shared" si="297"/>
        <v>0</v>
      </c>
      <c r="W649" s="76">
        <f t="shared" si="297"/>
        <v>0</v>
      </c>
      <c r="X649" s="62">
        <f t="shared" si="297"/>
        <v>0</v>
      </c>
      <c r="Y649" s="62">
        <f t="shared" si="297"/>
        <v>0</v>
      </c>
      <c r="Z649" s="62">
        <f t="shared" si="297"/>
        <v>0</v>
      </c>
      <c r="AA649" s="64">
        <f>SUM(G649:Z649)</f>
        <v>6623862.5730136763</v>
      </c>
      <c r="AB649" s="58" t="str">
        <f>IF(ABS(F649-AA649)&lt;0.01,"ok","err")</f>
        <v>ok</v>
      </c>
    </row>
    <row r="650" spans="1:28" hidden="1">
      <c r="A650" s="68" t="s">
        <v>1364</v>
      </c>
      <c r="C650" s="60" t="s">
        <v>1076</v>
      </c>
      <c r="D650" s="60" t="s">
        <v>815</v>
      </c>
      <c r="E650" s="60" t="s">
        <v>188</v>
      </c>
      <c r="F650" s="79">
        <f>VLOOKUP(C650,'Functional Assignment'!$C$2:$AP$780,'Functional Assignment'!$O$2,)</f>
        <v>0</v>
      </c>
      <c r="G650" s="79">
        <f t="shared" si="296"/>
        <v>0</v>
      </c>
      <c r="H650" s="79">
        <f t="shared" si="296"/>
        <v>0</v>
      </c>
      <c r="I650" s="79">
        <f t="shared" si="296"/>
        <v>0</v>
      </c>
      <c r="J650" s="79">
        <f t="shared" si="296"/>
        <v>0</v>
      </c>
      <c r="K650" s="79">
        <f t="shared" si="296"/>
        <v>0</v>
      </c>
      <c r="L650" s="79">
        <f t="shared" si="296"/>
        <v>0</v>
      </c>
      <c r="M650" s="79">
        <f t="shared" si="296"/>
        <v>0</v>
      </c>
      <c r="N650" s="79">
        <f t="shared" si="296"/>
        <v>0</v>
      </c>
      <c r="O650" s="79">
        <f t="shared" si="296"/>
        <v>0</v>
      </c>
      <c r="P650" s="79">
        <f t="shared" si="296"/>
        <v>0</v>
      </c>
      <c r="Q650" s="79">
        <f t="shared" si="297"/>
        <v>0</v>
      </c>
      <c r="R650" s="79">
        <f t="shared" si="297"/>
        <v>0</v>
      </c>
      <c r="S650" s="79">
        <f t="shared" si="297"/>
        <v>0</v>
      </c>
      <c r="T650" s="79">
        <f t="shared" si="297"/>
        <v>0</v>
      </c>
      <c r="U650" s="79">
        <f t="shared" si="297"/>
        <v>0</v>
      </c>
      <c r="V650" s="79">
        <f t="shared" si="297"/>
        <v>0</v>
      </c>
      <c r="W650" s="79">
        <f t="shared" si="297"/>
        <v>0</v>
      </c>
      <c r="X650" s="63">
        <f t="shared" si="297"/>
        <v>0</v>
      </c>
      <c r="Y650" s="63">
        <f t="shared" si="297"/>
        <v>0</v>
      </c>
      <c r="Z650" s="63">
        <f t="shared" si="297"/>
        <v>0</v>
      </c>
      <c r="AA650" s="63">
        <f>SUM(G650:Z650)</f>
        <v>0</v>
      </c>
      <c r="AB650" s="58" t="str">
        <f>IF(ABS(F650-AA650)&lt;0.01,"ok","err")</f>
        <v>ok</v>
      </c>
    </row>
    <row r="651" spans="1:28" hidden="1">
      <c r="A651" s="68" t="s">
        <v>1364</v>
      </c>
      <c r="C651" s="60" t="s">
        <v>1076</v>
      </c>
      <c r="D651" s="60" t="s">
        <v>816</v>
      </c>
      <c r="E651" s="60" t="s">
        <v>191</v>
      </c>
      <c r="F651" s="79">
        <f>VLOOKUP(C651,'Functional Assignment'!$C$2:$AP$780,'Functional Assignment'!$P$2,)</f>
        <v>0</v>
      </c>
      <c r="G651" s="79">
        <f t="shared" si="296"/>
        <v>0</v>
      </c>
      <c r="H651" s="79">
        <f t="shared" si="296"/>
        <v>0</v>
      </c>
      <c r="I651" s="79">
        <f t="shared" si="296"/>
        <v>0</v>
      </c>
      <c r="J651" s="79">
        <f t="shared" si="296"/>
        <v>0</v>
      </c>
      <c r="K651" s="79">
        <f t="shared" si="296"/>
        <v>0</v>
      </c>
      <c r="L651" s="79">
        <f t="shared" si="296"/>
        <v>0</v>
      </c>
      <c r="M651" s="79">
        <f t="shared" si="296"/>
        <v>0</v>
      </c>
      <c r="N651" s="79">
        <f t="shared" si="296"/>
        <v>0</v>
      </c>
      <c r="O651" s="79">
        <f t="shared" si="296"/>
        <v>0</v>
      </c>
      <c r="P651" s="79">
        <f t="shared" si="296"/>
        <v>0</v>
      </c>
      <c r="Q651" s="79">
        <f t="shared" si="297"/>
        <v>0</v>
      </c>
      <c r="R651" s="79">
        <f t="shared" si="297"/>
        <v>0</v>
      </c>
      <c r="S651" s="79">
        <f t="shared" si="297"/>
        <v>0</v>
      </c>
      <c r="T651" s="79">
        <f t="shared" si="297"/>
        <v>0</v>
      </c>
      <c r="U651" s="79">
        <f t="shared" si="297"/>
        <v>0</v>
      </c>
      <c r="V651" s="79">
        <f t="shared" si="297"/>
        <v>0</v>
      </c>
      <c r="W651" s="79">
        <f t="shared" si="297"/>
        <v>0</v>
      </c>
      <c r="X651" s="63">
        <f t="shared" si="297"/>
        <v>0</v>
      </c>
      <c r="Y651" s="63">
        <f t="shared" si="297"/>
        <v>0</v>
      </c>
      <c r="Z651" s="63">
        <f t="shared" si="297"/>
        <v>0</v>
      </c>
      <c r="AA651" s="63">
        <f>SUM(G651:Z651)</f>
        <v>0</v>
      </c>
      <c r="AB651" s="58" t="str">
        <f>IF(ABS(F651-AA651)&lt;0.01,"ok","err")</f>
        <v>ok</v>
      </c>
    </row>
    <row r="652" spans="1:28" hidden="1">
      <c r="A652" s="60" t="s">
        <v>1133</v>
      </c>
      <c r="D652" s="60" t="s">
        <v>817</v>
      </c>
      <c r="F652" s="76">
        <f>SUM(F649:F651)</f>
        <v>6623862.5730136754</v>
      </c>
      <c r="G652" s="76">
        <f t="shared" ref="G652:W652" si="298">SUM(G649:G651)</f>
        <v>2943564.3996685096</v>
      </c>
      <c r="H652" s="76">
        <f t="shared" si="298"/>
        <v>847296.81870976905</v>
      </c>
      <c r="I652" s="76">
        <f t="shared" si="298"/>
        <v>0</v>
      </c>
      <c r="J652" s="76">
        <f t="shared" si="298"/>
        <v>75283.064283682295</v>
      </c>
      <c r="K652" s="76">
        <f t="shared" si="298"/>
        <v>873781.02974379854</v>
      </c>
      <c r="L652" s="76">
        <f t="shared" si="298"/>
        <v>0</v>
      </c>
      <c r="M652" s="76">
        <f t="shared" si="298"/>
        <v>0</v>
      </c>
      <c r="N652" s="76">
        <f t="shared" si="298"/>
        <v>794874.10396396159</v>
      </c>
      <c r="O652" s="76">
        <f>SUM(O649:O651)</f>
        <v>471954.52586256748</v>
      </c>
      <c r="P652" s="76">
        <f t="shared" si="298"/>
        <v>488858.83559116413</v>
      </c>
      <c r="Q652" s="76">
        <f t="shared" si="298"/>
        <v>49279.123037503829</v>
      </c>
      <c r="R652" s="76">
        <f t="shared" si="298"/>
        <v>25793.401984277523</v>
      </c>
      <c r="S652" s="76">
        <f t="shared" si="298"/>
        <v>50811.868007660283</v>
      </c>
      <c r="T652" s="76">
        <f t="shared" si="298"/>
        <v>1625.1102148303889</v>
      </c>
      <c r="U652" s="76">
        <f t="shared" si="298"/>
        <v>740.2919459518788</v>
      </c>
      <c r="V652" s="76">
        <f t="shared" si="298"/>
        <v>0</v>
      </c>
      <c r="W652" s="76">
        <f t="shared" si="298"/>
        <v>0</v>
      </c>
      <c r="X652" s="62">
        <f>SUM(X649:X651)</f>
        <v>0</v>
      </c>
      <c r="Y652" s="62">
        <f>SUM(Y649:Y651)</f>
        <v>0</v>
      </c>
      <c r="Z652" s="62">
        <f>SUM(Z649:Z651)</f>
        <v>0</v>
      </c>
      <c r="AA652" s="64">
        <f>SUM(G652:Z652)</f>
        <v>6623862.5730136763</v>
      </c>
      <c r="AB652" s="58" t="str">
        <f>IF(ABS(F652-AA652)&lt;0.01,"ok","err")</f>
        <v>ok</v>
      </c>
    </row>
    <row r="653" spans="1:28">
      <c r="F653" s="79"/>
      <c r="G653" s="79"/>
    </row>
    <row r="654" spans="1:28" ht="15">
      <c r="A654" s="65" t="s">
        <v>348</v>
      </c>
      <c r="F654" s="79"/>
      <c r="G654" s="79"/>
    </row>
    <row r="655" spans="1:28">
      <c r="A655" s="68" t="s">
        <v>372</v>
      </c>
      <c r="C655" s="60" t="s">
        <v>1076</v>
      </c>
      <c r="D655" s="60" t="s">
        <v>818</v>
      </c>
      <c r="E655" s="60" t="s">
        <v>1368</v>
      </c>
      <c r="F655" s="76">
        <f>VLOOKUP(C655,'Functional Assignment'!$C$2:$AP$780,'Functional Assignment'!$Q$2,)</f>
        <v>0</v>
      </c>
      <c r="G655" s="76">
        <f t="shared" ref="G655:Z655" si="299">IF(VLOOKUP($E655,$D$6:$AN$1131,3,)=0,0,(VLOOKUP($E655,$D$6:$AN$1131,G$2,)/VLOOKUP($E655,$D$6:$AN$1131,3,))*$F655)</f>
        <v>0</v>
      </c>
      <c r="H655" s="76">
        <f t="shared" si="299"/>
        <v>0</v>
      </c>
      <c r="I655" s="76">
        <f t="shared" si="299"/>
        <v>0</v>
      </c>
      <c r="J655" s="76">
        <f t="shared" si="299"/>
        <v>0</v>
      </c>
      <c r="K655" s="76">
        <f t="shared" si="299"/>
        <v>0</v>
      </c>
      <c r="L655" s="76">
        <f t="shared" si="299"/>
        <v>0</v>
      </c>
      <c r="M655" s="76">
        <f t="shared" si="299"/>
        <v>0</v>
      </c>
      <c r="N655" s="76">
        <f t="shared" si="299"/>
        <v>0</v>
      </c>
      <c r="O655" s="76">
        <f t="shared" si="299"/>
        <v>0</v>
      </c>
      <c r="P655" s="76">
        <f t="shared" si="299"/>
        <v>0</v>
      </c>
      <c r="Q655" s="76">
        <f t="shared" si="299"/>
        <v>0</v>
      </c>
      <c r="R655" s="76">
        <f t="shared" si="299"/>
        <v>0</v>
      </c>
      <c r="S655" s="76">
        <f t="shared" si="299"/>
        <v>0</v>
      </c>
      <c r="T655" s="76">
        <f t="shared" si="299"/>
        <v>0</v>
      </c>
      <c r="U655" s="76">
        <f t="shared" si="299"/>
        <v>0</v>
      </c>
      <c r="V655" s="76">
        <f t="shared" si="299"/>
        <v>0</v>
      </c>
      <c r="W655" s="76">
        <f t="shared" si="299"/>
        <v>0</v>
      </c>
      <c r="X655" s="62">
        <f t="shared" si="299"/>
        <v>0</v>
      </c>
      <c r="Y655" s="62">
        <f t="shared" si="299"/>
        <v>0</v>
      </c>
      <c r="Z655" s="62">
        <f t="shared" si="299"/>
        <v>0</v>
      </c>
      <c r="AA655" s="64">
        <f>SUM(G655:Z655)</f>
        <v>0</v>
      </c>
      <c r="AB655" s="58" t="str">
        <f>IF(ABS(F655-AA655)&lt;0.01,"ok","err")</f>
        <v>ok</v>
      </c>
    </row>
    <row r="656" spans="1:28">
      <c r="F656" s="79"/>
    </row>
    <row r="657" spans="1:28" ht="15">
      <c r="A657" s="65" t="s">
        <v>349</v>
      </c>
      <c r="F657" s="79"/>
      <c r="G657" s="79"/>
    </row>
    <row r="658" spans="1:28">
      <c r="A658" s="68" t="s">
        <v>374</v>
      </c>
      <c r="C658" s="60" t="s">
        <v>1076</v>
      </c>
      <c r="D658" s="60" t="s">
        <v>819</v>
      </c>
      <c r="E658" s="60" t="s">
        <v>1368</v>
      </c>
      <c r="F658" s="76">
        <f>VLOOKUP(C658,'Functional Assignment'!$C$2:$AP$780,'Functional Assignment'!$R$2,)</f>
        <v>2306713.8857077891</v>
      </c>
      <c r="G658" s="76">
        <f t="shared" ref="G658:Z658" si="300">IF(VLOOKUP($E658,$D$6:$AN$1131,3,)=0,0,(VLOOKUP($E658,$D$6:$AN$1131,G$2,)/VLOOKUP($E658,$D$6:$AN$1131,3,))*$F658)</f>
        <v>1106757.4144695008</v>
      </c>
      <c r="H658" s="76">
        <f t="shared" si="300"/>
        <v>318577.04097422247</v>
      </c>
      <c r="I658" s="76">
        <f t="shared" si="300"/>
        <v>0</v>
      </c>
      <c r="J658" s="76">
        <f t="shared" si="300"/>
        <v>28305.849054748916</v>
      </c>
      <c r="K658" s="76">
        <f t="shared" si="300"/>
        <v>328534.89918571198</v>
      </c>
      <c r="L658" s="76">
        <f t="shared" si="300"/>
        <v>0</v>
      </c>
      <c r="M658" s="76">
        <f t="shared" si="300"/>
        <v>0</v>
      </c>
      <c r="N658" s="76">
        <f t="shared" si="300"/>
        <v>298866.50627755473</v>
      </c>
      <c r="O658" s="76">
        <f t="shared" si="300"/>
        <v>177451.24613195405</v>
      </c>
      <c r="P658" s="76">
        <f t="shared" si="300"/>
        <v>0</v>
      </c>
      <c r="Q658" s="76">
        <f t="shared" si="300"/>
        <v>18528.568563491997</v>
      </c>
      <c r="R658" s="76">
        <f t="shared" si="300"/>
        <v>9698.1193595446093</v>
      </c>
      <c r="S658" s="76">
        <f t="shared" si="300"/>
        <v>19104.868800171898</v>
      </c>
      <c r="T658" s="76">
        <f t="shared" si="300"/>
        <v>611.02885324887291</v>
      </c>
      <c r="U658" s="76">
        <f t="shared" si="300"/>
        <v>278.34403763904919</v>
      </c>
      <c r="V658" s="76">
        <f t="shared" si="300"/>
        <v>0</v>
      </c>
      <c r="W658" s="76">
        <f t="shared" si="300"/>
        <v>0</v>
      </c>
      <c r="X658" s="62">
        <f t="shared" si="300"/>
        <v>0</v>
      </c>
      <c r="Y658" s="62">
        <f t="shared" si="300"/>
        <v>0</v>
      </c>
      <c r="Z658" s="62">
        <f t="shared" si="300"/>
        <v>0</v>
      </c>
      <c r="AA658" s="64">
        <f>SUM(G658:Z658)</f>
        <v>2306713.8857077891</v>
      </c>
      <c r="AB658" s="58" t="str">
        <f>IF(ABS(F658-AA658)&lt;0.01,"ok","err")</f>
        <v>ok</v>
      </c>
    </row>
    <row r="659" spans="1:28">
      <c r="F659" s="79"/>
    </row>
    <row r="660" spans="1:28" ht="15">
      <c r="A660" s="65" t="s">
        <v>373</v>
      </c>
      <c r="F660" s="79"/>
    </row>
    <row r="661" spans="1:28">
      <c r="A661" s="68" t="s">
        <v>623</v>
      </c>
      <c r="C661" s="60" t="s">
        <v>1076</v>
      </c>
      <c r="D661" s="60" t="s">
        <v>820</v>
      </c>
      <c r="E661" s="60" t="s">
        <v>1368</v>
      </c>
      <c r="F661" s="76">
        <f>VLOOKUP(C661,'Functional Assignment'!$C$2:$AP$780,'Functional Assignment'!$S$2,)</f>
        <v>0</v>
      </c>
      <c r="G661" s="76">
        <f t="shared" ref="G661:P665" si="301">IF(VLOOKUP($E661,$D$6:$AN$1131,3,)=0,0,(VLOOKUP($E661,$D$6:$AN$1131,G$2,)/VLOOKUP($E661,$D$6:$AN$1131,3,))*$F661)</f>
        <v>0</v>
      </c>
      <c r="H661" s="76">
        <f t="shared" si="301"/>
        <v>0</v>
      </c>
      <c r="I661" s="76">
        <f t="shared" si="301"/>
        <v>0</v>
      </c>
      <c r="J661" s="76">
        <f t="shared" si="301"/>
        <v>0</v>
      </c>
      <c r="K661" s="76">
        <f t="shared" si="301"/>
        <v>0</v>
      </c>
      <c r="L661" s="76">
        <f t="shared" si="301"/>
        <v>0</v>
      </c>
      <c r="M661" s="76">
        <f t="shared" si="301"/>
        <v>0</v>
      </c>
      <c r="N661" s="76">
        <f t="shared" si="301"/>
        <v>0</v>
      </c>
      <c r="O661" s="76">
        <f t="shared" si="301"/>
        <v>0</v>
      </c>
      <c r="P661" s="76">
        <f t="shared" si="301"/>
        <v>0</v>
      </c>
      <c r="Q661" s="76">
        <f t="shared" ref="Q661:Z665" si="302">IF(VLOOKUP($E661,$D$6:$AN$1131,3,)=0,0,(VLOOKUP($E661,$D$6:$AN$1131,Q$2,)/VLOOKUP($E661,$D$6:$AN$1131,3,))*$F661)</f>
        <v>0</v>
      </c>
      <c r="R661" s="76">
        <f t="shared" si="302"/>
        <v>0</v>
      </c>
      <c r="S661" s="76">
        <f t="shared" si="302"/>
        <v>0</v>
      </c>
      <c r="T661" s="76">
        <f t="shared" si="302"/>
        <v>0</v>
      </c>
      <c r="U661" s="76">
        <f t="shared" si="302"/>
        <v>0</v>
      </c>
      <c r="V661" s="76">
        <f t="shared" si="302"/>
        <v>0</v>
      </c>
      <c r="W661" s="76">
        <f t="shared" si="302"/>
        <v>0</v>
      </c>
      <c r="X661" s="62">
        <f t="shared" si="302"/>
        <v>0</v>
      </c>
      <c r="Y661" s="62">
        <f t="shared" si="302"/>
        <v>0</v>
      </c>
      <c r="Z661" s="62">
        <f t="shared" si="302"/>
        <v>0</v>
      </c>
      <c r="AA661" s="64">
        <f t="shared" ref="AA661:AA666" si="303">SUM(G661:Z661)</f>
        <v>0</v>
      </c>
      <c r="AB661" s="58" t="str">
        <f t="shared" ref="AB661:AB666" si="304">IF(ABS(F661-AA661)&lt;0.01,"ok","err")</f>
        <v>ok</v>
      </c>
    </row>
    <row r="662" spans="1:28">
      <c r="A662" s="68" t="s">
        <v>624</v>
      </c>
      <c r="C662" s="60" t="s">
        <v>1076</v>
      </c>
      <c r="D662" s="60" t="s">
        <v>821</v>
      </c>
      <c r="E662" s="60" t="s">
        <v>1368</v>
      </c>
      <c r="F662" s="79">
        <f>VLOOKUP(C662,'Functional Assignment'!$C$2:$AP$780,'Functional Assignment'!$T$2,)</f>
        <v>3944718.0132878879</v>
      </c>
      <c r="G662" s="79">
        <f t="shared" si="301"/>
        <v>1892669.0198763676</v>
      </c>
      <c r="H662" s="79">
        <f t="shared" si="301"/>
        <v>544799.5089193153</v>
      </c>
      <c r="I662" s="79">
        <f t="shared" si="301"/>
        <v>0</v>
      </c>
      <c r="J662" s="79">
        <f t="shared" si="301"/>
        <v>48405.913424939048</v>
      </c>
      <c r="K662" s="79">
        <f t="shared" si="301"/>
        <v>561828.47072685056</v>
      </c>
      <c r="L662" s="79">
        <f t="shared" si="301"/>
        <v>0</v>
      </c>
      <c r="M662" s="79">
        <f t="shared" si="301"/>
        <v>0</v>
      </c>
      <c r="N662" s="79">
        <f t="shared" si="301"/>
        <v>511092.46716124145</v>
      </c>
      <c r="O662" s="79">
        <f t="shared" si="301"/>
        <v>303459.88353137963</v>
      </c>
      <c r="P662" s="79">
        <f t="shared" si="301"/>
        <v>0</v>
      </c>
      <c r="Q662" s="79">
        <f t="shared" si="302"/>
        <v>31685.758093236491</v>
      </c>
      <c r="R662" s="79">
        <f t="shared" si="302"/>
        <v>16584.781653955793</v>
      </c>
      <c r="S662" s="79">
        <f t="shared" si="302"/>
        <v>32671.290776235764</v>
      </c>
      <c r="T662" s="79">
        <f t="shared" si="302"/>
        <v>1044.9221895197834</v>
      </c>
      <c r="U662" s="79">
        <f t="shared" si="302"/>
        <v>475.99693484705136</v>
      </c>
      <c r="V662" s="79">
        <f t="shared" si="302"/>
        <v>0</v>
      </c>
      <c r="W662" s="79">
        <f t="shared" si="302"/>
        <v>0</v>
      </c>
      <c r="X662" s="63">
        <f t="shared" si="302"/>
        <v>0</v>
      </c>
      <c r="Y662" s="63">
        <f t="shared" si="302"/>
        <v>0</v>
      </c>
      <c r="Z662" s="63">
        <f t="shared" si="302"/>
        <v>0</v>
      </c>
      <c r="AA662" s="63">
        <f t="shared" si="303"/>
        <v>3944718.0132878879</v>
      </c>
      <c r="AB662" s="58" t="str">
        <f t="shared" si="304"/>
        <v>ok</v>
      </c>
    </row>
    <row r="663" spans="1:28">
      <c r="A663" s="68" t="s">
        <v>625</v>
      </c>
      <c r="C663" s="60" t="s">
        <v>1076</v>
      </c>
      <c r="D663" s="60" t="s">
        <v>822</v>
      </c>
      <c r="E663" s="60" t="s">
        <v>698</v>
      </c>
      <c r="F663" s="79">
        <f>VLOOKUP(C663,'Functional Assignment'!$C$2:$AP$780,'Functional Assignment'!$U$2,)</f>
        <v>6277512.483060318</v>
      </c>
      <c r="G663" s="79">
        <f t="shared" si="301"/>
        <v>5411926.599366107</v>
      </c>
      <c r="H663" s="79">
        <f t="shared" si="301"/>
        <v>672378.90717442683</v>
      </c>
      <c r="I663" s="79">
        <f t="shared" si="301"/>
        <v>0</v>
      </c>
      <c r="J663" s="79">
        <f t="shared" si="301"/>
        <v>1070.1700226929004</v>
      </c>
      <c r="K663" s="79">
        <f t="shared" si="301"/>
        <v>41976.923691044431</v>
      </c>
      <c r="L663" s="79">
        <f t="shared" si="301"/>
        <v>0</v>
      </c>
      <c r="M663" s="79">
        <f t="shared" si="301"/>
        <v>0</v>
      </c>
      <c r="N663" s="79">
        <f t="shared" si="301"/>
        <v>1568.0963526958471</v>
      </c>
      <c r="O663" s="79">
        <f t="shared" si="301"/>
        <v>4102.3184203227847</v>
      </c>
      <c r="P663" s="79">
        <f t="shared" si="301"/>
        <v>0</v>
      </c>
      <c r="Q663" s="79">
        <f t="shared" si="302"/>
        <v>14.863472537401394</v>
      </c>
      <c r="R663" s="79">
        <f t="shared" si="302"/>
        <v>14.863472537401394</v>
      </c>
      <c r="S663" s="79">
        <f t="shared" si="302"/>
        <v>142692.63935295059</v>
      </c>
      <c r="T663" s="79">
        <f t="shared" si="302"/>
        <v>272.49699651902552</v>
      </c>
      <c r="U663" s="79">
        <f t="shared" si="302"/>
        <v>1494.6047384831402</v>
      </c>
      <c r="V663" s="79">
        <f t="shared" si="302"/>
        <v>0</v>
      </c>
      <c r="W663" s="79">
        <f t="shared" si="302"/>
        <v>0</v>
      </c>
      <c r="X663" s="63">
        <f t="shared" si="302"/>
        <v>0</v>
      </c>
      <c r="Y663" s="63">
        <f t="shared" si="302"/>
        <v>0</v>
      </c>
      <c r="Z663" s="63">
        <f t="shared" si="302"/>
        <v>0</v>
      </c>
      <c r="AA663" s="63">
        <f t="shared" si="303"/>
        <v>6277512.4830603162</v>
      </c>
      <c r="AB663" s="58" t="str">
        <f t="shared" si="304"/>
        <v>ok</v>
      </c>
    </row>
    <row r="664" spans="1:28">
      <c r="A664" s="68" t="s">
        <v>626</v>
      </c>
      <c r="C664" s="60" t="s">
        <v>1076</v>
      </c>
      <c r="D664" s="60" t="s">
        <v>823</v>
      </c>
      <c r="E664" s="60" t="s">
        <v>678</v>
      </c>
      <c r="F664" s="79">
        <f>VLOOKUP(C664,'Functional Assignment'!$C$2:$AP$780,'Functional Assignment'!$V$2,)</f>
        <v>1084417.8061643278</v>
      </c>
      <c r="G664" s="79">
        <f t="shared" si="301"/>
        <v>910052.11858515011</v>
      </c>
      <c r="H664" s="79">
        <f t="shared" si="301"/>
        <v>166535.43306996804</v>
      </c>
      <c r="I664" s="79">
        <f t="shared" si="301"/>
        <v>0</v>
      </c>
      <c r="J664" s="79">
        <f t="shared" si="301"/>
        <v>0</v>
      </c>
      <c r="K664" s="79">
        <f t="shared" si="301"/>
        <v>0</v>
      </c>
      <c r="L664" s="79">
        <f t="shared" si="301"/>
        <v>0</v>
      </c>
      <c r="M664" s="79">
        <f t="shared" si="301"/>
        <v>0</v>
      </c>
      <c r="N664" s="79">
        <f t="shared" si="301"/>
        <v>0</v>
      </c>
      <c r="O664" s="79">
        <f t="shared" si="301"/>
        <v>0</v>
      </c>
      <c r="P664" s="79">
        <f t="shared" si="301"/>
        <v>0</v>
      </c>
      <c r="Q664" s="79">
        <f t="shared" si="302"/>
        <v>0</v>
      </c>
      <c r="R664" s="79">
        <f t="shared" si="302"/>
        <v>0</v>
      </c>
      <c r="S664" s="79">
        <f t="shared" si="302"/>
        <v>7481.953423484696</v>
      </c>
      <c r="T664" s="79">
        <f t="shared" si="302"/>
        <v>239.29446824425185</v>
      </c>
      <c r="U664" s="79">
        <f t="shared" si="302"/>
        <v>109.00661748073867</v>
      </c>
      <c r="V664" s="79">
        <f t="shared" si="302"/>
        <v>0</v>
      </c>
      <c r="W664" s="79">
        <f t="shared" si="302"/>
        <v>0</v>
      </c>
      <c r="X664" s="63">
        <f t="shared" si="302"/>
        <v>0</v>
      </c>
      <c r="Y664" s="63">
        <f t="shared" si="302"/>
        <v>0</v>
      </c>
      <c r="Z664" s="63">
        <f t="shared" si="302"/>
        <v>0</v>
      </c>
      <c r="AA664" s="63">
        <f t="shared" si="303"/>
        <v>1084417.8061643278</v>
      </c>
      <c r="AB664" s="58" t="str">
        <f t="shared" si="304"/>
        <v>ok</v>
      </c>
    </row>
    <row r="665" spans="1:28">
      <c r="A665" s="68" t="s">
        <v>627</v>
      </c>
      <c r="C665" s="60" t="s">
        <v>1076</v>
      </c>
      <c r="D665" s="60" t="s">
        <v>824</v>
      </c>
      <c r="E665" s="60" t="s">
        <v>697</v>
      </c>
      <c r="F665" s="79">
        <f>VLOOKUP(C665,'Functional Assignment'!$C$2:$AP$780,'Functional Assignment'!$W$2,)</f>
        <v>1647942.0966413119</v>
      </c>
      <c r="G665" s="79">
        <f t="shared" si="301"/>
        <v>1431831.4003604285</v>
      </c>
      <c r="H665" s="79">
        <f t="shared" si="301"/>
        <v>177891.03650170311</v>
      </c>
      <c r="I665" s="79">
        <f t="shared" si="301"/>
        <v>0</v>
      </c>
      <c r="J665" s="79">
        <f t="shared" si="301"/>
        <v>0</v>
      </c>
      <c r="K665" s="79">
        <f t="shared" si="301"/>
        <v>0</v>
      </c>
      <c r="L665" s="79">
        <f t="shared" si="301"/>
        <v>0</v>
      </c>
      <c r="M665" s="79">
        <f t="shared" si="301"/>
        <v>0</v>
      </c>
      <c r="N665" s="79">
        <f t="shared" si="301"/>
        <v>0</v>
      </c>
      <c r="O665" s="79">
        <f t="shared" si="301"/>
        <v>0</v>
      </c>
      <c r="P665" s="79">
        <f t="shared" si="301"/>
        <v>0</v>
      </c>
      <c r="Q665" s="79">
        <f t="shared" si="302"/>
        <v>0</v>
      </c>
      <c r="R665" s="79">
        <f t="shared" si="302"/>
        <v>0</v>
      </c>
      <c r="S665" s="79">
        <f t="shared" si="302"/>
        <v>37752.138332731934</v>
      </c>
      <c r="T665" s="79">
        <f t="shared" si="302"/>
        <v>72.094428657910342</v>
      </c>
      <c r="U665" s="79">
        <f t="shared" si="302"/>
        <v>395.42701779035679</v>
      </c>
      <c r="V665" s="79">
        <f t="shared" si="302"/>
        <v>0</v>
      </c>
      <c r="W665" s="79">
        <f t="shared" si="302"/>
        <v>0</v>
      </c>
      <c r="X665" s="63">
        <f t="shared" si="302"/>
        <v>0</v>
      </c>
      <c r="Y665" s="63">
        <f t="shared" si="302"/>
        <v>0</v>
      </c>
      <c r="Z665" s="63">
        <f t="shared" si="302"/>
        <v>0</v>
      </c>
      <c r="AA665" s="63">
        <f t="shared" si="303"/>
        <v>1647942.0966413119</v>
      </c>
      <c r="AB665" s="58" t="str">
        <f t="shared" si="304"/>
        <v>ok</v>
      </c>
    </row>
    <row r="666" spans="1:28">
      <c r="A666" s="60" t="s">
        <v>378</v>
      </c>
      <c r="D666" s="60" t="s">
        <v>825</v>
      </c>
      <c r="F666" s="76">
        <f>SUM(F661:F665)</f>
        <v>12954590.399153845</v>
      </c>
      <c r="G666" s="76">
        <f t="shared" ref="G666:W666" si="305">SUM(G661:G665)</f>
        <v>9646479.1381880529</v>
      </c>
      <c r="H666" s="76">
        <f t="shared" si="305"/>
        <v>1561604.8856654132</v>
      </c>
      <c r="I666" s="76">
        <f t="shared" si="305"/>
        <v>0</v>
      </c>
      <c r="J666" s="76">
        <f t="shared" si="305"/>
        <v>49476.083447631951</v>
      </c>
      <c r="K666" s="76">
        <f t="shared" si="305"/>
        <v>603805.394417895</v>
      </c>
      <c r="L666" s="76">
        <f t="shared" si="305"/>
        <v>0</v>
      </c>
      <c r="M666" s="76">
        <f t="shared" si="305"/>
        <v>0</v>
      </c>
      <c r="N666" s="76">
        <f t="shared" si="305"/>
        <v>512660.56351393729</v>
      </c>
      <c r="O666" s="76">
        <f>SUM(O661:O665)</f>
        <v>307562.20195170242</v>
      </c>
      <c r="P666" s="76">
        <f t="shared" si="305"/>
        <v>0</v>
      </c>
      <c r="Q666" s="76">
        <f t="shared" si="305"/>
        <v>31700.621565773894</v>
      </c>
      <c r="R666" s="76">
        <f t="shared" si="305"/>
        <v>16599.645126493197</v>
      </c>
      <c r="S666" s="76">
        <f t="shared" si="305"/>
        <v>220598.021885403</v>
      </c>
      <c r="T666" s="76">
        <f t="shared" si="305"/>
        <v>1628.8080829409712</v>
      </c>
      <c r="U666" s="76">
        <f t="shared" si="305"/>
        <v>2475.0353086012869</v>
      </c>
      <c r="V666" s="76">
        <f t="shared" si="305"/>
        <v>0</v>
      </c>
      <c r="W666" s="76">
        <f t="shared" si="305"/>
        <v>0</v>
      </c>
      <c r="X666" s="62">
        <f>SUM(X661:X665)</f>
        <v>0</v>
      </c>
      <c r="Y666" s="62">
        <f>SUM(Y661:Y665)</f>
        <v>0</v>
      </c>
      <c r="Z666" s="62">
        <f>SUM(Z661:Z665)</f>
        <v>0</v>
      </c>
      <c r="AA666" s="64">
        <f t="shared" si="303"/>
        <v>12954590.399153844</v>
      </c>
      <c r="AB666" s="58" t="str">
        <f t="shared" si="304"/>
        <v>ok</v>
      </c>
    </row>
    <row r="667" spans="1:28">
      <c r="F667" s="79"/>
    </row>
    <row r="668" spans="1:28" ht="15">
      <c r="A668" s="65" t="s">
        <v>634</v>
      </c>
      <c r="F668" s="79"/>
    </row>
    <row r="669" spans="1:28">
      <c r="A669" s="68" t="s">
        <v>1090</v>
      </c>
      <c r="C669" s="60" t="s">
        <v>1076</v>
      </c>
      <c r="D669" s="60" t="s">
        <v>826</v>
      </c>
      <c r="E669" s="60" t="s">
        <v>1336</v>
      </c>
      <c r="F669" s="76">
        <f>VLOOKUP(C669,'Functional Assignment'!$C$2:$AP$780,'Functional Assignment'!$X$2,)</f>
        <v>1498992.5834714985</v>
      </c>
      <c r="G669" s="76">
        <f t="shared" ref="G669:P670" si="306">IF(VLOOKUP($E669,$D$6:$AN$1131,3,)=0,0,(VLOOKUP($E669,$D$6:$AN$1131,G$2,)/VLOOKUP($E669,$D$6:$AN$1131,3,))*$F669)</f>
        <v>1040002.1508040911</v>
      </c>
      <c r="H669" s="76">
        <f t="shared" si="306"/>
        <v>190315.70284911338</v>
      </c>
      <c r="I669" s="76">
        <f t="shared" si="306"/>
        <v>0</v>
      </c>
      <c r="J669" s="76">
        <f t="shared" si="306"/>
        <v>0</v>
      </c>
      <c r="K669" s="76">
        <f t="shared" si="306"/>
        <v>167612.38737420223</v>
      </c>
      <c r="L669" s="76">
        <f t="shared" si="306"/>
        <v>0</v>
      </c>
      <c r="M669" s="76">
        <f t="shared" si="306"/>
        <v>0</v>
      </c>
      <c r="N669" s="76">
        <f t="shared" si="306"/>
        <v>0</v>
      </c>
      <c r="O669" s="76">
        <f t="shared" si="306"/>
        <v>92113.974142304927</v>
      </c>
      <c r="P669" s="76">
        <f t="shared" si="306"/>
        <v>0</v>
      </c>
      <c r="Q669" s="76">
        <f t="shared" ref="Q669:Z670" si="307">IF(VLOOKUP($E669,$D$6:$AN$1131,3,)=0,0,(VLOOKUP($E669,$D$6:$AN$1131,Q$2,)/VLOOKUP($E669,$D$6:$AN$1131,3,))*$F669)</f>
        <v>0</v>
      </c>
      <c r="R669" s="76">
        <f t="shared" si="307"/>
        <v>0</v>
      </c>
      <c r="S669" s="76">
        <f t="shared" si="307"/>
        <v>8550.3318916916014</v>
      </c>
      <c r="T669" s="76">
        <f t="shared" si="307"/>
        <v>273.46429568940965</v>
      </c>
      <c r="U669" s="76">
        <f t="shared" si="307"/>
        <v>124.57211440603852</v>
      </c>
      <c r="V669" s="76">
        <f t="shared" si="307"/>
        <v>0</v>
      </c>
      <c r="W669" s="76">
        <f t="shared" si="307"/>
        <v>0</v>
      </c>
      <c r="X669" s="62">
        <f t="shared" si="307"/>
        <v>0</v>
      </c>
      <c r="Y669" s="62">
        <f t="shared" si="307"/>
        <v>0</v>
      </c>
      <c r="Z669" s="62">
        <f t="shared" si="307"/>
        <v>0</v>
      </c>
      <c r="AA669" s="64">
        <f>SUM(G669:Z669)</f>
        <v>1498992.5834714989</v>
      </c>
      <c r="AB669" s="58" t="str">
        <f>IF(ABS(F669-AA669)&lt;0.01,"ok","err")</f>
        <v>ok</v>
      </c>
    </row>
    <row r="670" spans="1:28">
      <c r="A670" s="68" t="s">
        <v>1093</v>
      </c>
      <c r="C670" s="60" t="s">
        <v>1076</v>
      </c>
      <c r="D670" s="60" t="s">
        <v>827</v>
      </c>
      <c r="E670" s="60" t="s">
        <v>1334</v>
      </c>
      <c r="F670" s="79">
        <f>VLOOKUP(C670,'Functional Assignment'!$C$2:$AP$780,'Functional Assignment'!$Y$2,)</f>
        <v>1048323.9920114006</v>
      </c>
      <c r="G670" s="79">
        <f t="shared" si="306"/>
        <v>904158.26342739759</v>
      </c>
      <c r="H670" s="79">
        <f t="shared" si="306"/>
        <v>112332.81418621755</v>
      </c>
      <c r="I670" s="79">
        <f t="shared" si="306"/>
        <v>0</v>
      </c>
      <c r="J670" s="79">
        <f t="shared" si="306"/>
        <v>0</v>
      </c>
      <c r="K670" s="79">
        <f t="shared" si="306"/>
        <v>7012.9891327359474</v>
      </c>
      <c r="L670" s="79">
        <f t="shared" si="306"/>
        <v>0</v>
      </c>
      <c r="M670" s="79">
        <f t="shared" si="306"/>
        <v>0</v>
      </c>
      <c r="N670" s="79">
        <f t="shared" si="306"/>
        <v>0</v>
      </c>
      <c r="O670" s="79">
        <f t="shared" si="306"/>
        <v>685.36500465097254</v>
      </c>
      <c r="P670" s="79">
        <f t="shared" si="306"/>
        <v>0</v>
      </c>
      <c r="Q670" s="79">
        <f t="shared" si="307"/>
        <v>0</v>
      </c>
      <c r="R670" s="79">
        <f t="shared" si="307"/>
        <v>0</v>
      </c>
      <c r="S670" s="79">
        <f t="shared" si="307"/>
        <v>23839.334594143853</v>
      </c>
      <c r="T670" s="79">
        <f t="shared" si="307"/>
        <v>45.525453207492134</v>
      </c>
      <c r="U670" s="79">
        <f t="shared" si="307"/>
        <v>249.70021304715385</v>
      </c>
      <c r="V670" s="79">
        <f t="shared" si="307"/>
        <v>0</v>
      </c>
      <c r="W670" s="79">
        <f t="shared" si="307"/>
        <v>0</v>
      </c>
      <c r="X670" s="63">
        <f t="shared" si="307"/>
        <v>0</v>
      </c>
      <c r="Y670" s="63">
        <f t="shared" si="307"/>
        <v>0</v>
      </c>
      <c r="Z670" s="63">
        <f t="shared" si="307"/>
        <v>0</v>
      </c>
      <c r="AA670" s="63">
        <f>SUM(G670:Z670)</f>
        <v>1048323.9920114009</v>
      </c>
      <c r="AB670" s="58" t="str">
        <f>IF(ABS(F670-AA670)&lt;0.01,"ok","err")</f>
        <v>ok</v>
      </c>
    </row>
    <row r="671" spans="1:28">
      <c r="A671" s="60" t="s">
        <v>712</v>
      </c>
      <c r="D671" s="60" t="s">
        <v>828</v>
      </c>
      <c r="F671" s="76">
        <f>F669+F670</f>
        <v>2547316.5754828993</v>
      </c>
      <c r="G671" s="76">
        <f t="shared" ref="G671:W671" si="308">G669+G670</f>
        <v>1944160.4142314887</v>
      </c>
      <c r="H671" s="76">
        <f t="shared" si="308"/>
        <v>302648.51703533094</v>
      </c>
      <c r="I671" s="76">
        <f t="shared" si="308"/>
        <v>0</v>
      </c>
      <c r="J671" s="76">
        <f t="shared" si="308"/>
        <v>0</v>
      </c>
      <c r="K671" s="76">
        <f t="shared" si="308"/>
        <v>174625.37650693816</v>
      </c>
      <c r="L671" s="76">
        <f t="shared" si="308"/>
        <v>0</v>
      </c>
      <c r="M671" s="76">
        <f t="shared" si="308"/>
        <v>0</v>
      </c>
      <c r="N671" s="76">
        <f t="shared" si="308"/>
        <v>0</v>
      </c>
      <c r="O671" s="76">
        <f>O669+O670</f>
        <v>92799.339146955899</v>
      </c>
      <c r="P671" s="76">
        <f t="shared" si="308"/>
        <v>0</v>
      </c>
      <c r="Q671" s="76">
        <f t="shared" si="308"/>
        <v>0</v>
      </c>
      <c r="R671" s="76">
        <f t="shared" si="308"/>
        <v>0</v>
      </c>
      <c r="S671" s="76">
        <f t="shared" si="308"/>
        <v>32389.666485835456</v>
      </c>
      <c r="T671" s="76">
        <f t="shared" si="308"/>
        <v>318.9897488969018</v>
      </c>
      <c r="U671" s="76">
        <f t="shared" si="308"/>
        <v>374.27232745319236</v>
      </c>
      <c r="V671" s="76">
        <f t="shared" si="308"/>
        <v>0</v>
      </c>
      <c r="W671" s="76">
        <f t="shared" si="308"/>
        <v>0</v>
      </c>
      <c r="X671" s="62">
        <f>X669+X670</f>
        <v>0</v>
      </c>
      <c r="Y671" s="62">
        <f>Y669+Y670</f>
        <v>0</v>
      </c>
      <c r="Z671" s="62">
        <f>Z669+Z670</f>
        <v>0</v>
      </c>
      <c r="AA671" s="64">
        <f>SUM(G671:Z671)</f>
        <v>2547316.5754828993</v>
      </c>
      <c r="AB671" s="58" t="str">
        <f>IF(ABS(F671-AA671)&lt;0.01,"ok","err")</f>
        <v>ok</v>
      </c>
    </row>
    <row r="672" spans="1:28">
      <c r="F672" s="79"/>
    </row>
    <row r="673" spans="1:28" ht="15">
      <c r="A673" s="65" t="s">
        <v>354</v>
      </c>
      <c r="F673" s="79"/>
    </row>
    <row r="674" spans="1:28">
      <c r="A674" s="68" t="s">
        <v>1093</v>
      </c>
      <c r="C674" s="60" t="s">
        <v>1076</v>
      </c>
      <c r="D674" s="60" t="s">
        <v>829</v>
      </c>
      <c r="E674" s="60" t="s">
        <v>1095</v>
      </c>
      <c r="F674" s="76">
        <f>VLOOKUP(C674,'Functional Assignment'!$C$2:$AP$780,'Functional Assignment'!$Z$2,)</f>
        <v>520617.29562245787</v>
      </c>
      <c r="G674" s="76">
        <f t="shared" ref="G674:Z674" si="309">IF(VLOOKUP($E674,$D$6:$AN$1131,3,)=0,0,(VLOOKUP($E674,$D$6:$AN$1131,G$2,)/VLOOKUP($E674,$D$6:$AN$1131,3,))*$F674)</f>
        <v>400154.99187507574</v>
      </c>
      <c r="H674" s="76">
        <f t="shared" si="309"/>
        <v>100706.31141930788</v>
      </c>
      <c r="I674" s="76">
        <f t="shared" si="309"/>
        <v>0</v>
      </c>
      <c r="J674" s="76">
        <f t="shared" si="309"/>
        <v>0</v>
      </c>
      <c r="K674" s="76">
        <f t="shared" si="309"/>
        <v>17568.86128616831</v>
      </c>
      <c r="L674" s="76">
        <f t="shared" si="309"/>
        <v>0</v>
      </c>
      <c r="M674" s="76">
        <f t="shared" si="309"/>
        <v>0</v>
      </c>
      <c r="N674" s="76">
        <f t="shared" si="309"/>
        <v>0</v>
      </c>
      <c r="O674" s="76">
        <f t="shared" si="309"/>
        <v>2187.1310419058518</v>
      </c>
      <c r="P674" s="76">
        <f t="shared" si="309"/>
        <v>0</v>
      </c>
      <c r="Q674" s="76">
        <f t="shared" si="309"/>
        <v>0</v>
      </c>
      <c r="R674" s="76">
        <f t="shared" si="309"/>
        <v>0</v>
      </c>
      <c r="S674" s="76">
        <f t="shared" si="309"/>
        <v>0</v>
      </c>
      <c r="T674" s="76">
        <f t="shared" si="309"/>
        <v>0</v>
      </c>
      <c r="U674" s="76">
        <f t="shared" si="309"/>
        <v>0</v>
      </c>
      <c r="V674" s="76">
        <f t="shared" si="309"/>
        <v>0</v>
      </c>
      <c r="W674" s="76">
        <f t="shared" si="309"/>
        <v>0</v>
      </c>
      <c r="X674" s="62">
        <f t="shared" si="309"/>
        <v>0</v>
      </c>
      <c r="Y674" s="62">
        <f t="shared" si="309"/>
        <v>0</v>
      </c>
      <c r="Z674" s="62">
        <f t="shared" si="309"/>
        <v>0</v>
      </c>
      <c r="AA674" s="64">
        <f>SUM(G674:Z674)</f>
        <v>520617.29562245781</v>
      </c>
      <c r="AB674" s="58" t="str">
        <f>IF(ABS(F674-AA674)&lt;0.01,"ok","err")</f>
        <v>ok</v>
      </c>
    </row>
    <row r="675" spans="1:28">
      <c r="F675" s="79"/>
    </row>
    <row r="676" spans="1:28" ht="15">
      <c r="A676" s="65" t="s">
        <v>353</v>
      </c>
      <c r="F676" s="79"/>
    </row>
    <row r="677" spans="1:28">
      <c r="A677" s="68" t="s">
        <v>1093</v>
      </c>
      <c r="C677" s="60" t="s">
        <v>1076</v>
      </c>
      <c r="D677" s="60" t="s">
        <v>830</v>
      </c>
      <c r="E677" s="60" t="s">
        <v>1096</v>
      </c>
      <c r="F677" s="76">
        <f>VLOOKUP(C677,'Functional Assignment'!$C$2:$AP$780,'Functional Assignment'!$AA$2,)</f>
        <v>603901.52107565489</v>
      </c>
      <c r="G677" s="76">
        <f t="shared" ref="G677:Z677" si="310">IF(VLOOKUP($E677,$D$6:$AN$1131,3,)=0,0,(VLOOKUP($E677,$D$6:$AN$1131,G$2,)/VLOOKUP($E677,$D$6:$AN$1131,3,))*$F677)</f>
        <v>422682.72982077952</v>
      </c>
      <c r="H677" s="76">
        <f t="shared" si="310"/>
        <v>124271.1487687473</v>
      </c>
      <c r="I677" s="76">
        <f t="shared" si="310"/>
        <v>0</v>
      </c>
      <c r="J677" s="76">
        <f t="shared" si="310"/>
        <v>4837.673404959487</v>
      </c>
      <c r="K677" s="76">
        <f t="shared" si="310"/>
        <v>33430.123754871485</v>
      </c>
      <c r="L677" s="76">
        <f t="shared" si="310"/>
        <v>0</v>
      </c>
      <c r="M677" s="76">
        <f t="shared" si="310"/>
        <v>0</v>
      </c>
      <c r="N677" s="76">
        <f t="shared" si="310"/>
        <v>7575.3372783088225</v>
      </c>
      <c r="O677" s="76">
        <f t="shared" si="310"/>
        <v>3521.8391982138687</v>
      </c>
      <c r="P677" s="76">
        <f t="shared" si="310"/>
        <v>6196.9316539954534</v>
      </c>
      <c r="Q677" s="76">
        <f t="shared" si="310"/>
        <v>71.804144818093107</v>
      </c>
      <c r="R677" s="76">
        <f t="shared" si="310"/>
        <v>71.804144818093107</v>
      </c>
      <c r="S677" s="76">
        <f t="shared" si="310"/>
        <v>0</v>
      </c>
      <c r="T677" s="76">
        <f t="shared" si="310"/>
        <v>191.54324253603966</v>
      </c>
      <c r="U677" s="76">
        <f t="shared" si="310"/>
        <v>1050.5856636067631</v>
      </c>
      <c r="V677" s="76">
        <f t="shared" si="310"/>
        <v>0</v>
      </c>
      <c r="W677" s="76">
        <f t="shared" si="310"/>
        <v>0</v>
      </c>
      <c r="X677" s="62">
        <f t="shared" si="310"/>
        <v>0</v>
      </c>
      <c r="Y677" s="62">
        <f t="shared" si="310"/>
        <v>0</v>
      </c>
      <c r="Z677" s="62">
        <f t="shared" si="310"/>
        <v>0</v>
      </c>
      <c r="AA677" s="64">
        <f>SUM(G677:Z677)</f>
        <v>603901.52107565489</v>
      </c>
      <c r="AB677" s="58" t="str">
        <f>IF(ABS(F677-AA677)&lt;0.01,"ok","err")</f>
        <v>ok</v>
      </c>
    </row>
    <row r="678" spans="1:28"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6"/>
      <c r="U678" s="76"/>
      <c r="V678" s="76"/>
      <c r="W678" s="76"/>
      <c r="X678" s="62"/>
      <c r="Y678" s="62"/>
      <c r="Z678" s="62"/>
      <c r="AA678" s="64"/>
    </row>
    <row r="679" spans="1:28" ht="15">
      <c r="A679" s="65" t="s">
        <v>371</v>
      </c>
      <c r="F679" s="79"/>
    </row>
    <row r="680" spans="1:28">
      <c r="A680" s="68" t="s">
        <v>1093</v>
      </c>
      <c r="C680" s="60" t="s">
        <v>1076</v>
      </c>
      <c r="D680" s="60" t="s">
        <v>831</v>
      </c>
      <c r="E680" s="60" t="s">
        <v>1097</v>
      </c>
      <c r="F680" s="76">
        <f>VLOOKUP(C680,'Functional Assignment'!$C$2:$AP$780,'Functional Assignment'!$AB$2,)</f>
        <v>1654734.7805703112</v>
      </c>
      <c r="G680" s="76">
        <f t="shared" ref="G680:Z680" si="311">IF(VLOOKUP($E680,$D$6:$AN$1131,3,)=0,0,(VLOOKUP($E680,$D$6:$AN$1131,G$2,)/VLOOKUP($E680,$D$6:$AN$1131,3,))*$F680)</f>
        <v>0</v>
      </c>
      <c r="H680" s="76">
        <f t="shared" si="311"/>
        <v>0</v>
      </c>
      <c r="I680" s="76">
        <f t="shared" si="311"/>
        <v>0</v>
      </c>
      <c r="J680" s="76">
        <f t="shared" si="311"/>
        <v>0</v>
      </c>
      <c r="K680" s="76">
        <f t="shared" si="311"/>
        <v>0</v>
      </c>
      <c r="L680" s="76">
        <f t="shared" si="311"/>
        <v>0</v>
      </c>
      <c r="M680" s="76">
        <f t="shared" si="311"/>
        <v>0</v>
      </c>
      <c r="N680" s="76">
        <f t="shared" si="311"/>
        <v>0</v>
      </c>
      <c r="O680" s="76">
        <f t="shared" si="311"/>
        <v>0</v>
      </c>
      <c r="P680" s="76">
        <f t="shared" si="311"/>
        <v>0</v>
      </c>
      <c r="Q680" s="76">
        <f t="shared" si="311"/>
        <v>0</v>
      </c>
      <c r="R680" s="76">
        <f t="shared" si="311"/>
        <v>0</v>
      </c>
      <c r="S680" s="76">
        <f t="shared" si="311"/>
        <v>1654734.7805703112</v>
      </c>
      <c r="T680" s="76">
        <f t="shared" si="311"/>
        <v>0</v>
      </c>
      <c r="U680" s="76">
        <f t="shared" si="311"/>
        <v>0</v>
      </c>
      <c r="V680" s="76">
        <f t="shared" si="311"/>
        <v>0</v>
      </c>
      <c r="W680" s="76">
        <f t="shared" si="311"/>
        <v>0</v>
      </c>
      <c r="X680" s="62">
        <f t="shared" si="311"/>
        <v>0</v>
      </c>
      <c r="Y680" s="62">
        <f t="shared" si="311"/>
        <v>0</v>
      </c>
      <c r="Z680" s="62">
        <f t="shared" si="311"/>
        <v>0</v>
      </c>
      <c r="AA680" s="64">
        <f>SUM(G680:Z680)</f>
        <v>1654734.7805703112</v>
      </c>
      <c r="AB680" s="58" t="str">
        <f>IF(ABS(F680-AA680)&lt;0.01,"ok","err")</f>
        <v>ok</v>
      </c>
    </row>
    <row r="681" spans="1:28"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6"/>
      <c r="U681" s="76"/>
      <c r="V681" s="76"/>
      <c r="W681" s="76"/>
      <c r="X681" s="62"/>
      <c r="Y681" s="62"/>
      <c r="Z681" s="62"/>
      <c r="AA681" s="64"/>
    </row>
    <row r="682" spans="1:28" ht="15">
      <c r="A682" s="65" t="s">
        <v>1025</v>
      </c>
      <c r="F682" s="79"/>
    </row>
    <row r="683" spans="1:28">
      <c r="A683" s="68" t="s">
        <v>1093</v>
      </c>
      <c r="C683" s="60" t="s">
        <v>1076</v>
      </c>
      <c r="D683" s="60" t="s">
        <v>832</v>
      </c>
      <c r="E683" s="60" t="s">
        <v>1098</v>
      </c>
      <c r="F683" s="76">
        <f>VLOOKUP(C683,'Functional Assignment'!$C$2:$AP$780,'Functional Assignment'!$AC$2,)</f>
        <v>0</v>
      </c>
      <c r="G683" s="76">
        <f t="shared" ref="G683:Z683" si="312">IF(VLOOKUP($E683,$D$6:$AN$1131,3,)=0,0,(VLOOKUP($E683,$D$6:$AN$1131,G$2,)/VLOOKUP($E683,$D$6:$AN$1131,3,))*$F683)</f>
        <v>0</v>
      </c>
      <c r="H683" s="76">
        <f t="shared" si="312"/>
        <v>0</v>
      </c>
      <c r="I683" s="76">
        <f t="shared" si="312"/>
        <v>0</v>
      </c>
      <c r="J683" s="76">
        <f t="shared" si="312"/>
        <v>0</v>
      </c>
      <c r="K683" s="76">
        <f t="shared" si="312"/>
        <v>0</v>
      </c>
      <c r="L683" s="76">
        <f t="shared" si="312"/>
        <v>0</v>
      </c>
      <c r="M683" s="76">
        <f t="shared" si="312"/>
        <v>0</v>
      </c>
      <c r="N683" s="76">
        <f t="shared" si="312"/>
        <v>0</v>
      </c>
      <c r="O683" s="76">
        <f t="shared" si="312"/>
        <v>0</v>
      </c>
      <c r="P683" s="76">
        <f t="shared" si="312"/>
        <v>0</v>
      </c>
      <c r="Q683" s="76">
        <f t="shared" si="312"/>
        <v>0</v>
      </c>
      <c r="R683" s="76">
        <f t="shared" si="312"/>
        <v>0</v>
      </c>
      <c r="S683" s="76">
        <f t="shared" si="312"/>
        <v>0</v>
      </c>
      <c r="T683" s="76">
        <f t="shared" si="312"/>
        <v>0</v>
      </c>
      <c r="U683" s="76">
        <f t="shared" si="312"/>
        <v>0</v>
      </c>
      <c r="V683" s="76">
        <f t="shared" si="312"/>
        <v>0</v>
      </c>
      <c r="W683" s="76">
        <f t="shared" si="312"/>
        <v>0</v>
      </c>
      <c r="X683" s="62">
        <f t="shared" si="312"/>
        <v>0</v>
      </c>
      <c r="Y683" s="62">
        <f t="shared" si="312"/>
        <v>0</v>
      </c>
      <c r="Z683" s="62">
        <f t="shared" si="312"/>
        <v>0</v>
      </c>
      <c r="AA683" s="64">
        <f>SUM(G683:Z683)</f>
        <v>0</v>
      </c>
      <c r="AB683" s="58" t="str">
        <f>IF(ABS(F683-AA683)&lt;0.01,"ok","err")</f>
        <v>ok</v>
      </c>
    </row>
    <row r="684" spans="1:28"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6"/>
      <c r="U684" s="76"/>
      <c r="V684" s="76"/>
      <c r="W684" s="76"/>
      <c r="X684" s="62"/>
      <c r="Y684" s="62"/>
      <c r="Z684" s="62"/>
      <c r="AA684" s="64"/>
    </row>
    <row r="685" spans="1:28" ht="15">
      <c r="A685" s="65" t="s">
        <v>351</v>
      </c>
      <c r="F685" s="79"/>
    </row>
    <row r="686" spans="1:28">
      <c r="A686" s="68" t="s">
        <v>1093</v>
      </c>
      <c r="C686" s="60" t="s">
        <v>1076</v>
      </c>
      <c r="D686" s="60" t="s">
        <v>833</v>
      </c>
      <c r="E686" s="60" t="s">
        <v>1098</v>
      </c>
      <c r="F686" s="76">
        <f>VLOOKUP(C686,'Functional Assignment'!$C$2:$AP$780,'Functional Assignment'!$AD$2,)</f>
        <v>0</v>
      </c>
      <c r="G686" s="76">
        <f t="shared" ref="G686:Z686" si="313">IF(VLOOKUP($E686,$D$6:$AN$1131,3,)=0,0,(VLOOKUP($E686,$D$6:$AN$1131,G$2,)/VLOOKUP($E686,$D$6:$AN$1131,3,))*$F686)</f>
        <v>0</v>
      </c>
      <c r="H686" s="76">
        <f t="shared" si="313"/>
        <v>0</v>
      </c>
      <c r="I686" s="76">
        <f t="shared" si="313"/>
        <v>0</v>
      </c>
      <c r="J686" s="76">
        <f t="shared" si="313"/>
        <v>0</v>
      </c>
      <c r="K686" s="76">
        <f t="shared" si="313"/>
        <v>0</v>
      </c>
      <c r="L686" s="76">
        <f t="shared" si="313"/>
        <v>0</v>
      </c>
      <c r="M686" s="76">
        <f t="shared" si="313"/>
        <v>0</v>
      </c>
      <c r="N686" s="76">
        <f t="shared" si="313"/>
        <v>0</v>
      </c>
      <c r="O686" s="76">
        <f t="shared" si="313"/>
        <v>0</v>
      </c>
      <c r="P686" s="76">
        <f t="shared" si="313"/>
        <v>0</v>
      </c>
      <c r="Q686" s="76">
        <f t="shared" si="313"/>
        <v>0</v>
      </c>
      <c r="R686" s="76">
        <f t="shared" si="313"/>
        <v>0</v>
      </c>
      <c r="S686" s="76">
        <f t="shared" si="313"/>
        <v>0</v>
      </c>
      <c r="T686" s="76">
        <f t="shared" si="313"/>
        <v>0</v>
      </c>
      <c r="U686" s="76">
        <f t="shared" si="313"/>
        <v>0</v>
      </c>
      <c r="V686" s="76">
        <f t="shared" si="313"/>
        <v>0</v>
      </c>
      <c r="W686" s="76">
        <f t="shared" si="313"/>
        <v>0</v>
      </c>
      <c r="X686" s="62">
        <f t="shared" si="313"/>
        <v>0</v>
      </c>
      <c r="Y686" s="62">
        <f t="shared" si="313"/>
        <v>0</v>
      </c>
      <c r="Z686" s="62">
        <f t="shared" si="313"/>
        <v>0</v>
      </c>
      <c r="AA686" s="64">
        <f>SUM(G686:Z686)</f>
        <v>0</v>
      </c>
      <c r="AB686" s="58" t="str">
        <f>IF(ABS(F686-AA686)&lt;0.01,"ok","err")</f>
        <v>ok</v>
      </c>
    </row>
    <row r="687" spans="1:28"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6"/>
      <c r="U687" s="76"/>
      <c r="V687" s="76"/>
      <c r="W687" s="76"/>
      <c r="X687" s="62"/>
      <c r="Y687" s="62"/>
      <c r="Z687" s="62"/>
      <c r="AA687" s="64"/>
    </row>
    <row r="688" spans="1:28" ht="15">
      <c r="A688" s="65" t="s">
        <v>350</v>
      </c>
      <c r="F688" s="79"/>
    </row>
    <row r="689" spans="1:28">
      <c r="A689" s="68" t="s">
        <v>1093</v>
      </c>
      <c r="C689" s="60" t="s">
        <v>1076</v>
      </c>
      <c r="D689" s="60" t="s">
        <v>834</v>
      </c>
      <c r="E689" s="60" t="s">
        <v>1099</v>
      </c>
      <c r="F689" s="76">
        <f>VLOOKUP(C689,'Functional Assignment'!$C$2:$AP$780,'Functional Assignment'!$AE$2,)</f>
        <v>0</v>
      </c>
      <c r="G689" s="76">
        <f t="shared" ref="G689:Z689" si="314">IF(VLOOKUP($E689,$D$6:$AN$1131,3,)=0,0,(VLOOKUP($E689,$D$6:$AN$1131,G$2,)/VLOOKUP($E689,$D$6:$AN$1131,3,))*$F689)</f>
        <v>0</v>
      </c>
      <c r="H689" s="76">
        <f t="shared" si="314"/>
        <v>0</v>
      </c>
      <c r="I689" s="76">
        <f t="shared" si="314"/>
        <v>0</v>
      </c>
      <c r="J689" s="76">
        <f t="shared" si="314"/>
        <v>0</v>
      </c>
      <c r="K689" s="76">
        <f t="shared" si="314"/>
        <v>0</v>
      </c>
      <c r="L689" s="76">
        <f t="shared" si="314"/>
        <v>0</v>
      </c>
      <c r="M689" s="76">
        <f t="shared" si="314"/>
        <v>0</v>
      </c>
      <c r="N689" s="76">
        <f t="shared" si="314"/>
        <v>0</v>
      </c>
      <c r="O689" s="76">
        <f t="shared" si="314"/>
        <v>0</v>
      </c>
      <c r="P689" s="76">
        <f t="shared" si="314"/>
        <v>0</v>
      </c>
      <c r="Q689" s="76">
        <f t="shared" si="314"/>
        <v>0</v>
      </c>
      <c r="R689" s="76">
        <f t="shared" si="314"/>
        <v>0</v>
      </c>
      <c r="S689" s="76">
        <f t="shared" si="314"/>
        <v>0</v>
      </c>
      <c r="T689" s="76">
        <f t="shared" si="314"/>
        <v>0</v>
      </c>
      <c r="U689" s="76">
        <f t="shared" si="314"/>
        <v>0</v>
      </c>
      <c r="V689" s="76">
        <f t="shared" si="314"/>
        <v>0</v>
      </c>
      <c r="W689" s="76">
        <f t="shared" si="314"/>
        <v>0</v>
      </c>
      <c r="X689" s="62">
        <f t="shared" si="314"/>
        <v>0</v>
      </c>
      <c r="Y689" s="62">
        <f t="shared" si="314"/>
        <v>0</v>
      </c>
      <c r="Z689" s="62">
        <f t="shared" si="314"/>
        <v>0</v>
      </c>
      <c r="AA689" s="64">
        <f>SUM(G689:Z689)</f>
        <v>0</v>
      </c>
      <c r="AB689" s="58" t="str">
        <f>IF(ABS(F689-AA689)&lt;0.01,"ok","err")</f>
        <v>ok</v>
      </c>
    </row>
    <row r="690" spans="1:28"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6"/>
      <c r="U690" s="76"/>
      <c r="V690" s="76"/>
      <c r="W690" s="76"/>
      <c r="X690" s="62"/>
      <c r="Y690" s="62"/>
      <c r="Z690" s="62"/>
      <c r="AA690" s="64"/>
    </row>
    <row r="691" spans="1:28">
      <c r="A691" s="60" t="s">
        <v>922</v>
      </c>
      <c r="D691" s="60" t="s">
        <v>835</v>
      </c>
      <c r="F691" s="76">
        <f>F646+F652+F655+F658+F666+F671+F674+F677+F680+F683+F686+F689</f>
        <v>62185554.183806494</v>
      </c>
      <c r="G691" s="76">
        <f t="shared" ref="G691:Z691" si="315">G646+G652+G655+G658+G666+G671+G674+G677+G680+G683+G686+G689</f>
        <v>30245175.128357016</v>
      </c>
      <c r="H691" s="76">
        <f t="shared" si="315"/>
        <v>7893136.8616490923</v>
      </c>
      <c r="I691" s="76">
        <f t="shared" si="315"/>
        <v>0</v>
      </c>
      <c r="J691" s="76">
        <f t="shared" si="315"/>
        <v>583898.26375443523</v>
      </c>
      <c r="K691" s="76">
        <f t="shared" si="315"/>
        <v>7528723.6289021643</v>
      </c>
      <c r="L691" s="76">
        <f t="shared" si="315"/>
        <v>0</v>
      </c>
      <c r="M691" s="76">
        <f t="shared" si="315"/>
        <v>0</v>
      </c>
      <c r="N691" s="76">
        <f t="shared" si="315"/>
        <v>6252840.9339411771</v>
      </c>
      <c r="O691" s="76">
        <f>O646+O652+O655+O658+O666+O671+O674+O677+O680+O683+O686+O689</f>
        <v>3737964.8383186734</v>
      </c>
      <c r="P691" s="76">
        <f t="shared" si="315"/>
        <v>3264548.9141497239</v>
      </c>
      <c r="Q691" s="76">
        <f t="shared" si="315"/>
        <v>393295.0592991946</v>
      </c>
      <c r="R691" s="76">
        <f t="shared" si="315"/>
        <v>182377.02075575007</v>
      </c>
      <c r="S691" s="76">
        <f t="shared" si="315"/>
        <v>2083547.4240824259</v>
      </c>
      <c r="T691" s="76">
        <f t="shared" si="315"/>
        <v>7827.6899862554428</v>
      </c>
      <c r="U691" s="76">
        <f t="shared" si="315"/>
        <v>12218.420610588899</v>
      </c>
      <c r="V691" s="76">
        <f t="shared" si="315"/>
        <v>0</v>
      </c>
      <c r="W691" s="76">
        <f t="shared" si="315"/>
        <v>0</v>
      </c>
      <c r="X691" s="62">
        <f t="shared" si="315"/>
        <v>0</v>
      </c>
      <c r="Y691" s="62">
        <f t="shared" si="315"/>
        <v>0</v>
      </c>
      <c r="Z691" s="62">
        <f t="shared" si="315"/>
        <v>0</v>
      </c>
      <c r="AA691" s="64">
        <f>SUM(G691:Z691)</f>
        <v>62185554.183806509</v>
      </c>
      <c r="AB691" s="58" t="str">
        <f>IF(ABS(F691-AA691)&lt;0.01,"ok","err")</f>
        <v>ok</v>
      </c>
    </row>
    <row r="692" spans="1:28"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6"/>
      <c r="U692" s="76"/>
      <c r="V692" s="76"/>
      <c r="W692" s="76"/>
      <c r="X692" s="62"/>
      <c r="Y692" s="62"/>
      <c r="Z692" s="62"/>
      <c r="AA692" s="64"/>
      <c r="AB692" s="58"/>
    </row>
    <row r="693" spans="1:28"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6"/>
      <c r="U693" s="76"/>
      <c r="V693" s="76"/>
      <c r="W693" s="76"/>
      <c r="X693" s="62"/>
      <c r="Y693" s="62"/>
      <c r="Z693" s="62"/>
      <c r="AA693" s="64"/>
      <c r="AB693" s="58"/>
    </row>
    <row r="694" spans="1:28" ht="15">
      <c r="A694" s="65" t="s">
        <v>891</v>
      </c>
    </row>
    <row r="695" spans="1:28">
      <c r="F695" s="80"/>
    </row>
    <row r="696" spans="1:28" ht="15">
      <c r="A696" s="65" t="s">
        <v>1112</v>
      </c>
    </row>
    <row r="697" spans="1:28" s="60" customFormat="1">
      <c r="A697" s="68" t="s">
        <v>192</v>
      </c>
      <c r="D697" s="60" t="s">
        <v>1113</v>
      </c>
      <c r="E697" s="60" t="s">
        <v>130</v>
      </c>
      <c r="F697" s="76">
        <f>'Billing Det'!F31</f>
        <v>965204065.29999995</v>
      </c>
      <c r="G697" s="76">
        <f t="shared" ref="G697:P708" si="316">IF(VLOOKUP($E697,$D$6:$AN$1131,3,)=0,0,(VLOOKUP($E697,$D$6:$AN$1131,G$2,)/VLOOKUP($E697,$D$6:$AN$1131,3,))*$F697)</f>
        <v>379200073</v>
      </c>
      <c r="H697" s="76">
        <f t="shared" si="316"/>
        <v>135825835</v>
      </c>
      <c r="I697" s="76">
        <f t="shared" si="316"/>
        <v>0</v>
      </c>
      <c r="J697" s="76">
        <f t="shared" si="316"/>
        <v>11517853</v>
      </c>
      <c r="K697" s="76">
        <f t="shared" si="316"/>
        <v>151571212</v>
      </c>
      <c r="L697" s="76">
        <f t="shared" si="316"/>
        <v>0</v>
      </c>
      <c r="M697" s="76">
        <f t="shared" si="316"/>
        <v>0</v>
      </c>
      <c r="N697" s="76">
        <f t="shared" si="316"/>
        <v>116918595</v>
      </c>
      <c r="O697" s="76">
        <f t="shared" si="316"/>
        <v>77629237</v>
      </c>
      <c r="P697" s="76">
        <f t="shared" si="316"/>
        <v>64284636.000000007</v>
      </c>
      <c r="Q697" s="76">
        <f t="shared" ref="Q697:Z708" si="317">IF(VLOOKUP($E697,$D$6:$AN$1131,3,)=0,0,(VLOOKUP($E697,$D$6:$AN$1131,Q$2,)/VLOOKUP($E697,$D$6:$AN$1131,3,))*$F697)</f>
        <v>6341748</v>
      </c>
      <c r="R697" s="76">
        <f t="shared" si="317"/>
        <v>3292762</v>
      </c>
      <c r="S697" s="76">
        <f t="shared" si="317"/>
        <v>18141167.300000001</v>
      </c>
      <c r="T697" s="76">
        <f t="shared" si="317"/>
        <v>210819</v>
      </c>
      <c r="U697" s="76">
        <f t="shared" si="317"/>
        <v>270128</v>
      </c>
      <c r="V697" s="76">
        <f t="shared" si="317"/>
        <v>0</v>
      </c>
      <c r="W697" s="76">
        <f t="shared" si="317"/>
        <v>0</v>
      </c>
      <c r="X697" s="76">
        <f t="shared" si="317"/>
        <v>0</v>
      </c>
      <c r="Y697" s="76">
        <f t="shared" si="317"/>
        <v>0</v>
      </c>
      <c r="Z697" s="76">
        <f t="shared" si="317"/>
        <v>0</v>
      </c>
      <c r="AA697" s="80">
        <f t="shared" ref="AA697:AA708" si="318">SUM(G697:Z697)</f>
        <v>965204065.29999995</v>
      </c>
      <c r="AB697" s="93" t="str">
        <f t="shared" ref="AB697:AB708" si="319">IF(ABS(F697-AA697)&lt;0.01,"ok","err")</f>
        <v>ok</v>
      </c>
    </row>
    <row r="698" spans="1:28" s="60" customFormat="1" hidden="1">
      <c r="A698" s="60" t="s">
        <v>848</v>
      </c>
      <c r="D698" s="60" t="s">
        <v>850</v>
      </c>
      <c r="E698" s="60" t="s">
        <v>1091</v>
      </c>
      <c r="F698" s="79"/>
      <c r="G698" s="79">
        <f t="shared" si="316"/>
        <v>0</v>
      </c>
      <c r="H698" s="79">
        <f t="shared" si="316"/>
        <v>0</v>
      </c>
      <c r="I698" s="79">
        <f t="shared" si="316"/>
        <v>0</v>
      </c>
      <c r="J698" s="79">
        <f t="shared" si="316"/>
        <v>0</v>
      </c>
      <c r="K698" s="79">
        <f t="shared" si="316"/>
        <v>0</v>
      </c>
      <c r="L698" s="79">
        <f t="shared" si="316"/>
        <v>0</v>
      </c>
      <c r="M698" s="79">
        <f t="shared" si="316"/>
        <v>0</v>
      </c>
      <c r="N698" s="79">
        <f t="shared" si="316"/>
        <v>0</v>
      </c>
      <c r="O698" s="79">
        <f t="shared" si="316"/>
        <v>0</v>
      </c>
      <c r="P698" s="79">
        <f t="shared" si="316"/>
        <v>0</v>
      </c>
      <c r="Q698" s="79">
        <f t="shared" si="317"/>
        <v>0</v>
      </c>
      <c r="R698" s="79">
        <f t="shared" si="317"/>
        <v>0</v>
      </c>
      <c r="S698" s="79">
        <f t="shared" si="317"/>
        <v>0</v>
      </c>
      <c r="T698" s="79">
        <f t="shared" si="317"/>
        <v>0</v>
      </c>
      <c r="U698" s="79">
        <f t="shared" si="317"/>
        <v>0</v>
      </c>
      <c r="V698" s="79">
        <f t="shared" si="317"/>
        <v>0</v>
      </c>
      <c r="W698" s="79">
        <f t="shared" si="317"/>
        <v>0</v>
      </c>
      <c r="X698" s="79">
        <f t="shared" si="317"/>
        <v>0</v>
      </c>
      <c r="Y698" s="79">
        <f t="shared" si="317"/>
        <v>0</v>
      </c>
      <c r="Z698" s="79">
        <f t="shared" si="317"/>
        <v>0</v>
      </c>
      <c r="AA698" s="79">
        <f t="shared" si="318"/>
        <v>0</v>
      </c>
      <c r="AB698" s="93" t="str">
        <f t="shared" si="319"/>
        <v>ok</v>
      </c>
    </row>
    <row r="699" spans="1:28" s="60" customFormat="1">
      <c r="A699" s="60" t="s">
        <v>1359</v>
      </c>
      <c r="E699" s="60" t="s">
        <v>930</v>
      </c>
      <c r="F699" s="79">
        <v>42971044.699999966</v>
      </c>
      <c r="G699" s="79">
        <f t="shared" si="316"/>
        <v>15545979.971223349</v>
      </c>
      <c r="H699" s="79">
        <f t="shared" si="316"/>
        <v>5051886.9375175666</v>
      </c>
      <c r="I699" s="79">
        <f t="shared" si="316"/>
        <v>0</v>
      </c>
      <c r="J699" s="79">
        <f t="shared" si="316"/>
        <v>601688.19675814186</v>
      </c>
      <c r="K699" s="79">
        <f t="shared" si="316"/>
        <v>6971339.727557797</v>
      </c>
      <c r="L699" s="79">
        <f t="shared" si="316"/>
        <v>0</v>
      </c>
      <c r="M699" s="79">
        <f t="shared" si="316"/>
        <v>0</v>
      </c>
      <c r="N699" s="79">
        <f t="shared" si="316"/>
        <v>6729278.1617034627</v>
      </c>
      <c r="O699" s="79">
        <f t="shared" si="316"/>
        <v>2959628.1337464256</v>
      </c>
      <c r="P699" s="79">
        <f t="shared" si="316"/>
        <v>4097615.1350165531</v>
      </c>
      <c r="Q699" s="79">
        <f t="shared" si="317"/>
        <v>399948.02857112564</v>
      </c>
      <c r="R699" s="79">
        <f t="shared" si="317"/>
        <v>211291.05228267645</v>
      </c>
      <c r="S699" s="79">
        <f t="shared" si="317"/>
        <v>378490.38509035693</v>
      </c>
      <c r="T699" s="79">
        <f t="shared" si="317"/>
        <v>12337.496126540351</v>
      </c>
      <c r="U699" s="79">
        <f t="shared" si="317"/>
        <v>11561.474405968587</v>
      </c>
      <c r="V699" s="79">
        <f t="shared" si="317"/>
        <v>0</v>
      </c>
      <c r="W699" s="79">
        <f t="shared" si="317"/>
        <v>0</v>
      </c>
      <c r="X699" s="79">
        <f t="shared" si="317"/>
        <v>0</v>
      </c>
      <c r="Y699" s="79">
        <f t="shared" si="317"/>
        <v>0</v>
      </c>
      <c r="Z699" s="79">
        <f t="shared" si="317"/>
        <v>0</v>
      </c>
      <c r="AA699" s="79">
        <f>SUM(G699:Z699)</f>
        <v>42971044.699999966</v>
      </c>
      <c r="AB699" s="93" t="str">
        <f t="shared" si="319"/>
        <v>ok</v>
      </c>
    </row>
    <row r="700" spans="1:28" s="60" customFormat="1" hidden="1">
      <c r="A700" s="68" t="s">
        <v>1171</v>
      </c>
      <c r="D700" s="60" t="s">
        <v>684</v>
      </c>
      <c r="E700" s="60" t="s">
        <v>930</v>
      </c>
      <c r="F700" s="79">
        <v>0</v>
      </c>
      <c r="G700" s="79">
        <f t="shared" si="316"/>
        <v>0</v>
      </c>
      <c r="H700" s="79">
        <f t="shared" si="316"/>
        <v>0</v>
      </c>
      <c r="I700" s="79">
        <f t="shared" si="316"/>
        <v>0</v>
      </c>
      <c r="J700" s="79">
        <f t="shared" si="316"/>
        <v>0</v>
      </c>
      <c r="K700" s="79">
        <f t="shared" si="316"/>
        <v>0</v>
      </c>
      <c r="L700" s="79">
        <f t="shared" si="316"/>
        <v>0</v>
      </c>
      <c r="M700" s="79">
        <f t="shared" si="316"/>
        <v>0</v>
      </c>
      <c r="N700" s="79">
        <f t="shared" si="316"/>
        <v>0</v>
      </c>
      <c r="O700" s="79">
        <f t="shared" si="316"/>
        <v>0</v>
      </c>
      <c r="P700" s="79">
        <f t="shared" si="316"/>
        <v>0</v>
      </c>
      <c r="Q700" s="79">
        <f t="shared" si="317"/>
        <v>0</v>
      </c>
      <c r="R700" s="79">
        <f t="shared" si="317"/>
        <v>0</v>
      </c>
      <c r="S700" s="79">
        <f t="shared" si="317"/>
        <v>0</v>
      </c>
      <c r="T700" s="79">
        <f t="shared" si="317"/>
        <v>0</v>
      </c>
      <c r="U700" s="79">
        <f t="shared" si="317"/>
        <v>0</v>
      </c>
      <c r="V700" s="79">
        <f t="shared" si="317"/>
        <v>0</v>
      </c>
      <c r="W700" s="79">
        <f t="shared" si="317"/>
        <v>0</v>
      </c>
      <c r="X700" s="79">
        <f t="shared" si="317"/>
        <v>0</v>
      </c>
      <c r="Y700" s="79">
        <f t="shared" si="317"/>
        <v>0</v>
      </c>
      <c r="Z700" s="79">
        <f t="shared" si="317"/>
        <v>0</v>
      </c>
      <c r="AA700" s="79">
        <f t="shared" si="318"/>
        <v>0</v>
      </c>
      <c r="AB700" s="93" t="str">
        <f t="shared" si="319"/>
        <v>ok</v>
      </c>
    </row>
    <row r="701" spans="1:28" s="60" customFormat="1" hidden="1">
      <c r="A701" s="60" t="s">
        <v>1172</v>
      </c>
      <c r="E701" s="60" t="s">
        <v>930</v>
      </c>
      <c r="F701" s="79"/>
      <c r="G701" s="79">
        <f t="shared" si="316"/>
        <v>0</v>
      </c>
      <c r="H701" s="79">
        <f t="shared" si="316"/>
        <v>0</v>
      </c>
      <c r="I701" s="79">
        <f t="shared" si="316"/>
        <v>0</v>
      </c>
      <c r="J701" s="79">
        <f t="shared" si="316"/>
        <v>0</v>
      </c>
      <c r="K701" s="79">
        <f t="shared" si="316"/>
        <v>0</v>
      </c>
      <c r="L701" s="79">
        <f t="shared" si="316"/>
        <v>0</v>
      </c>
      <c r="M701" s="79">
        <f t="shared" si="316"/>
        <v>0</v>
      </c>
      <c r="N701" s="79">
        <f t="shared" si="316"/>
        <v>0</v>
      </c>
      <c r="O701" s="79">
        <f t="shared" si="316"/>
        <v>0</v>
      </c>
      <c r="P701" s="79">
        <f t="shared" si="316"/>
        <v>0</v>
      </c>
      <c r="Q701" s="79">
        <f t="shared" si="317"/>
        <v>0</v>
      </c>
      <c r="R701" s="79">
        <f t="shared" si="317"/>
        <v>0</v>
      </c>
      <c r="S701" s="79">
        <f t="shared" si="317"/>
        <v>0</v>
      </c>
      <c r="T701" s="79">
        <f t="shared" si="317"/>
        <v>0</v>
      </c>
      <c r="U701" s="79">
        <f t="shared" si="317"/>
        <v>0</v>
      </c>
      <c r="V701" s="79">
        <f t="shared" si="317"/>
        <v>0</v>
      </c>
      <c r="W701" s="79">
        <f t="shared" si="317"/>
        <v>0</v>
      </c>
      <c r="X701" s="79">
        <f t="shared" si="317"/>
        <v>0</v>
      </c>
      <c r="Y701" s="79">
        <f t="shared" si="317"/>
        <v>0</v>
      </c>
      <c r="Z701" s="79">
        <f t="shared" si="317"/>
        <v>0</v>
      </c>
      <c r="AA701" s="79">
        <f t="shared" si="318"/>
        <v>0</v>
      </c>
      <c r="AB701" s="93" t="str">
        <f t="shared" si="319"/>
        <v>ok</v>
      </c>
    </row>
    <row r="702" spans="1:28" s="60" customFormat="1" hidden="1">
      <c r="A702" s="60" t="s">
        <v>1173</v>
      </c>
      <c r="E702" s="60" t="s">
        <v>930</v>
      </c>
      <c r="F702" s="79"/>
      <c r="G702" s="79">
        <f t="shared" si="316"/>
        <v>0</v>
      </c>
      <c r="H702" s="79">
        <f t="shared" si="316"/>
        <v>0</v>
      </c>
      <c r="I702" s="79">
        <f t="shared" si="316"/>
        <v>0</v>
      </c>
      <c r="J702" s="79">
        <f t="shared" si="316"/>
        <v>0</v>
      </c>
      <c r="K702" s="79">
        <f t="shared" si="316"/>
        <v>0</v>
      </c>
      <c r="L702" s="79">
        <f t="shared" si="316"/>
        <v>0</v>
      </c>
      <c r="M702" s="79">
        <f t="shared" si="316"/>
        <v>0</v>
      </c>
      <c r="N702" s="79">
        <f t="shared" si="316"/>
        <v>0</v>
      </c>
      <c r="O702" s="79">
        <f t="shared" si="316"/>
        <v>0</v>
      </c>
      <c r="P702" s="79">
        <f t="shared" si="316"/>
        <v>0</v>
      </c>
      <c r="Q702" s="79">
        <f t="shared" si="317"/>
        <v>0</v>
      </c>
      <c r="R702" s="79">
        <f t="shared" si="317"/>
        <v>0</v>
      </c>
      <c r="S702" s="79">
        <f t="shared" si="317"/>
        <v>0</v>
      </c>
      <c r="T702" s="79">
        <f t="shared" si="317"/>
        <v>0</v>
      </c>
      <c r="U702" s="79">
        <f t="shared" si="317"/>
        <v>0</v>
      </c>
      <c r="V702" s="79">
        <f t="shared" si="317"/>
        <v>0</v>
      </c>
      <c r="W702" s="79">
        <f t="shared" si="317"/>
        <v>0</v>
      </c>
      <c r="X702" s="79">
        <f t="shared" si="317"/>
        <v>0</v>
      </c>
      <c r="Y702" s="79">
        <f t="shared" si="317"/>
        <v>0</v>
      </c>
      <c r="Z702" s="79">
        <f t="shared" si="317"/>
        <v>0</v>
      </c>
      <c r="AA702" s="79">
        <f t="shared" si="318"/>
        <v>0</v>
      </c>
      <c r="AB702" s="93" t="str">
        <f t="shared" si="319"/>
        <v>ok</v>
      </c>
    </row>
    <row r="703" spans="1:28" s="60" customFormat="1">
      <c r="A703" s="60" t="s">
        <v>1355</v>
      </c>
      <c r="D703" s="60" t="s">
        <v>1356</v>
      </c>
      <c r="E703" s="60" t="s">
        <v>701</v>
      </c>
      <c r="F703" s="79">
        <f>-3955200-379322</f>
        <v>-4334522</v>
      </c>
      <c r="G703" s="79">
        <f t="shared" si="316"/>
        <v>-1781296.7047978356</v>
      </c>
      <c r="H703" s="79">
        <f t="shared" si="316"/>
        <v>-608997.19787395257</v>
      </c>
      <c r="I703" s="79">
        <f t="shared" si="316"/>
        <v>0</v>
      </c>
      <c r="J703" s="79">
        <f t="shared" si="316"/>
        <v>-48659.080216153132</v>
      </c>
      <c r="K703" s="79">
        <f t="shared" si="316"/>
        <v>-669784.91710334783</v>
      </c>
      <c r="L703" s="79">
        <f t="shared" si="316"/>
        <v>0</v>
      </c>
      <c r="M703" s="79">
        <f t="shared" si="316"/>
        <v>0</v>
      </c>
      <c r="N703" s="79">
        <f t="shared" si="316"/>
        <v>-520505.80020643398</v>
      </c>
      <c r="O703" s="79">
        <f t="shared" si="316"/>
        <v>-350227.79249608587</v>
      </c>
      <c r="P703" s="79">
        <f t="shared" si="316"/>
        <v>-306518.76954155817</v>
      </c>
      <c r="Q703" s="79">
        <f t="shared" si="317"/>
        <v>-34337.040661335901</v>
      </c>
      <c r="R703" s="79">
        <f t="shared" si="317"/>
        <v>-13426.980047327623</v>
      </c>
      <c r="S703" s="79">
        <f t="shared" si="317"/>
        <v>0</v>
      </c>
      <c r="T703" s="79">
        <f t="shared" si="317"/>
        <v>0</v>
      </c>
      <c r="U703" s="79">
        <f t="shared" si="317"/>
        <v>-767.71705596950017</v>
      </c>
      <c r="V703" s="79">
        <f t="shared" si="317"/>
        <v>0</v>
      </c>
      <c r="W703" s="79">
        <f t="shared" si="317"/>
        <v>0</v>
      </c>
      <c r="X703" s="79">
        <f t="shared" si="317"/>
        <v>0</v>
      </c>
      <c r="Y703" s="79">
        <f t="shared" si="317"/>
        <v>0</v>
      </c>
      <c r="Z703" s="79">
        <f t="shared" si="317"/>
        <v>0</v>
      </c>
      <c r="AA703" s="79">
        <f>SUM(G703:Z703)</f>
        <v>-4334522</v>
      </c>
      <c r="AB703" s="93" t="str">
        <f>IF(ABS(F703-AA703)&lt;0.01,"ok","err")</f>
        <v>ok</v>
      </c>
    </row>
    <row r="704" spans="1:28" s="60" customFormat="1">
      <c r="A704" s="60" t="s">
        <v>679</v>
      </c>
      <c r="D704" s="60" t="s">
        <v>680</v>
      </c>
      <c r="E704" s="60" t="s">
        <v>724</v>
      </c>
      <c r="F704" s="79">
        <v>2623527</v>
      </c>
      <c r="G704" s="79">
        <f t="shared" si="316"/>
        <v>2068557.0073810685</v>
      </c>
      <c r="H704" s="79">
        <f t="shared" si="316"/>
        <v>375660.48751128826</v>
      </c>
      <c r="I704" s="79">
        <f t="shared" si="316"/>
        <v>0</v>
      </c>
      <c r="J704" s="79">
        <f t="shared" si="316"/>
        <v>4867.1788868687199</v>
      </c>
      <c r="K704" s="79">
        <f t="shared" si="316"/>
        <v>83926.923741793464</v>
      </c>
      <c r="L704" s="79">
        <f t="shared" si="316"/>
        <v>0</v>
      </c>
      <c r="M704" s="79">
        <f t="shared" si="316"/>
        <v>0</v>
      </c>
      <c r="N704" s="79">
        <f t="shared" si="316"/>
        <v>29247.034106126437</v>
      </c>
      <c r="O704" s="79">
        <f t="shared" si="316"/>
        <v>50539.800277713934</v>
      </c>
      <c r="P704" s="79">
        <f t="shared" si="316"/>
        <v>10394.647592420743</v>
      </c>
      <c r="Q704" s="79">
        <f t="shared" si="317"/>
        <v>0</v>
      </c>
      <c r="R704" s="79">
        <f t="shared" si="317"/>
        <v>0</v>
      </c>
      <c r="S704" s="79">
        <f t="shared" si="317"/>
        <v>333.92050271976024</v>
      </c>
      <c r="T704" s="79">
        <f t="shared" si="317"/>
        <v>0</v>
      </c>
      <c r="U704" s="79">
        <f t="shared" si="317"/>
        <v>0</v>
      </c>
      <c r="V704" s="79">
        <f t="shared" si="317"/>
        <v>0</v>
      </c>
      <c r="W704" s="79">
        <f t="shared" si="317"/>
        <v>0</v>
      </c>
      <c r="X704" s="79">
        <f t="shared" si="317"/>
        <v>0</v>
      </c>
      <c r="Y704" s="79">
        <f t="shared" si="317"/>
        <v>0</v>
      </c>
      <c r="Z704" s="79">
        <f t="shared" si="317"/>
        <v>0</v>
      </c>
      <c r="AA704" s="79">
        <f t="shared" si="318"/>
        <v>2623527</v>
      </c>
      <c r="AB704" s="93" t="str">
        <f t="shared" si="319"/>
        <v>ok</v>
      </c>
    </row>
    <row r="705" spans="1:29" s="60" customFormat="1">
      <c r="A705" s="60" t="s">
        <v>681</v>
      </c>
      <c r="D705" s="60" t="s">
        <v>43</v>
      </c>
      <c r="E705" s="60" t="s">
        <v>182</v>
      </c>
      <c r="F705" s="79">
        <v>3775989</v>
      </c>
      <c r="G705" s="79">
        <f t="shared" si="316"/>
        <v>3513478.4570116438</v>
      </c>
      <c r="H705" s="79">
        <f t="shared" si="316"/>
        <v>227289.94509409383</v>
      </c>
      <c r="I705" s="79">
        <f t="shared" si="316"/>
        <v>0</v>
      </c>
      <c r="J705" s="79">
        <f t="shared" si="316"/>
        <v>847.59613189445713</v>
      </c>
      <c r="K705" s="79">
        <f t="shared" si="316"/>
        <v>33246.565867943464</v>
      </c>
      <c r="L705" s="79">
        <f t="shared" si="316"/>
        <v>0</v>
      </c>
      <c r="M705" s="79">
        <f t="shared" si="316"/>
        <v>0</v>
      </c>
      <c r="N705" s="79">
        <f t="shared" si="316"/>
        <v>100.29966229255481</v>
      </c>
      <c r="O705" s="79">
        <f t="shared" si="316"/>
        <v>262.3953250497168</v>
      </c>
      <c r="P705" s="79">
        <f t="shared" si="316"/>
        <v>12.359200092921446</v>
      </c>
      <c r="Q705" s="79">
        <f t="shared" si="317"/>
        <v>0</v>
      </c>
      <c r="R705" s="79">
        <f t="shared" si="317"/>
        <v>0</v>
      </c>
      <c r="S705" s="79">
        <f t="shared" si="317"/>
        <v>751.38170698822182</v>
      </c>
      <c r="T705" s="79">
        <f t="shared" si="317"/>
        <v>0</v>
      </c>
      <c r="U705" s="79">
        <f t="shared" si="317"/>
        <v>0</v>
      </c>
      <c r="V705" s="79">
        <f t="shared" si="317"/>
        <v>0</v>
      </c>
      <c r="W705" s="79">
        <f t="shared" si="317"/>
        <v>0</v>
      </c>
      <c r="X705" s="79">
        <f t="shared" si="317"/>
        <v>0</v>
      </c>
      <c r="Y705" s="79">
        <f t="shared" si="317"/>
        <v>0</v>
      </c>
      <c r="Z705" s="79">
        <f t="shared" si="317"/>
        <v>0</v>
      </c>
      <c r="AA705" s="79">
        <f t="shared" si="318"/>
        <v>3775988.9999999991</v>
      </c>
      <c r="AB705" s="93" t="str">
        <f t="shared" si="319"/>
        <v>ok</v>
      </c>
      <c r="AC705" s="163"/>
    </row>
    <row r="706" spans="1:29" s="60" customFormat="1">
      <c r="A706" s="68" t="s">
        <v>682</v>
      </c>
      <c r="E706" s="60" t="s">
        <v>1104</v>
      </c>
      <c r="F706" s="79">
        <v>3785840</v>
      </c>
      <c r="G706" s="79">
        <f t="shared" si="316"/>
        <v>1831351.2689605516</v>
      </c>
      <c r="H706" s="79">
        <f t="shared" si="316"/>
        <v>480312.823966878</v>
      </c>
      <c r="I706" s="79">
        <f t="shared" si="316"/>
        <v>0</v>
      </c>
      <c r="J706" s="79">
        <f t="shared" si="316"/>
        <v>35933.508108451198</v>
      </c>
      <c r="K706" s="79">
        <f t="shared" si="316"/>
        <v>461625.09120032209</v>
      </c>
      <c r="L706" s="79">
        <f t="shared" si="316"/>
        <v>0</v>
      </c>
      <c r="M706" s="79">
        <f t="shared" si="316"/>
        <v>0</v>
      </c>
      <c r="N706" s="79">
        <f t="shared" si="316"/>
        <v>385105.16064138111</v>
      </c>
      <c r="O706" s="79">
        <f t="shared" si="316"/>
        <v>228213.26902653184</v>
      </c>
      <c r="P706" s="79">
        <f t="shared" si="316"/>
        <v>202315.52552754694</v>
      </c>
      <c r="Q706" s="79">
        <f t="shared" si="317"/>
        <v>24174.294330914599</v>
      </c>
      <c r="R706" s="79">
        <f t="shared" si="317"/>
        <v>11261.936853589725</v>
      </c>
      <c r="S706" s="79">
        <f t="shared" si="317"/>
        <v>124302.1398102229</v>
      </c>
      <c r="T706" s="79">
        <f t="shared" si="317"/>
        <v>490.9051105847094</v>
      </c>
      <c r="U706" s="79">
        <f t="shared" si="317"/>
        <v>754.07646302512717</v>
      </c>
      <c r="V706" s="79">
        <f t="shared" si="317"/>
        <v>0</v>
      </c>
      <c r="W706" s="79">
        <f t="shared" si="317"/>
        <v>0</v>
      </c>
      <c r="X706" s="79">
        <f t="shared" si="317"/>
        <v>0</v>
      </c>
      <c r="Y706" s="79">
        <f t="shared" si="317"/>
        <v>0</v>
      </c>
      <c r="Z706" s="79">
        <f t="shared" si="317"/>
        <v>0</v>
      </c>
      <c r="AA706" s="79">
        <f t="shared" si="318"/>
        <v>3785840</v>
      </c>
      <c r="AB706" s="93" t="str">
        <f t="shared" si="319"/>
        <v>ok</v>
      </c>
    </row>
    <row r="707" spans="1:29" s="60" customFormat="1">
      <c r="A707" s="68" t="s">
        <v>683</v>
      </c>
      <c r="E707" s="60" t="s">
        <v>1104</v>
      </c>
      <c r="F707" s="79">
        <v>11598968</v>
      </c>
      <c r="G707" s="79">
        <f t="shared" si="316"/>
        <v>5610851.1626040274</v>
      </c>
      <c r="H707" s="79">
        <f t="shared" si="316"/>
        <v>1471571.1903253838</v>
      </c>
      <c r="I707" s="79">
        <f t="shared" si="316"/>
        <v>0</v>
      </c>
      <c r="J707" s="79">
        <f t="shared" si="316"/>
        <v>110092.2412668433</v>
      </c>
      <c r="K707" s="79">
        <f t="shared" si="316"/>
        <v>1414316.1519846632</v>
      </c>
      <c r="L707" s="79">
        <f t="shared" si="316"/>
        <v>0</v>
      </c>
      <c r="M707" s="79">
        <f t="shared" si="316"/>
        <v>0</v>
      </c>
      <c r="N707" s="79">
        <f t="shared" si="316"/>
        <v>1179876.1793721442</v>
      </c>
      <c r="O707" s="79">
        <f t="shared" si="316"/>
        <v>699194.47325141425</v>
      </c>
      <c r="P707" s="79">
        <f t="shared" si="316"/>
        <v>619849.57274929737</v>
      </c>
      <c r="Q707" s="79">
        <f t="shared" si="317"/>
        <v>74064.637271215863</v>
      </c>
      <c r="R707" s="79">
        <f t="shared" si="317"/>
        <v>34504.058592758251</v>
      </c>
      <c r="S707" s="79">
        <f t="shared" si="317"/>
        <v>380833.98717069434</v>
      </c>
      <c r="T707" s="79">
        <f t="shared" si="317"/>
        <v>1504.0235901962328</v>
      </c>
      <c r="U707" s="79">
        <f t="shared" si="317"/>
        <v>2310.3218213610808</v>
      </c>
      <c r="V707" s="79">
        <f t="shared" si="317"/>
        <v>0</v>
      </c>
      <c r="W707" s="79">
        <f t="shared" si="317"/>
        <v>0</v>
      </c>
      <c r="X707" s="79">
        <f t="shared" si="317"/>
        <v>0</v>
      </c>
      <c r="Y707" s="79">
        <f t="shared" si="317"/>
        <v>0</v>
      </c>
      <c r="Z707" s="79">
        <f t="shared" si="317"/>
        <v>0</v>
      </c>
      <c r="AA707" s="79">
        <f t="shared" si="318"/>
        <v>11598968.000000002</v>
      </c>
      <c r="AB707" s="93" t="str">
        <f t="shared" si="319"/>
        <v>ok</v>
      </c>
    </row>
    <row r="708" spans="1:29" s="60" customFormat="1">
      <c r="A708" s="68" t="s">
        <v>685</v>
      </c>
      <c r="D708" s="60" t="s">
        <v>686</v>
      </c>
      <c r="E708" s="60" t="s">
        <v>130</v>
      </c>
      <c r="F708" s="147">
        <v>0</v>
      </c>
      <c r="G708" s="147">
        <f t="shared" si="316"/>
        <v>0</v>
      </c>
      <c r="H708" s="147">
        <f t="shared" si="316"/>
        <v>0</v>
      </c>
      <c r="I708" s="147">
        <f t="shared" si="316"/>
        <v>0</v>
      </c>
      <c r="J708" s="147">
        <f t="shared" si="316"/>
        <v>0</v>
      </c>
      <c r="K708" s="147">
        <f t="shared" si="316"/>
        <v>0</v>
      </c>
      <c r="L708" s="147">
        <f t="shared" si="316"/>
        <v>0</v>
      </c>
      <c r="M708" s="147">
        <f t="shared" si="316"/>
        <v>0</v>
      </c>
      <c r="N708" s="147">
        <f t="shared" si="316"/>
        <v>0</v>
      </c>
      <c r="O708" s="147">
        <f t="shared" si="316"/>
        <v>0</v>
      </c>
      <c r="P708" s="147">
        <f t="shared" si="316"/>
        <v>0</v>
      </c>
      <c r="Q708" s="147">
        <f t="shared" si="317"/>
        <v>0</v>
      </c>
      <c r="R708" s="147">
        <f t="shared" si="317"/>
        <v>0</v>
      </c>
      <c r="S708" s="147">
        <f t="shared" si="317"/>
        <v>0</v>
      </c>
      <c r="T708" s="147">
        <f t="shared" si="317"/>
        <v>0</v>
      </c>
      <c r="U708" s="147">
        <f t="shared" si="317"/>
        <v>0</v>
      </c>
      <c r="V708" s="147">
        <f t="shared" si="317"/>
        <v>0</v>
      </c>
      <c r="W708" s="147">
        <f t="shared" si="317"/>
        <v>0</v>
      </c>
      <c r="X708" s="147">
        <f t="shared" si="317"/>
        <v>0</v>
      </c>
      <c r="Y708" s="147">
        <f t="shared" si="317"/>
        <v>0</v>
      </c>
      <c r="Z708" s="147">
        <f t="shared" si="317"/>
        <v>0</v>
      </c>
      <c r="AA708" s="147">
        <f t="shared" si="318"/>
        <v>0</v>
      </c>
      <c r="AB708" s="148" t="str">
        <f t="shared" si="319"/>
        <v>ok</v>
      </c>
    </row>
    <row r="709" spans="1:29" s="60" customFormat="1">
      <c r="AA709" s="80"/>
    </row>
    <row r="710" spans="1:29" s="60" customFormat="1">
      <c r="A710" s="60" t="s">
        <v>1114</v>
      </c>
      <c r="D710" s="60" t="s">
        <v>1115</v>
      </c>
      <c r="F710" s="80">
        <f>SUM(F697:F709)</f>
        <v>1025624911.9999999</v>
      </c>
      <c r="G710" s="80">
        <f t="shared" ref="G710:Z710" si="320">SUM(G697:G709)</f>
        <v>405988994.16238278</v>
      </c>
      <c r="H710" s="80">
        <f t="shared" si="320"/>
        <v>142823559.18654126</v>
      </c>
      <c r="I710" s="80">
        <f t="shared" si="320"/>
        <v>0</v>
      </c>
      <c r="J710" s="80">
        <f t="shared" si="320"/>
        <v>12222622.640936047</v>
      </c>
      <c r="K710" s="80">
        <f t="shared" si="320"/>
        <v>159865881.54324916</v>
      </c>
      <c r="L710" s="80">
        <f t="shared" si="320"/>
        <v>0</v>
      </c>
      <c r="M710" s="80">
        <f t="shared" si="320"/>
        <v>0</v>
      </c>
      <c r="N710" s="80">
        <f t="shared" si="320"/>
        <v>124721696.03527898</v>
      </c>
      <c r="O710" s="80">
        <f>SUM(O697:O709)</f>
        <v>81216847.279131055</v>
      </c>
      <c r="P710" s="80">
        <f t="shared" si="320"/>
        <v>68908304.470544368</v>
      </c>
      <c r="Q710" s="80">
        <f t="shared" si="320"/>
        <v>6805597.9195119208</v>
      </c>
      <c r="R710" s="80">
        <f t="shared" si="320"/>
        <v>3536392.0676816972</v>
      </c>
      <c r="S710" s="80">
        <f t="shared" si="320"/>
        <v>19025879.11428098</v>
      </c>
      <c r="T710" s="80">
        <f t="shared" si="320"/>
        <v>225151.42482732132</v>
      </c>
      <c r="U710" s="80">
        <f t="shared" si="320"/>
        <v>283986.15563438524</v>
      </c>
      <c r="V710" s="80">
        <f t="shared" si="320"/>
        <v>0</v>
      </c>
      <c r="W710" s="80">
        <f t="shared" si="320"/>
        <v>0</v>
      </c>
      <c r="X710" s="80">
        <f t="shared" si="320"/>
        <v>0</v>
      </c>
      <c r="Y710" s="80">
        <f t="shared" si="320"/>
        <v>0</v>
      </c>
      <c r="Z710" s="80">
        <f t="shared" si="320"/>
        <v>0</v>
      </c>
      <c r="AA710" s="80">
        <f>SUM(G710:Z710)</f>
        <v>1025624911.9999999</v>
      </c>
      <c r="AB710" s="93" t="str">
        <f>IF(ABS(F710-AA710)&lt;0.01,"ok","err")</f>
        <v>ok</v>
      </c>
    </row>
    <row r="711" spans="1:29" s="60" customFormat="1">
      <c r="C711" s="80"/>
      <c r="D711" s="80"/>
      <c r="E711" s="80"/>
      <c r="F711" s="80"/>
      <c r="G711" s="80"/>
      <c r="H711" s="80"/>
      <c r="I711" s="80"/>
    </row>
    <row r="712" spans="1:29" s="60" customFormat="1" ht="15">
      <c r="A712" s="65" t="s">
        <v>1116</v>
      </c>
      <c r="F712" s="80"/>
      <c r="G712" s="80"/>
    </row>
    <row r="713" spans="1:29" s="60" customFormat="1">
      <c r="A713" s="68" t="s">
        <v>1117</v>
      </c>
      <c r="F713" s="80">
        <f t="shared" ref="F713:Z713" si="321">F233</f>
        <v>685621902.81823468</v>
      </c>
      <c r="G713" s="80">
        <f t="shared" si="321"/>
        <v>287977479.04383886</v>
      </c>
      <c r="H713" s="80">
        <f t="shared" si="321"/>
        <v>85712374.904412091</v>
      </c>
      <c r="I713" s="80">
        <f t="shared" si="321"/>
        <v>0</v>
      </c>
      <c r="J713" s="80">
        <f t="shared" si="321"/>
        <v>8382184.1559373448</v>
      </c>
      <c r="K713" s="80">
        <f t="shared" si="321"/>
        <v>98788345.739999518</v>
      </c>
      <c r="L713" s="80">
        <f t="shared" si="321"/>
        <v>0</v>
      </c>
      <c r="M713" s="80">
        <f t="shared" si="321"/>
        <v>0</v>
      </c>
      <c r="N713" s="80">
        <f t="shared" si="321"/>
        <v>91640486.35993652</v>
      </c>
      <c r="O713" s="80">
        <f>O233</f>
        <v>43317845.899576016</v>
      </c>
      <c r="P713" s="80">
        <f t="shared" si="321"/>
        <v>53872935.67491778</v>
      </c>
      <c r="Q713" s="80">
        <f t="shared" si="321"/>
        <v>5491759.0931262597</v>
      </c>
      <c r="R713" s="80">
        <f t="shared" si="321"/>
        <v>2831748.9051755359</v>
      </c>
      <c r="S713" s="80">
        <f t="shared" si="321"/>
        <v>7250096.0209032139</v>
      </c>
      <c r="T713" s="80">
        <f t="shared" si="321"/>
        <v>163488.34608044932</v>
      </c>
      <c r="U713" s="80">
        <f t="shared" si="321"/>
        <v>193158.6743311403</v>
      </c>
      <c r="V713" s="80">
        <f t="shared" si="321"/>
        <v>0</v>
      </c>
      <c r="W713" s="80">
        <f t="shared" si="321"/>
        <v>0</v>
      </c>
      <c r="X713" s="80">
        <f t="shared" si="321"/>
        <v>0</v>
      </c>
      <c r="Y713" s="80">
        <f t="shared" si="321"/>
        <v>0</v>
      </c>
      <c r="Z713" s="80">
        <f t="shared" si="321"/>
        <v>0</v>
      </c>
      <c r="AA713" s="80">
        <f t="shared" ref="AA713:AA719" si="322">SUM(G713:Z713)</f>
        <v>685621902.81823492</v>
      </c>
      <c r="AB713" s="93" t="str">
        <f t="shared" ref="AB713:AB722" si="323">IF(ABS(F713-AA713)&lt;0.01,"ok","err")</f>
        <v>ok</v>
      </c>
    </row>
    <row r="714" spans="1:29" s="60" customFormat="1">
      <c r="A714" s="68" t="s">
        <v>1291</v>
      </c>
      <c r="F714" s="79">
        <f>F347</f>
        <v>138842526.50563762</v>
      </c>
      <c r="G714" s="79">
        <f t="shared" ref="G714:P714" si="324">G347</f>
        <v>66956528.663069092</v>
      </c>
      <c r="H714" s="79">
        <f t="shared" si="324"/>
        <v>17662359.026010059</v>
      </c>
      <c r="I714" s="79">
        <f t="shared" si="324"/>
        <v>0</v>
      </c>
      <c r="J714" s="79">
        <f t="shared" si="324"/>
        <v>1319207.819514378</v>
      </c>
      <c r="K714" s="79">
        <f t="shared" si="324"/>
        <v>17047245.359047126</v>
      </c>
      <c r="L714" s="79">
        <f t="shared" si="324"/>
        <v>0</v>
      </c>
      <c r="M714" s="79">
        <f t="shared" si="324"/>
        <v>0</v>
      </c>
      <c r="N714" s="79">
        <f t="shared" si="324"/>
        <v>14147537.382176131</v>
      </c>
      <c r="O714" s="79">
        <f>O347</f>
        <v>8439638.5688393302</v>
      </c>
      <c r="P714" s="79">
        <f t="shared" si="324"/>
        <v>7431299.1513437964</v>
      </c>
      <c r="Q714" s="79">
        <f>Q347</f>
        <v>890538.01548429963</v>
      </c>
      <c r="R714" s="79">
        <f t="shared" ref="R714:Z714" si="325">R347</f>
        <v>410588.53529443557</v>
      </c>
      <c r="S714" s="79">
        <f t="shared" si="325"/>
        <v>4493023.2657757187</v>
      </c>
      <c r="T714" s="79">
        <f t="shared" si="325"/>
        <v>16978.565610219943</v>
      </c>
      <c r="U714" s="79">
        <f t="shared" si="325"/>
        <v>27582.153473022237</v>
      </c>
      <c r="V714" s="79">
        <f t="shared" si="325"/>
        <v>0</v>
      </c>
      <c r="W714" s="79">
        <f t="shared" si="325"/>
        <v>0</v>
      </c>
      <c r="X714" s="79">
        <f t="shared" si="325"/>
        <v>0</v>
      </c>
      <c r="Y714" s="79">
        <f t="shared" si="325"/>
        <v>0</v>
      </c>
      <c r="Z714" s="79">
        <f t="shared" si="325"/>
        <v>0</v>
      </c>
      <c r="AA714" s="79">
        <f t="shared" si="322"/>
        <v>138842526.50563762</v>
      </c>
      <c r="AB714" s="93" t="str">
        <f t="shared" si="323"/>
        <v>ok</v>
      </c>
    </row>
    <row r="715" spans="1:29" s="60" customFormat="1">
      <c r="A715" s="111" t="s">
        <v>281</v>
      </c>
      <c r="F715" s="79">
        <f>F405</f>
        <v>0</v>
      </c>
      <c r="G715" s="79">
        <f t="shared" ref="G715:Z715" si="326">G405</f>
        <v>0</v>
      </c>
      <c r="H715" s="79">
        <f t="shared" si="326"/>
        <v>0</v>
      </c>
      <c r="I715" s="79">
        <f t="shared" si="326"/>
        <v>0</v>
      </c>
      <c r="J715" s="79">
        <f t="shared" si="326"/>
        <v>0</v>
      </c>
      <c r="K715" s="79">
        <f t="shared" si="326"/>
        <v>0</v>
      </c>
      <c r="L715" s="79">
        <f t="shared" si="326"/>
        <v>0</v>
      </c>
      <c r="M715" s="79">
        <f t="shared" si="326"/>
        <v>0</v>
      </c>
      <c r="N715" s="79">
        <f t="shared" si="326"/>
        <v>0</v>
      </c>
      <c r="O715" s="79">
        <f>O405</f>
        <v>0</v>
      </c>
      <c r="P715" s="79">
        <f t="shared" si="326"/>
        <v>0</v>
      </c>
      <c r="Q715" s="79">
        <f t="shared" si="326"/>
        <v>0</v>
      </c>
      <c r="R715" s="79">
        <f t="shared" si="326"/>
        <v>0</v>
      </c>
      <c r="S715" s="79">
        <f t="shared" si="326"/>
        <v>0</v>
      </c>
      <c r="T715" s="79">
        <f t="shared" si="326"/>
        <v>0</v>
      </c>
      <c r="U715" s="79">
        <f t="shared" si="326"/>
        <v>0</v>
      </c>
      <c r="V715" s="79">
        <f t="shared" si="326"/>
        <v>0</v>
      </c>
      <c r="W715" s="79">
        <f t="shared" si="326"/>
        <v>0</v>
      </c>
      <c r="X715" s="79">
        <f t="shared" si="326"/>
        <v>0</v>
      </c>
      <c r="Y715" s="79">
        <f t="shared" si="326"/>
        <v>0</v>
      </c>
      <c r="Z715" s="79">
        <f t="shared" si="326"/>
        <v>0</v>
      </c>
      <c r="AA715" s="79">
        <f>SUM(G715:Z715)</f>
        <v>0</v>
      </c>
      <c r="AB715" s="93" t="str">
        <f t="shared" si="323"/>
        <v>ok</v>
      </c>
    </row>
    <row r="716" spans="1:29" s="60" customFormat="1">
      <c r="A716" s="68" t="s">
        <v>804</v>
      </c>
      <c r="F716" s="79">
        <f>F462</f>
        <v>0</v>
      </c>
      <c r="G716" s="79">
        <f t="shared" ref="G716:Z716" si="327">G462</f>
        <v>0</v>
      </c>
      <c r="H716" s="79">
        <f t="shared" si="327"/>
        <v>0</v>
      </c>
      <c r="I716" s="79">
        <f t="shared" si="327"/>
        <v>0</v>
      </c>
      <c r="J716" s="79">
        <f t="shared" si="327"/>
        <v>0</v>
      </c>
      <c r="K716" s="79">
        <f t="shared" si="327"/>
        <v>0</v>
      </c>
      <c r="L716" s="79">
        <f t="shared" si="327"/>
        <v>0</v>
      </c>
      <c r="M716" s="79">
        <f t="shared" si="327"/>
        <v>0</v>
      </c>
      <c r="N716" s="79">
        <f t="shared" si="327"/>
        <v>0</v>
      </c>
      <c r="O716" s="79">
        <f>O462</f>
        <v>0</v>
      </c>
      <c r="P716" s="79">
        <f t="shared" si="327"/>
        <v>0</v>
      </c>
      <c r="Q716" s="79">
        <f t="shared" si="327"/>
        <v>0</v>
      </c>
      <c r="R716" s="79">
        <f t="shared" si="327"/>
        <v>0</v>
      </c>
      <c r="S716" s="79">
        <f t="shared" si="327"/>
        <v>0</v>
      </c>
      <c r="T716" s="79">
        <f t="shared" si="327"/>
        <v>0</v>
      </c>
      <c r="U716" s="79">
        <f t="shared" si="327"/>
        <v>0</v>
      </c>
      <c r="V716" s="79">
        <f t="shared" si="327"/>
        <v>0</v>
      </c>
      <c r="W716" s="79">
        <f t="shared" si="327"/>
        <v>0</v>
      </c>
      <c r="X716" s="79">
        <f t="shared" si="327"/>
        <v>0</v>
      </c>
      <c r="Y716" s="79">
        <f t="shared" si="327"/>
        <v>0</v>
      </c>
      <c r="Z716" s="79">
        <f t="shared" si="327"/>
        <v>0</v>
      </c>
      <c r="AA716" s="79">
        <f>SUM(G716:Z716)</f>
        <v>0</v>
      </c>
      <c r="AB716" s="93" t="str">
        <f t="shared" si="323"/>
        <v>ok</v>
      </c>
    </row>
    <row r="717" spans="1:29" s="60" customFormat="1">
      <c r="A717" s="60" t="s">
        <v>1169</v>
      </c>
      <c r="E717" s="60" t="s">
        <v>532</v>
      </c>
      <c r="F717" s="79">
        <v>0</v>
      </c>
      <c r="G717" s="79">
        <f t="shared" ref="G717:P718" si="328">IF(VLOOKUP($E717,$D$6:$AN$1131,3,)=0,0,(VLOOKUP($E717,$D$6:$AN$1131,G$2,)/VLOOKUP($E717,$D$6:$AN$1131,3,))*$F717)</f>
        <v>0</v>
      </c>
      <c r="H717" s="79">
        <f t="shared" si="328"/>
        <v>0</v>
      </c>
      <c r="I717" s="79">
        <f t="shared" si="328"/>
        <v>0</v>
      </c>
      <c r="J717" s="79">
        <f t="shared" si="328"/>
        <v>0</v>
      </c>
      <c r="K717" s="79">
        <f t="shared" si="328"/>
        <v>0</v>
      </c>
      <c r="L717" s="79">
        <f t="shared" si="328"/>
        <v>0</v>
      </c>
      <c r="M717" s="79">
        <f t="shared" si="328"/>
        <v>0</v>
      </c>
      <c r="N717" s="79">
        <f t="shared" si="328"/>
        <v>0</v>
      </c>
      <c r="O717" s="79">
        <f t="shared" si="328"/>
        <v>0</v>
      </c>
      <c r="P717" s="79">
        <f t="shared" si="328"/>
        <v>0</v>
      </c>
      <c r="Q717" s="79">
        <f t="shared" ref="Q717:Z718" si="329">IF(VLOOKUP($E717,$D$6:$AN$1131,3,)=0,0,(VLOOKUP($E717,$D$6:$AN$1131,Q$2,)/VLOOKUP($E717,$D$6:$AN$1131,3,))*$F717)</f>
        <v>0</v>
      </c>
      <c r="R717" s="79">
        <f t="shared" si="329"/>
        <v>0</v>
      </c>
      <c r="S717" s="79">
        <f t="shared" si="329"/>
        <v>0</v>
      </c>
      <c r="T717" s="79">
        <f t="shared" si="329"/>
        <v>0</v>
      </c>
      <c r="U717" s="79">
        <f t="shared" si="329"/>
        <v>0</v>
      </c>
      <c r="V717" s="79">
        <f t="shared" si="329"/>
        <v>0</v>
      </c>
      <c r="W717" s="79">
        <f t="shared" si="329"/>
        <v>0</v>
      </c>
      <c r="X717" s="79">
        <f t="shared" si="329"/>
        <v>0</v>
      </c>
      <c r="Y717" s="79">
        <f t="shared" si="329"/>
        <v>0</v>
      </c>
      <c r="Z717" s="79">
        <f t="shared" si="329"/>
        <v>0</v>
      </c>
      <c r="AA717" s="79">
        <f>SUM(G717:Z717)</f>
        <v>0</v>
      </c>
      <c r="AB717" s="93" t="str">
        <f t="shared" si="323"/>
        <v>ok</v>
      </c>
    </row>
    <row r="718" spans="1:29" s="60" customFormat="1">
      <c r="A718" s="60" t="s">
        <v>1170</v>
      </c>
      <c r="E718" s="60" t="s">
        <v>532</v>
      </c>
      <c r="F718" s="79">
        <v>0</v>
      </c>
      <c r="G718" s="79">
        <f t="shared" si="328"/>
        <v>0</v>
      </c>
      <c r="H718" s="79">
        <f t="shared" si="328"/>
        <v>0</v>
      </c>
      <c r="I718" s="79">
        <f t="shared" si="328"/>
        <v>0</v>
      </c>
      <c r="J718" s="79">
        <f t="shared" si="328"/>
        <v>0</v>
      </c>
      <c r="K718" s="79">
        <f t="shared" si="328"/>
        <v>0</v>
      </c>
      <c r="L718" s="79">
        <f t="shared" si="328"/>
        <v>0</v>
      </c>
      <c r="M718" s="79">
        <f t="shared" si="328"/>
        <v>0</v>
      </c>
      <c r="N718" s="79">
        <f t="shared" si="328"/>
        <v>0</v>
      </c>
      <c r="O718" s="79">
        <f t="shared" si="328"/>
        <v>0</v>
      </c>
      <c r="P718" s="79">
        <f t="shared" si="328"/>
        <v>0</v>
      </c>
      <c r="Q718" s="79">
        <f t="shared" si="329"/>
        <v>0</v>
      </c>
      <c r="R718" s="79">
        <f t="shared" si="329"/>
        <v>0</v>
      </c>
      <c r="S718" s="79">
        <f t="shared" si="329"/>
        <v>0</v>
      </c>
      <c r="T718" s="79">
        <f t="shared" si="329"/>
        <v>0</v>
      </c>
      <c r="U718" s="79">
        <f t="shared" si="329"/>
        <v>0</v>
      </c>
      <c r="V718" s="79">
        <f t="shared" si="329"/>
        <v>0</v>
      </c>
      <c r="W718" s="79">
        <f t="shared" si="329"/>
        <v>0</v>
      </c>
      <c r="X718" s="79">
        <f t="shared" si="329"/>
        <v>0</v>
      </c>
      <c r="Y718" s="79">
        <f t="shared" si="329"/>
        <v>0</v>
      </c>
      <c r="Z718" s="79">
        <f t="shared" si="329"/>
        <v>0</v>
      </c>
      <c r="AA718" s="79">
        <f>SUM(G718:Z718)</f>
        <v>0</v>
      </c>
      <c r="AB718" s="93" t="str">
        <f t="shared" si="323"/>
        <v>ok</v>
      </c>
    </row>
    <row r="719" spans="1:29" s="60" customFormat="1">
      <c r="A719" s="68" t="s">
        <v>726</v>
      </c>
      <c r="E719" s="60" t="s">
        <v>1101</v>
      </c>
      <c r="F719" s="79">
        <f>F519</f>
        <v>32529208.918825753</v>
      </c>
      <c r="G719" s="79">
        <f t="shared" ref="G719:P719" si="330">G519</f>
        <v>15821224.614783587</v>
      </c>
      <c r="H719" s="79">
        <f t="shared" si="330"/>
        <v>4128892.9779181606</v>
      </c>
      <c r="I719" s="79">
        <f t="shared" si="330"/>
        <v>0</v>
      </c>
      <c r="J719" s="79">
        <f t="shared" si="330"/>
        <v>305436.67027339508</v>
      </c>
      <c r="K719" s="79">
        <f t="shared" si="330"/>
        <v>3938268.7350952788</v>
      </c>
      <c r="L719" s="79">
        <f t="shared" si="330"/>
        <v>0</v>
      </c>
      <c r="M719" s="79">
        <f t="shared" si="330"/>
        <v>0</v>
      </c>
      <c r="N719" s="79">
        <f t="shared" si="330"/>
        <v>3270855.6150380769</v>
      </c>
      <c r="O719" s="79">
        <f>O519</f>
        <v>1955326.1324566021</v>
      </c>
      <c r="P719" s="79">
        <f t="shared" si="330"/>
        <v>1707682.6772375295</v>
      </c>
      <c r="Q719" s="79">
        <f>Q519</f>
        <v>205732.30099181121</v>
      </c>
      <c r="R719" s="79">
        <f t="shared" ref="R719:Z719" si="331">R519</f>
        <v>95401.259794540762</v>
      </c>
      <c r="S719" s="79">
        <f t="shared" si="331"/>
        <v>1089901.8323440109</v>
      </c>
      <c r="T719" s="79">
        <f t="shared" si="331"/>
        <v>4094.6577747313927</v>
      </c>
      <c r="U719" s="79">
        <f t="shared" si="331"/>
        <v>6391.445118027631</v>
      </c>
      <c r="V719" s="79">
        <f t="shared" si="331"/>
        <v>0</v>
      </c>
      <c r="W719" s="79">
        <f t="shared" si="331"/>
        <v>0</v>
      </c>
      <c r="X719" s="79">
        <f t="shared" si="331"/>
        <v>0</v>
      </c>
      <c r="Y719" s="79">
        <f t="shared" si="331"/>
        <v>0</v>
      </c>
      <c r="Z719" s="79">
        <f t="shared" si="331"/>
        <v>0</v>
      </c>
      <c r="AA719" s="79">
        <f t="shared" si="322"/>
        <v>32529208.918825749</v>
      </c>
      <c r="AB719" s="93" t="str">
        <f t="shared" si="323"/>
        <v>ok</v>
      </c>
    </row>
    <row r="720" spans="1:29" s="60" customFormat="1">
      <c r="A720" s="68" t="s">
        <v>727</v>
      </c>
      <c r="F720" s="79">
        <f>F576</f>
        <v>-1002535.0000000001</v>
      </c>
      <c r="G720" s="79">
        <f t="shared" ref="G720:Z720" si="332">G576</f>
        <v>-487602.74062498263</v>
      </c>
      <c r="H720" s="79">
        <f t="shared" si="332"/>
        <v>-127250.54986571152</v>
      </c>
      <c r="I720" s="79">
        <f t="shared" si="332"/>
        <v>0</v>
      </c>
      <c r="J720" s="79">
        <f t="shared" si="332"/>
        <v>-9413.4152784552807</v>
      </c>
      <c r="K720" s="79">
        <f t="shared" si="332"/>
        <v>-121375.59988597687</v>
      </c>
      <c r="L720" s="79">
        <f t="shared" si="332"/>
        <v>0</v>
      </c>
      <c r="M720" s="79">
        <f t="shared" si="332"/>
        <v>0</v>
      </c>
      <c r="N720" s="79">
        <f t="shared" si="332"/>
        <v>-100806.23977684391</v>
      </c>
      <c r="O720" s="79">
        <f>O576</f>
        <v>-60262.236597702744</v>
      </c>
      <c r="P720" s="79">
        <f t="shared" si="332"/>
        <v>-52629.981168509992</v>
      </c>
      <c r="Q720" s="79">
        <f t="shared" si="332"/>
        <v>-6340.5732641552013</v>
      </c>
      <c r="R720" s="79">
        <f t="shared" si="332"/>
        <v>-2940.2221931308027</v>
      </c>
      <c r="S720" s="79">
        <f t="shared" si="332"/>
        <v>-33590.264559327814</v>
      </c>
      <c r="T720" s="79">
        <f t="shared" si="332"/>
        <v>-126.19543692052756</v>
      </c>
      <c r="U720" s="79">
        <f t="shared" si="332"/>
        <v>-196.98134828275855</v>
      </c>
      <c r="V720" s="79">
        <f t="shared" si="332"/>
        <v>0</v>
      </c>
      <c r="W720" s="79">
        <f t="shared" si="332"/>
        <v>0</v>
      </c>
      <c r="X720" s="79">
        <f t="shared" si="332"/>
        <v>0</v>
      </c>
      <c r="Y720" s="79">
        <f t="shared" si="332"/>
        <v>0</v>
      </c>
      <c r="Z720" s="79">
        <f t="shared" si="332"/>
        <v>0</v>
      </c>
      <c r="AA720" s="79">
        <f>SUM(G720:Z720)</f>
        <v>-1002535</v>
      </c>
      <c r="AB720" s="93" t="str">
        <f t="shared" si="323"/>
        <v>ok</v>
      </c>
    </row>
    <row r="721" spans="1:28" s="60" customFormat="1">
      <c r="A721" s="68" t="s">
        <v>692</v>
      </c>
      <c r="F721" s="79">
        <f>F634</f>
        <v>0</v>
      </c>
      <c r="G721" s="79">
        <f t="shared" ref="G721:Z721" si="333">G634</f>
        <v>0</v>
      </c>
      <c r="H721" s="79">
        <f t="shared" si="333"/>
        <v>0</v>
      </c>
      <c r="I721" s="79">
        <f t="shared" si="333"/>
        <v>0</v>
      </c>
      <c r="J721" s="79">
        <f t="shared" si="333"/>
        <v>0</v>
      </c>
      <c r="K721" s="79">
        <f t="shared" si="333"/>
        <v>0</v>
      </c>
      <c r="L721" s="79">
        <f t="shared" si="333"/>
        <v>0</v>
      </c>
      <c r="M721" s="79">
        <f t="shared" si="333"/>
        <v>0</v>
      </c>
      <c r="N721" s="79">
        <f t="shared" si="333"/>
        <v>0</v>
      </c>
      <c r="O721" s="79">
        <f>O634</f>
        <v>0</v>
      </c>
      <c r="P721" s="79">
        <f t="shared" si="333"/>
        <v>0</v>
      </c>
      <c r="Q721" s="79">
        <f t="shared" si="333"/>
        <v>0</v>
      </c>
      <c r="R721" s="79">
        <f t="shared" si="333"/>
        <v>0</v>
      </c>
      <c r="S721" s="79">
        <f t="shared" si="333"/>
        <v>0</v>
      </c>
      <c r="T721" s="79">
        <f t="shared" si="333"/>
        <v>0</v>
      </c>
      <c r="U721" s="79">
        <f t="shared" si="333"/>
        <v>0</v>
      </c>
      <c r="V721" s="79">
        <f t="shared" si="333"/>
        <v>0</v>
      </c>
      <c r="W721" s="79">
        <f t="shared" si="333"/>
        <v>0</v>
      </c>
      <c r="X721" s="79">
        <f t="shared" si="333"/>
        <v>0</v>
      </c>
      <c r="Y721" s="79">
        <f t="shared" si="333"/>
        <v>0</v>
      </c>
      <c r="Z721" s="79">
        <f t="shared" si="333"/>
        <v>0</v>
      </c>
      <c r="AA721" s="79">
        <f>SUM(G721:Z721)</f>
        <v>0</v>
      </c>
      <c r="AB721" s="93" t="str">
        <f t="shared" si="323"/>
        <v>ok</v>
      </c>
    </row>
    <row r="722" spans="1:28" s="60" customFormat="1" ht="15.75" customHeight="1">
      <c r="A722" s="68" t="s">
        <v>206</v>
      </c>
      <c r="E722" s="60" t="s">
        <v>839</v>
      </c>
      <c r="F722" s="147">
        <f>41092999+7064087</f>
        <v>48157086</v>
      </c>
      <c r="G722" s="147">
        <f t="shared" ref="G722:Z722" si="334">IF(VLOOKUP($E722,$D$6:$AN$1131,3,)=0,0,(VLOOKUP($E722,$D$6:$AN$1131,G$2,)/VLOOKUP($E722,$D$6:$AN$1131,3,))*$F722)</f>
        <v>2454365.8478702004</v>
      </c>
      <c r="H722" s="147">
        <f t="shared" si="334"/>
        <v>12349410.109264264</v>
      </c>
      <c r="I722" s="147">
        <f t="shared" si="334"/>
        <v>0</v>
      </c>
      <c r="J722" s="147">
        <f t="shared" si="334"/>
        <v>735616.09768018348</v>
      </c>
      <c r="K722" s="147">
        <f t="shared" si="334"/>
        <v>14648899.114665983</v>
      </c>
      <c r="L722" s="147">
        <f t="shared" si="334"/>
        <v>0</v>
      </c>
      <c r="M722" s="147">
        <f t="shared" si="334"/>
        <v>0</v>
      </c>
      <c r="N722" s="147">
        <f t="shared" si="334"/>
        <v>4262624.3464543009</v>
      </c>
      <c r="O722" s="147">
        <f t="shared" si="334"/>
        <v>10678692.024761964</v>
      </c>
      <c r="P722" s="147">
        <f t="shared" si="334"/>
        <v>1203148.0501365161</v>
      </c>
      <c r="Q722" s="147">
        <f t="shared" si="334"/>
        <v>-75916.86856010824</v>
      </c>
      <c r="R722" s="147">
        <f t="shared" si="334"/>
        <v>8612.647665870245</v>
      </c>
      <c r="S722" s="147">
        <f t="shared" si="334"/>
        <v>1856801.0492854789</v>
      </c>
      <c r="T722" s="147">
        <f t="shared" si="334"/>
        <v>14740.189371502422</v>
      </c>
      <c r="U722" s="147">
        <f t="shared" si="334"/>
        <v>20093.391403856331</v>
      </c>
      <c r="V722" s="147">
        <f t="shared" si="334"/>
        <v>0</v>
      </c>
      <c r="W722" s="147">
        <f t="shared" si="334"/>
        <v>0</v>
      </c>
      <c r="X722" s="147">
        <f t="shared" si="334"/>
        <v>0</v>
      </c>
      <c r="Y722" s="147">
        <f t="shared" si="334"/>
        <v>0</v>
      </c>
      <c r="Z722" s="147">
        <f t="shared" si="334"/>
        <v>0</v>
      </c>
      <c r="AA722" s="147">
        <f>SUM(G722:Z722)</f>
        <v>48157086.000000007</v>
      </c>
      <c r="AB722" s="148" t="str">
        <f t="shared" si="323"/>
        <v>ok</v>
      </c>
    </row>
    <row r="723" spans="1:28" s="60" customFormat="1">
      <c r="A723" s="68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93"/>
    </row>
    <row r="724" spans="1:28" s="70" customFormat="1">
      <c r="A724" s="286"/>
      <c r="F724" s="146"/>
      <c r="G724" s="146"/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4"/>
    </row>
    <row r="725" spans="1:28" s="60" customFormat="1">
      <c r="A725" s="68"/>
      <c r="AA725" s="80"/>
      <c r="AB725" s="93"/>
    </row>
    <row r="726" spans="1:28" s="60" customFormat="1">
      <c r="A726" s="60" t="s">
        <v>1119</v>
      </c>
      <c r="D726" s="60" t="s">
        <v>1080</v>
      </c>
      <c r="F726" s="80">
        <f>SUM(F713:F722)</f>
        <v>904148189.24269807</v>
      </c>
      <c r="G726" s="80">
        <f t="shared" ref="G726:U726" si="335">SUM(G713:G722)</f>
        <v>372721995.42893672</v>
      </c>
      <c r="H726" s="80">
        <f t="shared" si="335"/>
        <v>119725786.46773888</v>
      </c>
      <c r="I726" s="80">
        <f t="shared" si="335"/>
        <v>0</v>
      </c>
      <c r="J726" s="80">
        <f t="shared" si="335"/>
        <v>10733031.328126846</v>
      </c>
      <c r="K726" s="80">
        <f t="shared" si="335"/>
        <v>134301383.34892192</v>
      </c>
      <c r="L726" s="80">
        <f t="shared" si="335"/>
        <v>0</v>
      </c>
      <c r="M726" s="80">
        <f t="shared" si="335"/>
        <v>0</v>
      </c>
      <c r="N726" s="80">
        <f t="shared" si="335"/>
        <v>113220697.46382819</v>
      </c>
      <c r="O726" s="80">
        <f t="shared" si="335"/>
        <v>64331240.389036208</v>
      </c>
      <c r="P726" s="80">
        <f t="shared" si="335"/>
        <v>64162435.572467119</v>
      </c>
      <c r="Q726" s="80">
        <f t="shared" si="335"/>
        <v>6505771.9677781062</v>
      </c>
      <c r="R726" s="80">
        <f t="shared" si="335"/>
        <v>3343411.1257372517</v>
      </c>
      <c r="S726" s="80">
        <f t="shared" si="335"/>
        <v>14656231.903749093</v>
      </c>
      <c r="T726" s="80">
        <f t="shared" si="335"/>
        <v>199175.56339998255</v>
      </c>
      <c r="U726" s="80">
        <f t="shared" si="335"/>
        <v>247028.68297776376</v>
      </c>
      <c r="V726" s="80">
        <f>SUM(V713:V725)</f>
        <v>0</v>
      </c>
      <c r="W726" s="80">
        <f>SUM(W713:W725)</f>
        <v>0</v>
      </c>
      <c r="X726" s="80">
        <f>SUM(X713:X725)</f>
        <v>0</v>
      </c>
      <c r="Y726" s="80">
        <f>SUM(Y713:Y725)</f>
        <v>0</v>
      </c>
      <c r="Z726" s="80">
        <f>SUM(Z713:Z725)</f>
        <v>0</v>
      </c>
      <c r="AA726" s="80">
        <f>SUM(G726:Z726)</f>
        <v>904148189.24269819</v>
      </c>
      <c r="AB726" s="93" t="str">
        <f>IF(ABS(F726-AA726)&lt;0.01,"ok","err")</f>
        <v>ok</v>
      </c>
    </row>
    <row r="727" spans="1:28" s="60" customFormat="1">
      <c r="A727" s="68"/>
    </row>
    <row r="728" spans="1:28" s="60" customFormat="1">
      <c r="A728" s="60" t="s">
        <v>704</v>
      </c>
      <c r="D728" s="60" t="s">
        <v>1068</v>
      </c>
      <c r="F728" s="80">
        <f t="shared" ref="F728:Z728" si="336">F710-F726</f>
        <v>121476722.75730181</v>
      </c>
      <c r="G728" s="80">
        <f t="shared" si="336"/>
        <v>33266998.733446062</v>
      </c>
      <c r="H728" s="80">
        <f t="shared" si="336"/>
        <v>23097772.718802378</v>
      </c>
      <c r="I728" s="80">
        <f t="shared" si="336"/>
        <v>0</v>
      </c>
      <c r="J728" s="80">
        <f t="shared" si="336"/>
        <v>1489591.312809201</v>
      </c>
      <c r="K728" s="80">
        <f t="shared" si="336"/>
        <v>25564498.194327235</v>
      </c>
      <c r="L728" s="80">
        <f t="shared" si="336"/>
        <v>0</v>
      </c>
      <c r="M728" s="80">
        <f t="shared" si="336"/>
        <v>0</v>
      </c>
      <c r="N728" s="80">
        <f t="shared" si="336"/>
        <v>11500998.571450785</v>
      </c>
      <c r="O728" s="80">
        <f t="shared" si="336"/>
        <v>16885606.890094846</v>
      </c>
      <c r="P728" s="80">
        <f t="shared" si="336"/>
        <v>4745868.8980772495</v>
      </c>
      <c r="Q728" s="80">
        <f t="shared" si="336"/>
        <v>299825.95173381455</v>
      </c>
      <c r="R728" s="80">
        <f t="shared" si="336"/>
        <v>192980.94194444548</v>
      </c>
      <c r="S728" s="80">
        <f t="shared" si="336"/>
        <v>4369647.2105318867</v>
      </c>
      <c r="T728" s="80">
        <f t="shared" si="336"/>
        <v>25975.861427338765</v>
      </c>
      <c r="U728" s="80">
        <f t="shared" si="336"/>
        <v>36957.472656621481</v>
      </c>
      <c r="V728" s="80">
        <f t="shared" si="336"/>
        <v>0</v>
      </c>
      <c r="W728" s="80">
        <f t="shared" si="336"/>
        <v>0</v>
      </c>
      <c r="X728" s="80">
        <f t="shared" si="336"/>
        <v>0</v>
      </c>
      <c r="Y728" s="80">
        <f t="shared" si="336"/>
        <v>0</v>
      </c>
      <c r="Z728" s="80">
        <f t="shared" si="336"/>
        <v>0</v>
      </c>
      <c r="AA728" s="80">
        <f>SUM(G728:Z728)</f>
        <v>121476722.75730187</v>
      </c>
      <c r="AB728" s="93" t="str">
        <f>IF(ABS(F728-AA728)&lt;0.01,"ok","err")</f>
        <v>ok</v>
      </c>
    </row>
    <row r="729" spans="1:28" s="60" customFormat="1"/>
    <row r="730" spans="1:28" s="60" customFormat="1">
      <c r="A730" s="60" t="s">
        <v>1102</v>
      </c>
      <c r="F730" s="80">
        <f t="shared" ref="F730:Z730" si="337">F176</f>
        <v>2380933927.241509</v>
      </c>
      <c r="G730" s="80">
        <f t="shared" si="337"/>
        <v>1151746077.2153518</v>
      </c>
      <c r="H730" s="80">
        <f t="shared" si="337"/>
        <v>302071164.72748941</v>
      </c>
      <c r="I730" s="80">
        <f t="shared" si="337"/>
        <v>0</v>
      </c>
      <c r="J730" s="80">
        <f t="shared" si="337"/>
        <v>22598765.024464671</v>
      </c>
      <c r="K730" s="80">
        <f t="shared" si="337"/>
        <v>290318355.05589318</v>
      </c>
      <c r="L730" s="80">
        <f t="shared" si="337"/>
        <v>0</v>
      </c>
      <c r="M730" s="80">
        <f t="shared" si="337"/>
        <v>0</v>
      </c>
      <c r="N730" s="80">
        <f t="shared" si="337"/>
        <v>242194583.63978818</v>
      </c>
      <c r="O730" s="80">
        <f t="shared" si="337"/>
        <v>143524479.34195939</v>
      </c>
      <c r="P730" s="80">
        <f t="shared" si="337"/>
        <v>127237257.44781397</v>
      </c>
      <c r="Q730" s="80">
        <f t="shared" si="337"/>
        <v>15203335.994018935</v>
      </c>
      <c r="R730" s="80">
        <f t="shared" si="337"/>
        <v>7082689.0574253704</v>
      </c>
      <c r="S730" s="80">
        <f t="shared" si="337"/>
        <v>78174244.52773416</v>
      </c>
      <c r="T730" s="80">
        <f t="shared" si="337"/>
        <v>308732.70736411982</v>
      </c>
      <c r="U730" s="80">
        <f t="shared" si="337"/>
        <v>474242.50220579916</v>
      </c>
      <c r="V730" s="80">
        <f t="shared" si="337"/>
        <v>0</v>
      </c>
      <c r="W730" s="80">
        <f t="shared" si="337"/>
        <v>0</v>
      </c>
      <c r="X730" s="80">
        <f t="shared" si="337"/>
        <v>0</v>
      </c>
      <c r="Y730" s="80">
        <f t="shared" si="337"/>
        <v>0</v>
      </c>
      <c r="Z730" s="80">
        <f t="shared" si="337"/>
        <v>0</v>
      </c>
      <c r="AA730" s="80">
        <f>SUM(G730:Z730)</f>
        <v>2380933927.2415094</v>
      </c>
      <c r="AB730" s="93" t="str">
        <f>IF(ABS(F730-AA730)&lt;0.01,"ok","err")</f>
        <v>ok</v>
      </c>
    </row>
    <row r="731" spans="1:28" s="60" customFormat="1"/>
    <row r="732" spans="1:28" s="65" customFormat="1" ht="15">
      <c r="A732" s="139"/>
      <c r="B732" s="139"/>
      <c r="C732" s="139"/>
      <c r="D732" s="139"/>
      <c r="E732" s="139"/>
      <c r="F732" s="143"/>
      <c r="G732" s="143"/>
      <c r="H732" s="143"/>
      <c r="I732" s="143"/>
      <c r="J732" s="143"/>
      <c r="K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4"/>
    </row>
    <row r="733" spans="1:28" s="60" customFormat="1">
      <c r="A733" s="70"/>
      <c r="B733" s="70"/>
      <c r="C733" s="70"/>
      <c r="D733" s="70"/>
      <c r="E733" s="70"/>
      <c r="F733" s="215"/>
      <c r="G733" s="215"/>
      <c r="H733" s="215"/>
      <c r="I733" s="215"/>
      <c r="J733" s="215"/>
      <c r="K733" s="215"/>
      <c r="L733" s="215"/>
      <c r="M733" s="215"/>
      <c r="N733" s="215"/>
      <c r="O733" s="215"/>
      <c r="P733" s="215"/>
      <c r="Q733" s="215"/>
      <c r="R733" s="215"/>
      <c r="S733" s="215"/>
      <c r="T733" s="215"/>
      <c r="U733" s="215"/>
      <c r="V733" s="70"/>
      <c r="W733" s="70"/>
      <c r="X733" s="70"/>
      <c r="Y733" s="70"/>
      <c r="Z733" s="70"/>
      <c r="AA733" s="70"/>
      <c r="AB733" s="70"/>
    </row>
    <row r="734" spans="1:28" s="60" customFormat="1">
      <c r="A734" s="70"/>
      <c r="B734" s="70"/>
      <c r="C734" s="70"/>
      <c r="D734" s="70"/>
      <c r="E734" s="70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70"/>
    </row>
    <row r="735" spans="1:28" s="60" customFormat="1"/>
    <row r="736" spans="1:28" s="60" customFormat="1"/>
    <row r="737" spans="1:28" s="60" customFormat="1" ht="15">
      <c r="A737" s="65" t="s">
        <v>840</v>
      </c>
    </row>
    <row r="738" spans="1:28" s="60" customFormat="1"/>
    <row r="739" spans="1:28" s="60" customFormat="1">
      <c r="A739" s="60" t="s">
        <v>837</v>
      </c>
      <c r="F739" s="80">
        <f t="shared" ref="F739:Z739" si="338">F710</f>
        <v>1025624911.9999999</v>
      </c>
      <c r="G739" s="80">
        <f t="shared" si="338"/>
        <v>405988994.16238278</v>
      </c>
      <c r="H739" s="80">
        <f t="shared" si="338"/>
        <v>142823559.18654126</v>
      </c>
      <c r="I739" s="80">
        <f t="shared" si="338"/>
        <v>0</v>
      </c>
      <c r="J739" s="80">
        <f t="shared" si="338"/>
        <v>12222622.640936047</v>
      </c>
      <c r="K739" s="80">
        <f t="shared" si="338"/>
        <v>159865881.54324916</v>
      </c>
      <c r="L739" s="80">
        <f t="shared" si="338"/>
        <v>0</v>
      </c>
      <c r="M739" s="80">
        <f t="shared" si="338"/>
        <v>0</v>
      </c>
      <c r="N739" s="80">
        <f t="shared" si="338"/>
        <v>124721696.03527898</v>
      </c>
      <c r="O739" s="80">
        <f t="shared" si="338"/>
        <v>81216847.279131055</v>
      </c>
      <c r="P739" s="80">
        <f t="shared" si="338"/>
        <v>68908304.470544368</v>
      </c>
      <c r="Q739" s="80">
        <f t="shared" si="338"/>
        <v>6805597.9195119208</v>
      </c>
      <c r="R739" s="80">
        <f t="shared" si="338"/>
        <v>3536392.0676816972</v>
      </c>
      <c r="S739" s="80">
        <f t="shared" si="338"/>
        <v>19025879.11428098</v>
      </c>
      <c r="T739" s="80">
        <f t="shared" si="338"/>
        <v>225151.42482732132</v>
      </c>
      <c r="U739" s="80">
        <f t="shared" si="338"/>
        <v>283986.15563438524</v>
      </c>
      <c r="V739" s="80">
        <f t="shared" si="338"/>
        <v>0</v>
      </c>
      <c r="W739" s="80">
        <f t="shared" si="338"/>
        <v>0</v>
      </c>
      <c r="X739" s="80">
        <f t="shared" si="338"/>
        <v>0</v>
      </c>
      <c r="Y739" s="80">
        <f t="shared" si="338"/>
        <v>0</v>
      </c>
      <c r="Z739" s="80">
        <f t="shared" si="338"/>
        <v>0</v>
      </c>
      <c r="AA739" s="80">
        <f>SUM(G739:Z739)</f>
        <v>1025624911.9999999</v>
      </c>
      <c r="AB739" s="93" t="str">
        <f>IF(ABS(F739-AA739)&lt;0.01,"ok","err")</f>
        <v>ok</v>
      </c>
    </row>
    <row r="740" spans="1:28" s="60" customFormat="1"/>
    <row r="741" spans="1:28" s="60" customFormat="1">
      <c r="A741" s="60" t="s">
        <v>1116</v>
      </c>
      <c r="F741" s="80">
        <f t="shared" ref="F741:U741" si="339">F713+F714+F715+F716+F719+F720+F721+F723+F724+F718+F717</f>
        <v>855991103.24269807</v>
      </c>
      <c r="G741" s="80">
        <f t="shared" si="339"/>
        <v>370267629.58106655</v>
      </c>
      <c r="H741" s="80">
        <f t="shared" si="339"/>
        <v>107376376.35847461</v>
      </c>
      <c r="I741" s="80">
        <f t="shared" si="339"/>
        <v>0</v>
      </c>
      <c r="J741" s="80">
        <f t="shared" si="339"/>
        <v>9997415.2304466628</v>
      </c>
      <c r="K741" s="80">
        <f t="shared" si="339"/>
        <v>119652484.23425595</v>
      </c>
      <c r="L741" s="80">
        <f t="shared" si="339"/>
        <v>0</v>
      </c>
      <c r="M741" s="80">
        <f t="shared" si="339"/>
        <v>0</v>
      </c>
      <c r="N741" s="80">
        <f t="shared" si="339"/>
        <v>108958073.11737388</v>
      </c>
      <c r="O741" s="80">
        <f t="shared" si="339"/>
        <v>53652548.364274248</v>
      </c>
      <c r="P741" s="80">
        <f t="shared" si="339"/>
        <v>62959287.522330604</v>
      </c>
      <c r="Q741" s="80">
        <f t="shared" si="339"/>
        <v>6581688.8363382146</v>
      </c>
      <c r="R741" s="80">
        <f t="shared" si="339"/>
        <v>3334798.4780713813</v>
      </c>
      <c r="S741" s="80">
        <f t="shared" si="339"/>
        <v>12799430.854463615</v>
      </c>
      <c r="T741" s="80">
        <f t="shared" si="339"/>
        <v>184435.37402848012</v>
      </c>
      <c r="U741" s="80">
        <f t="shared" si="339"/>
        <v>226935.29157390742</v>
      </c>
      <c r="V741" s="80">
        <f>V713+V714+V716+V719+V720+V721+V723+V724+V718+V717</f>
        <v>0</v>
      </c>
      <c r="W741" s="80">
        <f>W713+W714+W716+W719+W720+W721+W723+W724+W718+W717</f>
        <v>0</v>
      </c>
      <c r="X741" s="80">
        <f>X713+X714+X716+X719+X720+X721+X723+X724+X718+X717</f>
        <v>0</v>
      </c>
      <c r="Y741" s="80">
        <f>Y713+Y714+Y716+Y719+Y720+Y721+Y723+Y724+Y718+Y717</f>
        <v>0</v>
      </c>
      <c r="Z741" s="80">
        <f>Z713+Z714+Z716+Z719+Z720+Z721+Z723+Z724+Z718+Z717</f>
        <v>0</v>
      </c>
      <c r="AA741" s="80">
        <f>SUM(G741:Z741)</f>
        <v>855991103.24269795</v>
      </c>
      <c r="AB741" s="93" t="str">
        <f>IF(ABS(F741-AA741)&lt;0.01,"ok","err")</f>
        <v>ok</v>
      </c>
    </row>
    <row r="742" spans="1:28" s="60" customFormat="1"/>
    <row r="743" spans="1:28" s="60" customFormat="1">
      <c r="A743" s="60" t="s">
        <v>838</v>
      </c>
      <c r="D743" s="60" t="s">
        <v>843</v>
      </c>
      <c r="F743" s="136">
        <f t="shared" ref="F743:Z743" si="340">F691</f>
        <v>62185554.183806494</v>
      </c>
      <c r="G743" s="136">
        <f t="shared" si="340"/>
        <v>30245175.128357016</v>
      </c>
      <c r="H743" s="136">
        <f t="shared" si="340"/>
        <v>7893136.8616490923</v>
      </c>
      <c r="I743" s="136">
        <f t="shared" si="340"/>
        <v>0</v>
      </c>
      <c r="J743" s="136">
        <f t="shared" si="340"/>
        <v>583898.26375443523</v>
      </c>
      <c r="K743" s="136">
        <f t="shared" si="340"/>
        <v>7528723.6289021643</v>
      </c>
      <c r="L743" s="136">
        <f t="shared" si="340"/>
        <v>0</v>
      </c>
      <c r="M743" s="136">
        <f t="shared" si="340"/>
        <v>0</v>
      </c>
      <c r="N743" s="136">
        <f t="shared" si="340"/>
        <v>6252840.9339411771</v>
      </c>
      <c r="O743" s="136">
        <f t="shared" si="340"/>
        <v>3737964.8383186734</v>
      </c>
      <c r="P743" s="136">
        <f t="shared" si="340"/>
        <v>3264548.9141497239</v>
      </c>
      <c r="Q743" s="136">
        <f t="shared" si="340"/>
        <v>393295.0592991946</v>
      </c>
      <c r="R743" s="136">
        <f t="shared" si="340"/>
        <v>182377.02075575007</v>
      </c>
      <c r="S743" s="136">
        <f t="shared" si="340"/>
        <v>2083547.4240824259</v>
      </c>
      <c r="T743" s="136">
        <f t="shared" si="340"/>
        <v>7827.6899862554428</v>
      </c>
      <c r="U743" s="136">
        <f t="shared" si="340"/>
        <v>12218.420610588899</v>
      </c>
      <c r="V743" s="136">
        <f t="shared" si="340"/>
        <v>0</v>
      </c>
      <c r="W743" s="136">
        <f t="shared" si="340"/>
        <v>0</v>
      </c>
      <c r="X743" s="136">
        <f t="shared" si="340"/>
        <v>0</v>
      </c>
      <c r="Y743" s="136">
        <f t="shared" si="340"/>
        <v>0</v>
      </c>
      <c r="Z743" s="136">
        <f t="shared" si="340"/>
        <v>0</v>
      </c>
      <c r="AA743" s="136">
        <f>SUM(G743:Z743)</f>
        <v>62185554.183806509</v>
      </c>
      <c r="AB743" s="93" t="str">
        <f>IF(ABS(F743-AA743)&lt;0.01,"ok","err")</f>
        <v>ok</v>
      </c>
    </row>
    <row r="744" spans="1:28" s="60" customFormat="1"/>
    <row r="745" spans="1:28" s="60" customFormat="1">
      <c r="A745" s="60" t="s">
        <v>836</v>
      </c>
      <c r="D745" s="60" t="s">
        <v>839</v>
      </c>
      <c r="F745" s="80">
        <f>F739-F741-F743</f>
        <v>107448254.57349531</v>
      </c>
      <c r="G745" s="80">
        <f t="shared" ref="G745:Z745" si="341">G739-G741-G743</f>
        <v>5476189.4529592171</v>
      </c>
      <c r="H745" s="80">
        <f t="shared" si="341"/>
        <v>27554045.966417555</v>
      </c>
      <c r="I745" s="80">
        <f t="shared" si="341"/>
        <v>0</v>
      </c>
      <c r="J745" s="80">
        <f t="shared" si="341"/>
        <v>1641309.1467349487</v>
      </c>
      <c r="K745" s="80">
        <f t="shared" si="341"/>
        <v>32684673.680091042</v>
      </c>
      <c r="L745" s="80">
        <f t="shared" si="341"/>
        <v>0</v>
      </c>
      <c r="M745" s="80">
        <f t="shared" si="341"/>
        <v>0</v>
      </c>
      <c r="N745" s="80">
        <f t="shared" si="341"/>
        <v>9510781.9839639142</v>
      </c>
      <c r="O745" s="80">
        <f>O739-O741-O743</f>
        <v>23826334.076538134</v>
      </c>
      <c r="P745" s="80">
        <f t="shared" si="341"/>
        <v>2684468.0340640396</v>
      </c>
      <c r="Q745" s="80">
        <f t="shared" si="341"/>
        <v>-169385.97612548841</v>
      </c>
      <c r="R745" s="80">
        <f t="shared" si="341"/>
        <v>19216.56885456579</v>
      </c>
      <c r="S745" s="80">
        <f t="shared" si="341"/>
        <v>4142900.8357349397</v>
      </c>
      <c r="T745" s="80">
        <f t="shared" si="341"/>
        <v>32888.360812585757</v>
      </c>
      <c r="U745" s="80">
        <f t="shared" si="341"/>
        <v>44832.443449888917</v>
      </c>
      <c r="V745" s="80">
        <f t="shared" si="341"/>
        <v>0</v>
      </c>
      <c r="W745" s="80">
        <f t="shared" si="341"/>
        <v>0</v>
      </c>
      <c r="X745" s="80">
        <f t="shared" si="341"/>
        <v>0</v>
      </c>
      <c r="Y745" s="80">
        <f t="shared" si="341"/>
        <v>0</v>
      </c>
      <c r="Z745" s="80">
        <f t="shared" si="341"/>
        <v>0</v>
      </c>
      <c r="AA745" s="80">
        <f>SUM(G745:Z745)</f>
        <v>107448254.57349533</v>
      </c>
      <c r="AB745" s="93" t="str">
        <f>IF(ABS(F745-AA745)&lt;0.01,"ok","err")</f>
        <v>ok</v>
      </c>
    </row>
    <row r="746" spans="1:28" s="60" customFormat="1"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93"/>
    </row>
    <row r="747" spans="1:28" s="60" customFormat="1"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93"/>
    </row>
    <row r="748" spans="1:28" s="60" customFormat="1"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93"/>
    </row>
    <row r="749" spans="1:28" s="60" customFormat="1"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93"/>
    </row>
    <row r="750" spans="1:28" s="60" customFormat="1"/>
    <row r="753" spans="1:28" ht="15">
      <c r="A753" s="65" t="s">
        <v>208</v>
      </c>
    </row>
    <row r="754" spans="1:28">
      <c r="F754" s="80"/>
    </row>
    <row r="755" spans="1:28" ht="15">
      <c r="A755" s="65" t="s">
        <v>1112</v>
      </c>
    </row>
    <row r="756" spans="1:28" s="60" customFormat="1"/>
    <row r="757" spans="1:28" s="60" customFormat="1">
      <c r="A757" s="60" t="s">
        <v>134</v>
      </c>
      <c r="F757" s="80">
        <f t="shared" ref="F757:Z757" si="342">F710</f>
        <v>1025624911.9999999</v>
      </c>
      <c r="G757" s="80">
        <f t="shared" si="342"/>
        <v>405988994.16238278</v>
      </c>
      <c r="H757" s="80">
        <f t="shared" si="342"/>
        <v>142823559.18654126</v>
      </c>
      <c r="I757" s="80">
        <f t="shared" si="342"/>
        <v>0</v>
      </c>
      <c r="J757" s="80">
        <f t="shared" si="342"/>
        <v>12222622.640936047</v>
      </c>
      <c r="K757" s="80">
        <f t="shared" si="342"/>
        <v>159865881.54324916</v>
      </c>
      <c r="L757" s="80">
        <f t="shared" si="342"/>
        <v>0</v>
      </c>
      <c r="M757" s="80">
        <f t="shared" si="342"/>
        <v>0</v>
      </c>
      <c r="N757" s="80">
        <f t="shared" si="342"/>
        <v>124721696.03527898</v>
      </c>
      <c r="O757" s="80">
        <f t="shared" si="342"/>
        <v>81216847.279131055</v>
      </c>
      <c r="P757" s="80">
        <f t="shared" si="342"/>
        <v>68908304.470544368</v>
      </c>
      <c r="Q757" s="80">
        <f t="shared" si="342"/>
        <v>6805597.9195119208</v>
      </c>
      <c r="R757" s="80">
        <f t="shared" si="342"/>
        <v>3536392.0676816972</v>
      </c>
      <c r="S757" s="80">
        <f t="shared" si="342"/>
        <v>19025879.11428098</v>
      </c>
      <c r="T757" s="80">
        <f t="shared" si="342"/>
        <v>225151.42482732132</v>
      </c>
      <c r="U757" s="80">
        <f t="shared" si="342"/>
        <v>283986.15563438524</v>
      </c>
      <c r="V757" s="80">
        <f t="shared" si="342"/>
        <v>0</v>
      </c>
      <c r="W757" s="80">
        <f t="shared" si="342"/>
        <v>0</v>
      </c>
      <c r="X757" s="80">
        <f t="shared" si="342"/>
        <v>0</v>
      </c>
      <c r="Y757" s="80">
        <f t="shared" si="342"/>
        <v>0</v>
      </c>
      <c r="Z757" s="80">
        <f t="shared" si="342"/>
        <v>0</v>
      </c>
      <c r="AA757" s="80">
        <f>SUM(G757:Z757)</f>
        <v>1025624911.9999999</v>
      </c>
      <c r="AB757" s="93" t="str">
        <f>IF(ABS(F757-AA757)&lt;0.01,"ok","err")</f>
        <v>ok</v>
      </c>
    </row>
    <row r="758" spans="1:28" s="60" customFormat="1"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93"/>
    </row>
    <row r="759" spans="1:28" s="60" customFormat="1">
      <c r="A759" s="60" t="s">
        <v>135</v>
      </c>
      <c r="F759" s="80"/>
      <c r="G759" s="80"/>
      <c r="H759" s="80"/>
      <c r="I759" s="80"/>
      <c r="J759" s="80"/>
      <c r="K759" s="80"/>
      <c r="L759" s="80"/>
      <c r="M759" s="80"/>
      <c r="N759" s="80"/>
      <c r="O759" s="216"/>
      <c r="P759" s="216"/>
      <c r="Q759" s="80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93"/>
    </row>
    <row r="760" spans="1:28" s="60" customFormat="1" ht="14.25" hidden="1" customHeight="1">
      <c r="B760" s="60" t="s">
        <v>1260</v>
      </c>
      <c r="E760" s="60" t="s">
        <v>130</v>
      </c>
      <c r="F760" s="76"/>
      <c r="G760" s="76">
        <f t="shared" ref="G760:P767" si="343">IF(VLOOKUP($E760,$D$6:$AN$1131,3,)=0,0,(VLOOKUP($E760,$D$6:$AN$1131,G$2,)/VLOOKUP($E760,$D$6:$AN$1131,3,))*$F760)</f>
        <v>0</v>
      </c>
      <c r="H760" s="76">
        <f t="shared" si="343"/>
        <v>0</v>
      </c>
      <c r="I760" s="76">
        <f t="shared" si="343"/>
        <v>0</v>
      </c>
      <c r="J760" s="76">
        <f t="shared" si="343"/>
        <v>0</v>
      </c>
      <c r="K760" s="76">
        <f t="shared" si="343"/>
        <v>0</v>
      </c>
      <c r="L760" s="76">
        <f t="shared" si="343"/>
        <v>0</v>
      </c>
      <c r="M760" s="76">
        <f t="shared" si="343"/>
        <v>0</v>
      </c>
      <c r="N760" s="76">
        <f t="shared" si="343"/>
        <v>0</v>
      </c>
      <c r="O760" s="76">
        <f t="shared" si="343"/>
        <v>0</v>
      </c>
      <c r="P760" s="76">
        <f t="shared" si="343"/>
        <v>0</v>
      </c>
      <c r="Q760" s="76">
        <f t="shared" ref="Q760:Z767" si="344">IF(VLOOKUP($E760,$D$6:$AN$1131,3,)=0,0,(VLOOKUP($E760,$D$6:$AN$1131,Q$2,)/VLOOKUP($E760,$D$6:$AN$1131,3,))*$F760)</f>
        <v>0</v>
      </c>
      <c r="R760" s="76">
        <f t="shared" si="344"/>
        <v>0</v>
      </c>
      <c r="S760" s="76">
        <f t="shared" si="344"/>
        <v>0</v>
      </c>
      <c r="T760" s="76">
        <f t="shared" si="344"/>
        <v>0</v>
      </c>
      <c r="U760" s="76">
        <f t="shared" si="344"/>
        <v>0</v>
      </c>
      <c r="V760" s="76">
        <f t="shared" si="344"/>
        <v>0</v>
      </c>
      <c r="W760" s="76">
        <f t="shared" si="344"/>
        <v>0</v>
      </c>
      <c r="X760" s="76">
        <f t="shared" si="344"/>
        <v>0</v>
      </c>
      <c r="Y760" s="76">
        <f t="shared" si="344"/>
        <v>0</v>
      </c>
      <c r="Z760" s="76">
        <f t="shared" si="344"/>
        <v>0</v>
      </c>
      <c r="AA760" s="80">
        <f t="shared" ref="AA760:AA768" si="345">SUM(G760:Z760)</f>
        <v>0</v>
      </c>
      <c r="AB760" s="93" t="str">
        <f t="shared" ref="AB760:AB768" si="346">IF(ABS(F760-AA760)&lt;0.01,"ok","err")</f>
        <v>ok</v>
      </c>
    </row>
    <row r="761" spans="1:28" s="60" customFormat="1" ht="14.25" hidden="1" customHeight="1">
      <c r="B761" s="60" t="s">
        <v>1303</v>
      </c>
      <c r="E761" s="60" t="s">
        <v>130</v>
      </c>
      <c r="F761" s="79"/>
      <c r="G761" s="79">
        <f t="shared" si="343"/>
        <v>0</v>
      </c>
      <c r="H761" s="79">
        <f t="shared" si="343"/>
        <v>0</v>
      </c>
      <c r="I761" s="79">
        <f t="shared" si="343"/>
        <v>0</v>
      </c>
      <c r="J761" s="79">
        <f t="shared" si="343"/>
        <v>0</v>
      </c>
      <c r="K761" s="79">
        <f t="shared" si="343"/>
        <v>0</v>
      </c>
      <c r="L761" s="79">
        <f t="shared" si="343"/>
        <v>0</v>
      </c>
      <c r="M761" s="79">
        <f t="shared" si="343"/>
        <v>0</v>
      </c>
      <c r="N761" s="79">
        <f t="shared" si="343"/>
        <v>0</v>
      </c>
      <c r="O761" s="79">
        <f t="shared" si="343"/>
        <v>0</v>
      </c>
      <c r="P761" s="79">
        <f t="shared" si="343"/>
        <v>0</v>
      </c>
      <c r="Q761" s="79">
        <f t="shared" si="344"/>
        <v>0</v>
      </c>
      <c r="R761" s="79">
        <f t="shared" si="344"/>
        <v>0</v>
      </c>
      <c r="S761" s="79">
        <f t="shared" si="344"/>
        <v>0</v>
      </c>
      <c r="T761" s="79">
        <f t="shared" si="344"/>
        <v>0</v>
      </c>
      <c r="U761" s="79">
        <f t="shared" si="344"/>
        <v>0</v>
      </c>
      <c r="V761" s="79">
        <f t="shared" si="344"/>
        <v>0</v>
      </c>
      <c r="W761" s="79">
        <f t="shared" si="344"/>
        <v>0</v>
      </c>
      <c r="X761" s="79">
        <f t="shared" si="344"/>
        <v>0</v>
      </c>
      <c r="Y761" s="79">
        <f t="shared" si="344"/>
        <v>0</v>
      </c>
      <c r="Z761" s="79">
        <f t="shared" si="344"/>
        <v>0</v>
      </c>
      <c r="AA761" s="79">
        <f>SUM(G761:Z761)</f>
        <v>0</v>
      </c>
      <c r="AB761" s="93" t="str">
        <f t="shared" si="346"/>
        <v>ok</v>
      </c>
    </row>
    <row r="762" spans="1:28" s="60" customFormat="1" ht="14.25" hidden="1" customHeight="1">
      <c r="B762" s="60" t="s">
        <v>687</v>
      </c>
      <c r="E762" s="60" t="s">
        <v>930</v>
      </c>
      <c r="F762" s="79"/>
      <c r="G762" s="79">
        <f t="shared" si="343"/>
        <v>0</v>
      </c>
      <c r="H762" s="79">
        <f t="shared" si="343"/>
        <v>0</v>
      </c>
      <c r="I762" s="79">
        <f t="shared" si="343"/>
        <v>0</v>
      </c>
      <c r="J762" s="79">
        <f t="shared" si="343"/>
        <v>0</v>
      </c>
      <c r="K762" s="79">
        <f t="shared" si="343"/>
        <v>0</v>
      </c>
      <c r="L762" s="79">
        <f t="shared" si="343"/>
        <v>0</v>
      </c>
      <c r="M762" s="79">
        <f t="shared" si="343"/>
        <v>0</v>
      </c>
      <c r="N762" s="79">
        <f t="shared" si="343"/>
        <v>0</v>
      </c>
      <c r="O762" s="79">
        <f t="shared" si="343"/>
        <v>0</v>
      </c>
      <c r="P762" s="79">
        <f t="shared" si="343"/>
        <v>0</v>
      </c>
      <c r="Q762" s="79">
        <f t="shared" si="344"/>
        <v>0</v>
      </c>
      <c r="R762" s="79">
        <f t="shared" si="344"/>
        <v>0</v>
      </c>
      <c r="S762" s="79">
        <f t="shared" si="344"/>
        <v>0</v>
      </c>
      <c r="T762" s="79">
        <f t="shared" si="344"/>
        <v>0</v>
      </c>
      <c r="U762" s="79">
        <f t="shared" si="344"/>
        <v>0</v>
      </c>
      <c r="V762" s="79">
        <f t="shared" si="344"/>
        <v>0</v>
      </c>
      <c r="W762" s="79">
        <f t="shared" si="344"/>
        <v>0</v>
      </c>
      <c r="X762" s="79">
        <f t="shared" si="344"/>
        <v>0</v>
      </c>
      <c r="Y762" s="79">
        <f t="shared" si="344"/>
        <v>0</v>
      </c>
      <c r="Z762" s="79">
        <f t="shared" si="344"/>
        <v>0</v>
      </c>
      <c r="AA762" s="79">
        <f t="shared" si="345"/>
        <v>0</v>
      </c>
      <c r="AB762" s="93" t="str">
        <f t="shared" si="346"/>
        <v>ok</v>
      </c>
    </row>
    <row r="763" spans="1:28" s="60" customFormat="1" ht="14.25" hidden="1" customHeight="1">
      <c r="B763" s="60" t="s">
        <v>1261</v>
      </c>
      <c r="D763" s="60" t="s">
        <v>875</v>
      </c>
      <c r="E763" s="60" t="s">
        <v>1245</v>
      </c>
      <c r="F763" s="79"/>
      <c r="G763" s="79">
        <f t="shared" si="343"/>
        <v>0</v>
      </c>
      <c r="H763" s="79">
        <f t="shared" si="343"/>
        <v>0</v>
      </c>
      <c r="I763" s="79">
        <f t="shared" si="343"/>
        <v>0</v>
      </c>
      <c r="J763" s="79">
        <f t="shared" si="343"/>
        <v>0</v>
      </c>
      <c r="K763" s="79">
        <f t="shared" si="343"/>
        <v>0</v>
      </c>
      <c r="L763" s="79">
        <f t="shared" si="343"/>
        <v>0</v>
      </c>
      <c r="M763" s="79">
        <f t="shared" si="343"/>
        <v>0</v>
      </c>
      <c r="N763" s="79">
        <f t="shared" si="343"/>
        <v>0</v>
      </c>
      <c r="O763" s="79">
        <f t="shared" si="343"/>
        <v>0</v>
      </c>
      <c r="P763" s="79">
        <f t="shared" si="343"/>
        <v>0</v>
      </c>
      <c r="Q763" s="79">
        <f t="shared" si="344"/>
        <v>0</v>
      </c>
      <c r="R763" s="79">
        <f t="shared" si="344"/>
        <v>0</v>
      </c>
      <c r="S763" s="79">
        <f t="shared" si="344"/>
        <v>0</v>
      </c>
      <c r="T763" s="79">
        <f t="shared" si="344"/>
        <v>0</v>
      </c>
      <c r="U763" s="79">
        <f t="shared" si="344"/>
        <v>0</v>
      </c>
      <c r="V763" s="79">
        <f t="shared" si="344"/>
        <v>0</v>
      </c>
      <c r="W763" s="79">
        <f t="shared" si="344"/>
        <v>0</v>
      </c>
      <c r="X763" s="79">
        <f t="shared" si="344"/>
        <v>0</v>
      </c>
      <c r="Y763" s="79">
        <f t="shared" si="344"/>
        <v>0</v>
      </c>
      <c r="Z763" s="79">
        <f t="shared" si="344"/>
        <v>0</v>
      </c>
      <c r="AA763" s="79">
        <f t="shared" si="345"/>
        <v>0</v>
      </c>
      <c r="AB763" s="93" t="str">
        <f t="shared" si="346"/>
        <v>ok</v>
      </c>
    </row>
    <row r="764" spans="1:28" s="60" customFormat="1" ht="14.25" hidden="1" customHeight="1">
      <c r="B764" s="60" t="s">
        <v>1302</v>
      </c>
      <c r="E764" s="60" t="s">
        <v>1245</v>
      </c>
      <c r="F764" s="79"/>
      <c r="G764" s="79">
        <f t="shared" si="343"/>
        <v>0</v>
      </c>
      <c r="H764" s="79">
        <f t="shared" si="343"/>
        <v>0</v>
      </c>
      <c r="I764" s="79">
        <f t="shared" si="343"/>
        <v>0</v>
      </c>
      <c r="J764" s="79">
        <f t="shared" si="343"/>
        <v>0</v>
      </c>
      <c r="K764" s="79">
        <f t="shared" si="343"/>
        <v>0</v>
      </c>
      <c r="L764" s="79">
        <f t="shared" si="343"/>
        <v>0</v>
      </c>
      <c r="M764" s="79">
        <f t="shared" si="343"/>
        <v>0</v>
      </c>
      <c r="N764" s="79">
        <f t="shared" si="343"/>
        <v>0</v>
      </c>
      <c r="O764" s="79">
        <f t="shared" si="343"/>
        <v>0</v>
      </c>
      <c r="P764" s="79">
        <f t="shared" si="343"/>
        <v>0</v>
      </c>
      <c r="Q764" s="79">
        <f t="shared" si="344"/>
        <v>0</v>
      </c>
      <c r="R764" s="79">
        <f t="shared" si="344"/>
        <v>0</v>
      </c>
      <c r="S764" s="79">
        <f t="shared" si="344"/>
        <v>0</v>
      </c>
      <c r="T764" s="79">
        <f t="shared" si="344"/>
        <v>0</v>
      </c>
      <c r="U764" s="79">
        <f t="shared" si="344"/>
        <v>0</v>
      </c>
      <c r="V764" s="79">
        <f t="shared" si="344"/>
        <v>0</v>
      </c>
      <c r="W764" s="79">
        <f t="shared" si="344"/>
        <v>0</v>
      </c>
      <c r="X764" s="79">
        <f t="shared" si="344"/>
        <v>0</v>
      </c>
      <c r="Y764" s="79">
        <f t="shared" si="344"/>
        <v>0</v>
      </c>
      <c r="Z764" s="79">
        <f t="shared" si="344"/>
        <v>0</v>
      </c>
      <c r="AA764" s="79">
        <f>SUM(G764:Z764)</f>
        <v>0</v>
      </c>
      <c r="AB764" s="93" t="str">
        <f>IF(ABS(F764-AA764)&lt;0.01,"ok","err")</f>
        <v>ok</v>
      </c>
    </row>
    <row r="765" spans="1:28" s="60" customFormat="1" ht="14.25" hidden="1" customHeight="1">
      <c r="B765" s="60" t="s">
        <v>1262</v>
      </c>
      <c r="E765" s="60" t="s">
        <v>693</v>
      </c>
      <c r="F765" s="79">
        <v>0</v>
      </c>
      <c r="G765" s="79">
        <f t="shared" si="343"/>
        <v>0</v>
      </c>
      <c r="H765" s="79">
        <f t="shared" si="343"/>
        <v>0</v>
      </c>
      <c r="I765" s="79">
        <f t="shared" si="343"/>
        <v>0</v>
      </c>
      <c r="J765" s="79">
        <f t="shared" si="343"/>
        <v>0</v>
      </c>
      <c r="K765" s="79">
        <f t="shared" si="343"/>
        <v>0</v>
      </c>
      <c r="L765" s="79">
        <f t="shared" si="343"/>
        <v>0</v>
      </c>
      <c r="M765" s="79">
        <f t="shared" si="343"/>
        <v>0</v>
      </c>
      <c r="N765" s="79">
        <f t="shared" si="343"/>
        <v>0</v>
      </c>
      <c r="O765" s="79">
        <f t="shared" si="343"/>
        <v>0</v>
      </c>
      <c r="P765" s="79">
        <f t="shared" si="343"/>
        <v>0</v>
      </c>
      <c r="Q765" s="79">
        <f t="shared" si="344"/>
        <v>0</v>
      </c>
      <c r="R765" s="79">
        <f t="shared" si="344"/>
        <v>0</v>
      </c>
      <c r="S765" s="79">
        <f t="shared" si="344"/>
        <v>0</v>
      </c>
      <c r="T765" s="79">
        <f t="shared" si="344"/>
        <v>0</v>
      </c>
      <c r="U765" s="79">
        <f t="shared" si="344"/>
        <v>0</v>
      </c>
      <c r="V765" s="79">
        <f t="shared" si="344"/>
        <v>0</v>
      </c>
      <c r="W765" s="79">
        <f t="shared" si="344"/>
        <v>0</v>
      </c>
      <c r="X765" s="79">
        <f t="shared" si="344"/>
        <v>0</v>
      </c>
      <c r="Y765" s="79">
        <f t="shared" si="344"/>
        <v>0</v>
      </c>
      <c r="Z765" s="79">
        <f t="shared" si="344"/>
        <v>0</v>
      </c>
      <c r="AA765" s="79">
        <f t="shared" si="345"/>
        <v>0</v>
      </c>
      <c r="AB765" s="93" t="str">
        <f t="shared" si="346"/>
        <v>ok</v>
      </c>
    </row>
    <row r="766" spans="1:28" s="60" customFormat="1" ht="14.25" hidden="1" customHeight="1">
      <c r="B766" s="60" t="s">
        <v>841</v>
      </c>
      <c r="D766" s="60" t="s">
        <v>876</v>
      </c>
      <c r="E766" s="60" t="s">
        <v>1246</v>
      </c>
      <c r="F766" s="79"/>
      <c r="G766" s="79">
        <f t="shared" si="343"/>
        <v>0</v>
      </c>
      <c r="H766" s="79">
        <f t="shared" si="343"/>
        <v>0</v>
      </c>
      <c r="I766" s="79">
        <f t="shared" si="343"/>
        <v>0</v>
      </c>
      <c r="J766" s="79">
        <f t="shared" si="343"/>
        <v>0</v>
      </c>
      <c r="K766" s="79">
        <f t="shared" si="343"/>
        <v>0</v>
      </c>
      <c r="L766" s="79">
        <f t="shared" si="343"/>
        <v>0</v>
      </c>
      <c r="M766" s="79">
        <f t="shared" si="343"/>
        <v>0</v>
      </c>
      <c r="N766" s="79">
        <f t="shared" si="343"/>
        <v>0</v>
      </c>
      <c r="O766" s="79">
        <f t="shared" si="343"/>
        <v>0</v>
      </c>
      <c r="P766" s="79">
        <f t="shared" si="343"/>
        <v>0</v>
      </c>
      <c r="Q766" s="79">
        <f t="shared" si="344"/>
        <v>0</v>
      </c>
      <c r="R766" s="79">
        <f t="shared" si="344"/>
        <v>0</v>
      </c>
      <c r="S766" s="79">
        <f t="shared" si="344"/>
        <v>0</v>
      </c>
      <c r="T766" s="79">
        <f t="shared" si="344"/>
        <v>0</v>
      </c>
      <c r="U766" s="79">
        <f t="shared" si="344"/>
        <v>0</v>
      </c>
      <c r="V766" s="79">
        <f t="shared" si="344"/>
        <v>0</v>
      </c>
      <c r="W766" s="79">
        <f t="shared" si="344"/>
        <v>0</v>
      </c>
      <c r="X766" s="79">
        <f t="shared" si="344"/>
        <v>0</v>
      </c>
      <c r="Y766" s="79">
        <f t="shared" si="344"/>
        <v>0</v>
      </c>
      <c r="Z766" s="79">
        <f t="shared" si="344"/>
        <v>0</v>
      </c>
      <c r="AA766" s="79">
        <f t="shared" si="345"/>
        <v>0</v>
      </c>
      <c r="AB766" s="93" t="str">
        <f t="shared" si="346"/>
        <v>ok</v>
      </c>
    </row>
    <row r="767" spans="1:28" s="60" customFormat="1">
      <c r="B767" s="60" t="s">
        <v>1263</v>
      </c>
      <c r="E767" s="60" t="s">
        <v>693</v>
      </c>
      <c r="F767" s="79">
        <v>-8423259.5387509596</v>
      </c>
      <c r="G767" s="79">
        <f t="shared" si="343"/>
        <v>-3297836.5637638657</v>
      </c>
      <c r="H767" s="79">
        <f t="shared" si="343"/>
        <v>-1848541.9147539535</v>
      </c>
      <c r="I767" s="79">
        <f t="shared" si="343"/>
        <v>0</v>
      </c>
      <c r="J767" s="79">
        <f t="shared" si="343"/>
        <v>-80618.546479590106</v>
      </c>
      <c r="K767" s="79">
        <f t="shared" si="343"/>
        <v>-1002889.880727366</v>
      </c>
      <c r="L767" s="79">
        <f t="shared" si="343"/>
        <v>0</v>
      </c>
      <c r="M767" s="79">
        <f t="shared" si="343"/>
        <v>0</v>
      </c>
      <c r="N767" s="79">
        <f t="shared" si="343"/>
        <v>-833193.57320102572</v>
      </c>
      <c r="O767" s="79">
        <f t="shared" si="343"/>
        <v>-537753.55392959388</v>
      </c>
      <c r="P767" s="79">
        <f t="shared" si="343"/>
        <v>-461699.26012290485</v>
      </c>
      <c r="Q767" s="79">
        <f t="shared" si="344"/>
        <v>-42712.387941544512</v>
      </c>
      <c r="R767" s="79">
        <f t="shared" si="344"/>
        <v>-23116.949883436577</v>
      </c>
      <c r="S767" s="79">
        <f t="shared" si="344"/>
        <v>-290133.08100865397</v>
      </c>
      <c r="T767" s="79">
        <f t="shared" si="344"/>
        <v>-2398.9515506920206</v>
      </c>
      <c r="U767" s="79">
        <f t="shared" si="344"/>
        <v>-2364.8753883329678</v>
      </c>
      <c r="V767" s="79">
        <f t="shared" si="344"/>
        <v>0</v>
      </c>
      <c r="W767" s="79">
        <f t="shared" si="344"/>
        <v>0</v>
      </c>
      <c r="X767" s="79">
        <f t="shared" si="344"/>
        <v>0</v>
      </c>
      <c r="Y767" s="79">
        <f t="shared" si="344"/>
        <v>0</v>
      </c>
      <c r="Z767" s="79">
        <f t="shared" si="344"/>
        <v>0</v>
      </c>
      <c r="AA767" s="79">
        <f t="shared" si="345"/>
        <v>-8423259.5387509614</v>
      </c>
      <c r="AB767" s="93" t="str">
        <f t="shared" si="346"/>
        <v>ok</v>
      </c>
    </row>
    <row r="768" spans="1:28" s="60" customFormat="1">
      <c r="B768" s="60" t="s">
        <v>1329</v>
      </c>
      <c r="F768" s="79">
        <v>0</v>
      </c>
      <c r="G768" s="79"/>
      <c r="H768" s="79"/>
      <c r="I768" s="79"/>
      <c r="J768" s="79"/>
      <c r="K768" s="79"/>
      <c r="L768" s="79"/>
      <c r="M768" s="79"/>
      <c r="N768" s="79"/>
      <c r="O768" s="79">
        <v>0</v>
      </c>
      <c r="P768" s="79"/>
      <c r="Q768" s="79">
        <v>0</v>
      </c>
      <c r="R768" s="79"/>
      <c r="S768" s="79"/>
      <c r="T768" s="79"/>
      <c r="U768" s="79"/>
      <c r="V768" s="79"/>
      <c r="W768" s="79"/>
      <c r="X768" s="79"/>
      <c r="Y768" s="79"/>
      <c r="Z768" s="79"/>
      <c r="AA768" s="79">
        <f t="shared" si="345"/>
        <v>0</v>
      </c>
      <c r="AB768" s="93" t="str">
        <f t="shared" si="346"/>
        <v>ok</v>
      </c>
    </row>
    <row r="769" spans="1:28" s="60" customFormat="1">
      <c r="E769" s="112"/>
      <c r="F769" s="80"/>
      <c r="G769" s="80"/>
    </row>
    <row r="770" spans="1:28" s="60" customFormat="1">
      <c r="A770" s="60" t="s">
        <v>136</v>
      </c>
      <c r="E770" s="112"/>
      <c r="F770" s="80">
        <f t="shared" ref="F770:Z770" si="347">SUM(F757:F768)</f>
        <v>1017201652.4612489</v>
      </c>
      <c r="G770" s="80">
        <f t="shared" si="347"/>
        <v>402691157.59861892</v>
      </c>
      <c r="H770" s="80">
        <f t="shared" si="347"/>
        <v>140975017.27178732</v>
      </c>
      <c r="I770" s="80">
        <f t="shared" si="347"/>
        <v>0</v>
      </c>
      <c r="J770" s="80">
        <f t="shared" si="347"/>
        <v>12142004.094456457</v>
      </c>
      <c r="K770" s="80">
        <f t="shared" si="347"/>
        <v>158862991.66252178</v>
      </c>
      <c r="L770" s="80">
        <f t="shared" si="347"/>
        <v>0</v>
      </c>
      <c r="M770" s="80">
        <f t="shared" si="347"/>
        <v>0</v>
      </c>
      <c r="N770" s="80">
        <f t="shared" si="347"/>
        <v>123888502.46207795</v>
      </c>
      <c r="O770" s="80">
        <f t="shared" si="347"/>
        <v>80679093.725201458</v>
      </c>
      <c r="P770" s="80">
        <f t="shared" si="347"/>
        <v>68446605.210421458</v>
      </c>
      <c r="Q770" s="80">
        <f t="shared" si="347"/>
        <v>6762885.5315703759</v>
      </c>
      <c r="R770" s="80">
        <f t="shared" si="347"/>
        <v>3513275.1177982604</v>
      </c>
      <c r="S770" s="80">
        <f t="shared" si="347"/>
        <v>18735746.033272326</v>
      </c>
      <c r="T770" s="80">
        <f t="shared" si="347"/>
        <v>222752.47327662929</v>
      </c>
      <c r="U770" s="80">
        <f t="shared" si="347"/>
        <v>281621.28024605225</v>
      </c>
      <c r="V770" s="80">
        <f t="shared" si="347"/>
        <v>0</v>
      </c>
      <c r="W770" s="80">
        <f t="shared" si="347"/>
        <v>0</v>
      </c>
      <c r="X770" s="80">
        <f t="shared" si="347"/>
        <v>0</v>
      </c>
      <c r="Y770" s="80">
        <f t="shared" si="347"/>
        <v>0</v>
      </c>
      <c r="Z770" s="80">
        <f t="shared" si="347"/>
        <v>0</v>
      </c>
      <c r="AA770" s="80">
        <f>SUM(G770:Z770)</f>
        <v>1017201652.4612489</v>
      </c>
      <c r="AB770" s="93" t="str">
        <f>IF(ABS(F770-AA770)&lt;0.01,"ok","err")</f>
        <v>ok</v>
      </c>
    </row>
    <row r="771" spans="1:28" s="60" customFormat="1" ht="16.5" customHeight="1">
      <c r="E771" s="80"/>
    </row>
    <row r="772" spans="1:28" s="60" customFormat="1" ht="15">
      <c r="A772" s="65" t="s">
        <v>1116</v>
      </c>
      <c r="F772" s="80"/>
    </row>
    <row r="773" spans="1:28" s="60" customFormat="1"/>
    <row r="774" spans="1:28">
      <c r="A774" s="68" t="s">
        <v>1117</v>
      </c>
      <c r="F774" s="80">
        <f t="shared" ref="F774:AA774" si="348">F233</f>
        <v>685621902.81823468</v>
      </c>
      <c r="G774" s="80">
        <f t="shared" si="348"/>
        <v>287977479.04383886</v>
      </c>
      <c r="H774" s="80">
        <f t="shared" si="348"/>
        <v>85712374.904412091</v>
      </c>
      <c r="I774" s="80">
        <f t="shared" si="348"/>
        <v>0</v>
      </c>
      <c r="J774" s="80">
        <f t="shared" si="348"/>
        <v>8382184.1559373448</v>
      </c>
      <c r="K774" s="80">
        <f t="shared" si="348"/>
        <v>98788345.739999518</v>
      </c>
      <c r="L774" s="80">
        <f t="shared" si="348"/>
        <v>0</v>
      </c>
      <c r="M774" s="80">
        <f t="shared" si="348"/>
        <v>0</v>
      </c>
      <c r="N774" s="80">
        <f t="shared" si="348"/>
        <v>91640486.35993652</v>
      </c>
      <c r="O774" s="80">
        <f t="shared" si="348"/>
        <v>43317845.899576016</v>
      </c>
      <c r="P774" s="80">
        <f t="shared" si="348"/>
        <v>53872935.67491778</v>
      </c>
      <c r="Q774" s="80">
        <f t="shared" si="348"/>
        <v>5491759.0931262597</v>
      </c>
      <c r="R774" s="80">
        <f t="shared" si="348"/>
        <v>2831748.9051755359</v>
      </c>
      <c r="S774" s="80">
        <f t="shared" si="348"/>
        <v>7250096.0209032139</v>
      </c>
      <c r="T774" s="80">
        <f t="shared" si="348"/>
        <v>163488.34608044932</v>
      </c>
      <c r="U774" s="80">
        <f t="shared" si="348"/>
        <v>193158.6743311403</v>
      </c>
      <c r="V774" s="80">
        <f t="shared" si="348"/>
        <v>0</v>
      </c>
      <c r="W774" s="80">
        <f t="shared" si="348"/>
        <v>0</v>
      </c>
      <c r="X774" s="64">
        <f t="shared" si="348"/>
        <v>0</v>
      </c>
      <c r="Y774" s="64">
        <f t="shared" si="348"/>
        <v>0</v>
      </c>
      <c r="Z774" s="64">
        <f t="shared" si="348"/>
        <v>0</v>
      </c>
      <c r="AA774" s="64">
        <f t="shared" si="348"/>
        <v>685621902.81823492</v>
      </c>
      <c r="AB774" s="58" t="str">
        <f t="shared" ref="AB774:AB785" si="349">IF(ABS(F774-AA774)&lt;0.01,"ok","err")</f>
        <v>ok</v>
      </c>
    </row>
    <row r="775" spans="1:28">
      <c r="A775" s="68" t="s">
        <v>1118</v>
      </c>
      <c r="F775" s="79">
        <f t="shared" ref="F775:AA775" si="350">F347</f>
        <v>138842526.50563762</v>
      </c>
      <c r="G775" s="79">
        <f t="shared" si="350"/>
        <v>66956528.663069092</v>
      </c>
      <c r="H775" s="79">
        <f t="shared" si="350"/>
        <v>17662359.026010059</v>
      </c>
      <c r="I775" s="79">
        <f t="shared" si="350"/>
        <v>0</v>
      </c>
      <c r="J775" s="79">
        <f t="shared" si="350"/>
        <v>1319207.819514378</v>
      </c>
      <c r="K775" s="79">
        <f t="shared" si="350"/>
        <v>17047245.359047126</v>
      </c>
      <c r="L775" s="79">
        <f t="shared" si="350"/>
        <v>0</v>
      </c>
      <c r="M775" s="79">
        <f t="shared" si="350"/>
        <v>0</v>
      </c>
      <c r="N775" s="79">
        <f t="shared" si="350"/>
        <v>14147537.382176131</v>
      </c>
      <c r="O775" s="79">
        <f t="shared" si="350"/>
        <v>8439638.5688393302</v>
      </c>
      <c r="P775" s="79">
        <f t="shared" si="350"/>
        <v>7431299.1513437964</v>
      </c>
      <c r="Q775" s="79">
        <f t="shared" si="350"/>
        <v>890538.01548429963</v>
      </c>
      <c r="R775" s="79">
        <f t="shared" si="350"/>
        <v>410588.53529443557</v>
      </c>
      <c r="S775" s="79">
        <f t="shared" si="350"/>
        <v>4493023.2657757187</v>
      </c>
      <c r="T775" s="79">
        <f t="shared" si="350"/>
        <v>16978.565610219943</v>
      </c>
      <c r="U775" s="79">
        <f t="shared" si="350"/>
        <v>27582.153473022237</v>
      </c>
      <c r="V775" s="79">
        <f t="shared" si="350"/>
        <v>0</v>
      </c>
      <c r="W775" s="79">
        <f t="shared" si="350"/>
        <v>0</v>
      </c>
      <c r="X775" s="63">
        <f t="shared" si="350"/>
        <v>0</v>
      </c>
      <c r="Y775" s="63">
        <f t="shared" si="350"/>
        <v>0</v>
      </c>
      <c r="Z775" s="63">
        <f t="shared" si="350"/>
        <v>0</v>
      </c>
      <c r="AA775" s="63">
        <f t="shared" si="350"/>
        <v>138842526.50563762</v>
      </c>
      <c r="AB775" s="58" t="str">
        <f t="shared" si="349"/>
        <v>ok</v>
      </c>
    </row>
    <row r="776" spans="1:28" hidden="1">
      <c r="A776" s="111" t="s">
        <v>281</v>
      </c>
      <c r="F776" s="79">
        <f t="shared" ref="F776:Z776" si="351">F715</f>
        <v>0</v>
      </c>
      <c r="G776" s="79">
        <f t="shared" si="351"/>
        <v>0</v>
      </c>
      <c r="H776" s="79">
        <f t="shared" si="351"/>
        <v>0</v>
      </c>
      <c r="I776" s="79">
        <f t="shared" si="351"/>
        <v>0</v>
      </c>
      <c r="J776" s="79">
        <f t="shared" si="351"/>
        <v>0</v>
      </c>
      <c r="K776" s="79">
        <f t="shared" si="351"/>
        <v>0</v>
      </c>
      <c r="L776" s="79">
        <f t="shared" si="351"/>
        <v>0</v>
      </c>
      <c r="M776" s="79">
        <f t="shared" si="351"/>
        <v>0</v>
      </c>
      <c r="N776" s="79">
        <f t="shared" si="351"/>
        <v>0</v>
      </c>
      <c r="O776" s="79">
        <f t="shared" si="351"/>
        <v>0</v>
      </c>
      <c r="P776" s="79">
        <f t="shared" si="351"/>
        <v>0</v>
      </c>
      <c r="Q776" s="79">
        <f t="shared" si="351"/>
        <v>0</v>
      </c>
      <c r="R776" s="79">
        <f t="shared" si="351"/>
        <v>0</v>
      </c>
      <c r="S776" s="79">
        <f t="shared" si="351"/>
        <v>0</v>
      </c>
      <c r="T776" s="79">
        <f t="shared" si="351"/>
        <v>0</v>
      </c>
      <c r="U776" s="79">
        <f t="shared" si="351"/>
        <v>0</v>
      </c>
      <c r="V776" s="79">
        <f t="shared" si="351"/>
        <v>0</v>
      </c>
      <c r="W776" s="79">
        <f t="shared" si="351"/>
        <v>0</v>
      </c>
      <c r="X776" s="63">
        <f t="shared" si="351"/>
        <v>0</v>
      </c>
      <c r="Y776" s="63">
        <f t="shared" si="351"/>
        <v>0</v>
      </c>
      <c r="Z776" s="63">
        <f t="shared" si="351"/>
        <v>0</v>
      </c>
      <c r="AA776" s="63">
        <f t="shared" ref="AA776:AA781" si="352">SUM(G776:Z776)</f>
        <v>0</v>
      </c>
      <c r="AB776" s="58" t="str">
        <f t="shared" si="349"/>
        <v>ok</v>
      </c>
    </row>
    <row r="777" spans="1:28" hidden="1">
      <c r="A777" s="68" t="s">
        <v>804</v>
      </c>
      <c r="F777" s="79">
        <f t="shared" ref="F777:Z777" si="353">F716</f>
        <v>0</v>
      </c>
      <c r="G777" s="79">
        <f t="shared" si="353"/>
        <v>0</v>
      </c>
      <c r="H777" s="79">
        <f t="shared" si="353"/>
        <v>0</v>
      </c>
      <c r="I777" s="79">
        <f t="shared" si="353"/>
        <v>0</v>
      </c>
      <c r="J777" s="79">
        <f t="shared" si="353"/>
        <v>0</v>
      </c>
      <c r="K777" s="79">
        <f t="shared" si="353"/>
        <v>0</v>
      </c>
      <c r="L777" s="79">
        <f t="shared" si="353"/>
        <v>0</v>
      </c>
      <c r="M777" s="79">
        <f t="shared" si="353"/>
        <v>0</v>
      </c>
      <c r="N777" s="79">
        <f t="shared" si="353"/>
        <v>0</v>
      </c>
      <c r="O777" s="79">
        <f t="shared" si="353"/>
        <v>0</v>
      </c>
      <c r="P777" s="79">
        <f t="shared" si="353"/>
        <v>0</v>
      </c>
      <c r="Q777" s="79">
        <f t="shared" si="353"/>
        <v>0</v>
      </c>
      <c r="R777" s="79">
        <f t="shared" si="353"/>
        <v>0</v>
      </c>
      <c r="S777" s="79">
        <f t="shared" si="353"/>
        <v>0</v>
      </c>
      <c r="T777" s="79">
        <f t="shared" si="353"/>
        <v>0</v>
      </c>
      <c r="U777" s="79">
        <f t="shared" si="353"/>
        <v>0</v>
      </c>
      <c r="V777" s="79">
        <f t="shared" si="353"/>
        <v>0</v>
      </c>
      <c r="W777" s="79">
        <f t="shared" si="353"/>
        <v>0</v>
      </c>
      <c r="X777" s="63">
        <f t="shared" si="353"/>
        <v>0</v>
      </c>
      <c r="Y777" s="63">
        <f t="shared" si="353"/>
        <v>0</v>
      </c>
      <c r="Z777" s="63">
        <f t="shared" si="353"/>
        <v>0</v>
      </c>
      <c r="AA777" s="63">
        <f t="shared" si="352"/>
        <v>0</v>
      </c>
      <c r="AB777" s="58" t="str">
        <f t="shared" si="349"/>
        <v>ok</v>
      </c>
    </row>
    <row r="778" spans="1:28" hidden="1">
      <c r="A778" s="60" t="s">
        <v>1169</v>
      </c>
      <c r="F778" s="79">
        <f t="shared" ref="F778:Z778" si="354">F717</f>
        <v>0</v>
      </c>
      <c r="G778" s="79">
        <f t="shared" si="354"/>
        <v>0</v>
      </c>
      <c r="H778" s="79">
        <f t="shared" si="354"/>
        <v>0</v>
      </c>
      <c r="I778" s="79">
        <f t="shared" si="354"/>
        <v>0</v>
      </c>
      <c r="J778" s="79">
        <f t="shared" si="354"/>
        <v>0</v>
      </c>
      <c r="K778" s="79">
        <f t="shared" si="354"/>
        <v>0</v>
      </c>
      <c r="L778" s="79">
        <f t="shared" si="354"/>
        <v>0</v>
      </c>
      <c r="M778" s="79">
        <f t="shared" si="354"/>
        <v>0</v>
      </c>
      <c r="N778" s="79">
        <f t="shared" si="354"/>
        <v>0</v>
      </c>
      <c r="O778" s="79">
        <f t="shared" si="354"/>
        <v>0</v>
      </c>
      <c r="P778" s="79">
        <f t="shared" si="354"/>
        <v>0</v>
      </c>
      <c r="Q778" s="79">
        <f t="shared" si="354"/>
        <v>0</v>
      </c>
      <c r="R778" s="79">
        <f t="shared" si="354"/>
        <v>0</v>
      </c>
      <c r="S778" s="79">
        <f t="shared" si="354"/>
        <v>0</v>
      </c>
      <c r="T778" s="79">
        <f t="shared" si="354"/>
        <v>0</v>
      </c>
      <c r="U778" s="79">
        <f t="shared" si="354"/>
        <v>0</v>
      </c>
      <c r="V778" s="79">
        <f t="shared" si="354"/>
        <v>0</v>
      </c>
      <c r="W778" s="79">
        <f t="shared" si="354"/>
        <v>0</v>
      </c>
      <c r="X778" s="63">
        <f t="shared" si="354"/>
        <v>0</v>
      </c>
      <c r="Y778" s="63">
        <f t="shared" si="354"/>
        <v>0</v>
      </c>
      <c r="Z778" s="63">
        <f t="shared" si="354"/>
        <v>0</v>
      </c>
      <c r="AA778" s="63">
        <f t="shared" si="352"/>
        <v>0</v>
      </c>
      <c r="AB778" s="58" t="str">
        <f t="shared" si="349"/>
        <v>ok</v>
      </c>
    </row>
    <row r="779" spans="1:28" hidden="1">
      <c r="A779" s="60" t="s">
        <v>1170</v>
      </c>
      <c r="F779" s="79">
        <f t="shared" ref="F779:W779" si="355">F718</f>
        <v>0</v>
      </c>
      <c r="G779" s="79">
        <f t="shared" si="355"/>
        <v>0</v>
      </c>
      <c r="H779" s="79">
        <f t="shared" si="355"/>
        <v>0</v>
      </c>
      <c r="I779" s="79">
        <f t="shared" si="355"/>
        <v>0</v>
      </c>
      <c r="J779" s="79">
        <f t="shared" si="355"/>
        <v>0</v>
      </c>
      <c r="K779" s="79">
        <f t="shared" si="355"/>
        <v>0</v>
      </c>
      <c r="L779" s="79">
        <f t="shared" si="355"/>
        <v>0</v>
      </c>
      <c r="M779" s="79">
        <f t="shared" si="355"/>
        <v>0</v>
      </c>
      <c r="N779" s="79">
        <f t="shared" si="355"/>
        <v>0</v>
      </c>
      <c r="O779" s="79">
        <f t="shared" si="355"/>
        <v>0</v>
      </c>
      <c r="P779" s="79">
        <f t="shared" si="355"/>
        <v>0</v>
      </c>
      <c r="Q779" s="79">
        <f t="shared" si="355"/>
        <v>0</v>
      </c>
      <c r="R779" s="79">
        <f t="shared" si="355"/>
        <v>0</v>
      </c>
      <c r="S779" s="79">
        <f t="shared" si="355"/>
        <v>0</v>
      </c>
      <c r="T779" s="79">
        <f t="shared" si="355"/>
        <v>0</v>
      </c>
      <c r="U779" s="79">
        <f t="shared" si="355"/>
        <v>0</v>
      </c>
      <c r="V779" s="79">
        <f t="shared" si="355"/>
        <v>0</v>
      </c>
      <c r="W779" s="79">
        <f t="shared" si="355"/>
        <v>0</v>
      </c>
      <c r="X779" s="63"/>
      <c r="Y779" s="63"/>
      <c r="Z779" s="63"/>
      <c r="AA779" s="63">
        <f t="shared" si="352"/>
        <v>0</v>
      </c>
      <c r="AB779" s="58" t="str">
        <f t="shared" si="349"/>
        <v>ok</v>
      </c>
    </row>
    <row r="780" spans="1:28">
      <c r="A780" s="68" t="s">
        <v>726</v>
      </c>
      <c r="E780" s="60" t="s">
        <v>1101</v>
      </c>
      <c r="F780" s="79">
        <f t="shared" ref="F780:W780" si="356">F719</f>
        <v>32529208.918825753</v>
      </c>
      <c r="G780" s="79">
        <f t="shared" si="356"/>
        <v>15821224.614783587</v>
      </c>
      <c r="H780" s="79">
        <f t="shared" si="356"/>
        <v>4128892.9779181606</v>
      </c>
      <c r="I780" s="79">
        <f t="shared" si="356"/>
        <v>0</v>
      </c>
      <c r="J780" s="79">
        <f t="shared" si="356"/>
        <v>305436.67027339508</v>
      </c>
      <c r="K780" s="79">
        <f t="shared" si="356"/>
        <v>3938268.7350952788</v>
      </c>
      <c r="L780" s="79">
        <f t="shared" si="356"/>
        <v>0</v>
      </c>
      <c r="M780" s="79">
        <f t="shared" si="356"/>
        <v>0</v>
      </c>
      <c r="N780" s="79">
        <f t="shared" si="356"/>
        <v>3270855.6150380769</v>
      </c>
      <c r="O780" s="79">
        <f t="shared" si="356"/>
        <v>1955326.1324566021</v>
      </c>
      <c r="P780" s="79">
        <f t="shared" si="356"/>
        <v>1707682.6772375295</v>
      </c>
      <c r="Q780" s="79">
        <f t="shared" si="356"/>
        <v>205732.30099181121</v>
      </c>
      <c r="R780" s="79">
        <f t="shared" si="356"/>
        <v>95401.259794540762</v>
      </c>
      <c r="S780" s="79">
        <f t="shared" si="356"/>
        <v>1089901.8323440109</v>
      </c>
      <c r="T780" s="79">
        <f t="shared" si="356"/>
        <v>4094.6577747313927</v>
      </c>
      <c r="U780" s="79">
        <f t="shared" si="356"/>
        <v>6391.445118027631</v>
      </c>
      <c r="V780" s="79">
        <f t="shared" si="356"/>
        <v>0</v>
      </c>
      <c r="W780" s="79">
        <f t="shared" si="356"/>
        <v>0</v>
      </c>
      <c r="X780" s="63">
        <f>X719</f>
        <v>0</v>
      </c>
      <c r="Y780" s="63">
        <f>Y719</f>
        <v>0</v>
      </c>
      <c r="Z780" s="63">
        <f>Z719</f>
        <v>0</v>
      </c>
      <c r="AA780" s="63">
        <f t="shared" si="352"/>
        <v>32529208.918825749</v>
      </c>
      <c r="AB780" s="58" t="str">
        <f t="shared" si="349"/>
        <v>ok</v>
      </c>
    </row>
    <row r="781" spans="1:28">
      <c r="A781" s="68" t="s">
        <v>727</v>
      </c>
      <c r="F781" s="79">
        <f t="shared" ref="F781:Z781" si="357">F576</f>
        <v>-1002535.0000000001</v>
      </c>
      <c r="G781" s="79">
        <f t="shared" si="357"/>
        <v>-487602.74062498263</v>
      </c>
      <c r="H781" s="79">
        <f t="shared" si="357"/>
        <v>-127250.54986571152</v>
      </c>
      <c r="I781" s="79">
        <f t="shared" si="357"/>
        <v>0</v>
      </c>
      <c r="J781" s="79">
        <f t="shared" si="357"/>
        <v>-9413.4152784552807</v>
      </c>
      <c r="K781" s="79">
        <f t="shared" si="357"/>
        <v>-121375.59988597687</v>
      </c>
      <c r="L781" s="79">
        <f t="shared" si="357"/>
        <v>0</v>
      </c>
      <c r="M781" s="79">
        <f t="shared" si="357"/>
        <v>0</v>
      </c>
      <c r="N781" s="79">
        <f t="shared" si="357"/>
        <v>-100806.23977684391</v>
      </c>
      <c r="O781" s="79">
        <f t="shared" si="357"/>
        <v>-60262.236597702744</v>
      </c>
      <c r="P781" s="79">
        <f t="shared" si="357"/>
        <v>-52629.981168509992</v>
      </c>
      <c r="Q781" s="79">
        <f t="shared" si="357"/>
        <v>-6340.5732641552013</v>
      </c>
      <c r="R781" s="79">
        <f t="shared" si="357"/>
        <v>-2940.2221931308027</v>
      </c>
      <c r="S781" s="79">
        <f t="shared" si="357"/>
        <v>-33590.264559327814</v>
      </c>
      <c r="T781" s="79">
        <f t="shared" si="357"/>
        <v>-126.19543692052756</v>
      </c>
      <c r="U781" s="79">
        <f t="shared" si="357"/>
        <v>-196.98134828275855</v>
      </c>
      <c r="V781" s="79">
        <f t="shared" si="357"/>
        <v>0</v>
      </c>
      <c r="W781" s="79">
        <f t="shared" si="357"/>
        <v>0</v>
      </c>
      <c r="X781" s="63">
        <f t="shared" si="357"/>
        <v>0</v>
      </c>
      <c r="Y781" s="63">
        <f t="shared" si="357"/>
        <v>0</v>
      </c>
      <c r="Z781" s="63">
        <f t="shared" si="357"/>
        <v>0</v>
      </c>
      <c r="AA781" s="63">
        <f t="shared" si="352"/>
        <v>-1002535</v>
      </c>
      <c r="AB781" s="58" t="str">
        <f t="shared" si="349"/>
        <v>ok</v>
      </c>
    </row>
    <row r="782" spans="1:28" hidden="1">
      <c r="A782" s="68" t="s">
        <v>692</v>
      </c>
      <c r="F782" s="79">
        <f t="shared" ref="F782:AA782" si="358">F721</f>
        <v>0</v>
      </c>
      <c r="G782" s="79">
        <f t="shared" si="358"/>
        <v>0</v>
      </c>
      <c r="H782" s="79">
        <f t="shared" si="358"/>
        <v>0</v>
      </c>
      <c r="I782" s="79">
        <f t="shared" si="358"/>
        <v>0</v>
      </c>
      <c r="J782" s="79">
        <f t="shared" si="358"/>
        <v>0</v>
      </c>
      <c r="K782" s="79">
        <f t="shared" si="358"/>
        <v>0</v>
      </c>
      <c r="L782" s="79">
        <f t="shared" si="358"/>
        <v>0</v>
      </c>
      <c r="M782" s="79">
        <f t="shared" si="358"/>
        <v>0</v>
      </c>
      <c r="N782" s="79">
        <f t="shared" si="358"/>
        <v>0</v>
      </c>
      <c r="O782" s="79">
        <f t="shared" si="358"/>
        <v>0</v>
      </c>
      <c r="P782" s="79">
        <f t="shared" si="358"/>
        <v>0</v>
      </c>
      <c r="Q782" s="79">
        <f t="shared" si="358"/>
        <v>0</v>
      </c>
      <c r="R782" s="79">
        <f t="shared" si="358"/>
        <v>0</v>
      </c>
      <c r="S782" s="79">
        <f t="shared" si="358"/>
        <v>0</v>
      </c>
      <c r="T782" s="79">
        <f t="shared" si="358"/>
        <v>0</v>
      </c>
      <c r="U782" s="79">
        <f t="shared" si="358"/>
        <v>0</v>
      </c>
      <c r="V782" s="79">
        <f t="shared" si="358"/>
        <v>0</v>
      </c>
      <c r="W782" s="79">
        <f t="shared" si="358"/>
        <v>0</v>
      </c>
      <c r="X782" s="63">
        <f t="shared" si="358"/>
        <v>0</v>
      </c>
      <c r="Y782" s="63">
        <f t="shared" si="358"/>
        <v>0</v>
      </c>
      <c r="Z782" s="63">
        <f t="shared" si="358"/>
        <v>0</v>
      </c>
      <c r="AA782" s="63">
        <f t="shared" si="358"/>
        <v>0</v>
      </c>
      <c r="AB782" s="58" t="str">
        <f t="shared" si="349"/>
        <v>ok</v>
      </c>
    </row>
    <row r="783" spans="1:28">
      <c r="A783" s="68" t="s">
        <v>206</v>
      </c>
      <c r="E783" s="60" t="s">
        <v>839</v>
      </c>
      <c r="F783" s="79">
        <f>F722</f>
        <v>48157086</v>
      </c>
      <c r="G783" s="79">
        <f t="shared" ref="G783:Z783" si="359">IF(VLOOKUP($E783,$D$6:$AN$1131,3,)=0,0,(VLOOKUP($E783,$D$6:$AN$1131,G$2,)/VLOOKUP($E783,$D$6:$AN$1131,3,))*$F783)</f>
        <v>2454365.8478702004</v>
      </c>
      <c r="H783" s="79">
        <f t="shared" si="359"/>
        <v>12349410.109264264</v>
      </c>
      <c r="I783" s="79">
        <f t="shared" si="359"/>
        <v>0</v>
      </c>
      <c r="J783" s="79">
        <f t="shared" si="359"/>
        <v>735616.09768018348</v>
      </c>
      <c r="K783" s="79">
        <f t="shared" si="359"/>
        <v>14648899.114665983</v>
      </c>
      <c r="L783" s="79">
        <f t="shared" si="359"/>
        <v>0</v>
      </c>
      <c r="M783" s="79">
        <f t="shared" si="359"/>
        <v>0</v>
      </c>
      <c r="N783" s="79">
        <f t="shared" si="359"/>
        <v>4262624.3464543009</v>
      </c>
      <c r="O783" s="79">
        <f t="shared" si="359"/>
        <v>10678692.024761964</v>
      </c>
      <c r="P783" s="79">
        <f t="shared" si="359"/>
        <v>1203148.0501365161</v>
      </c>
      <c r="Q783" s="79">
        <f t="shared" si="359"/>
        <v>-75916.86856010824</v>
      </c>
      <c r="R783" s="79">
        <f t="shared" si="359"/>
        <v>8612.647665870245</v>
      </c>
      <c r="S783" s="79">
        <f t="shared" si="359"/>
        <v>1856801.0492854789</v>
      </c>
      <c r="T783" s="79">
        <f t="shared" si="359"/>
        <v>14740.189371502422</v>
      </c>
      <c r="U783" s="79">
        <f t="shared" si="359"/>
        <v>20093.391403856331</v>
      </c>
      <c r="V783" s="79">
        <f t="shared" si="359"/>
        <v>0</v>
      </c>
      <c r="W783" s="79">
        <f t="shared" si="359"/>
        <v>0</v>
      </c>
      <c r="X783" s="63">
        <f t="shared" si="359"/>
        <v>0</v>
      </c>
      <c r="Y783" s="63">
        <f t="shared" si="359"/>
        <v>0</v>
      </c>
      <c r="Z783" s="63">
        <f t="shared" si="359"/>
        <v>0</v>
      </c>
      <c r="AA783" s="63">
        <f>SUM(G783:Z783)</f>
        <v>48157086.000000007</v>
      </c>
      <c r="AB783" s="58" t="str">
        <f t="shared" si="349"/>
        <v>ok</v>
      </c>
    </row>
    <row r="784" spans="1:28">
      <c r="A784" s="68" t="s">
        <v>699</v>
      </c>
      <c r="F784" s="79">
        <f>F723</f>
        <v>0</v>
      </c>
      <c r="G784" s="79">
        <f t="shared" ref="G784:L784" si="360">G1102</f>
        <v>0</v>
      </c>
      <c r="H784" s="79">
        <f t="shared" si="360"/>
        <v>0</v>
      </c>
      <c r="I784" s="79">
        <f t="shared" si="360"/>
        <v>0</v>
      </c>
      <c r="J784" s="79">
        <f t="shared" si="360"/>
        <v>0</v>
      </c>
      <c r="K784" s="79">
        <f t="shared" si="360"/>
        <v>0</v>
      </c>
      <c r="L784" s="79">
        <f t="shared" si="360"/>
        <v>0</v>
      </c>
      <c r="M784" s="79">
        <f>-M1102</f>
        <v>0</v>
      </c>
      <c r="N784" s="79">
        <f>N1102</f>
        <v>0</v>
      </c>
      <c r="O784" s="79">
        <f>-O1102</f>
        <v>0</v>
      </c>
      <c r="P784" s="79">
        <v>0</v>
      </c>
      <c r="Q784" s="79">
        <f t="shared" ref="Q784:Z784" si="361">Q1102</f>
        <v>0</v>
      </c>
      <c r="R784" s="79">
        <f t="shared" si="361"/>
        <v>0</v>
      </c>
      <c r="S784" s="79">
        <f t="shared" si="361"/>
        <v>0</v>
      </c>
      <c r="T784" s="79">
        <f t="shared" si="361"/>
        <v>0</v>
      </c>
      <c r="U784" s="79">
        <f t="shared" si="361"/>
        <v>0</v>
      </c>
      <c r="V784" s="79">
        <f t="shared" si="361"/>
        <v>0</v>
      </c>
      <c r="W784" s="79">
        <f t="shared" si="361"/>
        <v>0</v>
      </c>
      <c r="X784" s="63">
        <f t="shared" si="361"/>
        <v>0</v>
      </c>
      <c r="Y784" s="63">
        <f t="shared" si="361"/>
        <v>0</v>
      </c>
      <c r="Z784" s="63">
        <f t="shared" si="361"/>
        <v>0</v>
      </c>
      <c r="AA784" s="63">
        <f>SUM(G784:Z784)</f>
        <v>0</v>
      </c>
      <c r="AB784" s="58" t="str">
        <f t="shared" si="349"/>
        <v>ok</v>
      </c>
    </row>
    <row r="785" spans="1:28">
      <c r="A785" s="68" t="s">
        <v>700</v>
      </c>
      <c r="E785" s="60" t="s">
        <v>701</v>
      </c>
      <c r="F785" s="79">
        <f>F724</f>
        <v>0</v>
      </c>
      <c r="G785" s="79">
        <f t="shared" ref="G785:Z785" si="362">IF(VLOOKUP($E785,$D$6:$AN$1131,3,)=0,0,(VLOOKUP($E785,$D$6:$AN$1131,G$2,)/VLOOKUP($E785,$D$6:$AN$1131,3,))*$F785)</f>
        <v>0</v>
      </c>
      <c r="H785" s="79">
        <f t="shared" si="362"/>
        <v>0</v>
      </c>
      <c r="I785" s="79">
        <f t="shared" si="362"/>
        <v>0</v>
      </c>
      <c r="J785" s="79">
        <f t="shared" si="362"/>
        <v>0</v>
      </c>
      <c r="K785" s="79">
        <f t="shared" si="362"/>
        <v>0</v>
      </c>
      <c r="L785" s="79">
        <f t="shared" si="362"/>
        <v>0</v>
      </c>
      <c r="M785" s="79">
        <f t="shared" si="362"/>
        <v>0</v>
      </c>
      <c r="N785" s="79">
        <f t="shared" si="362"/>
        <v>0</v>
      </c>
      <c r="O785" s="79">
        <f t="shared" si="362"/>
        <v>0</v>
      </c>
      <c r="P785" s="79">
        <f t="shared" si="362"/>
        <v>0</v>
      </c>
      <c r="Q785" s="79">
        <f t="shared" si="362"/>
        <v>0</v>
      </c>
      <c r="R785" s="79">
        <f t="shared" si="362"/>
        <v>0</v>
      </c>
      <c r="S785" s="79">
        <f t="shared" si="362"/>
        <v>0</v>
      </c>
      <c r="T785" s="79">
        <f t="shared" si="362"/>
        <v>0</v>
      </c>
      <c r="U785" s="79">
        <f t="shared" si="362"/>
        <v>0</v>
      </c>
      <c r="V785" s="79">
        <f t="shared" si="362"/>
        <v>0</v>
      </c>
      <c r="W785" s="79">
        <f t="shared" si="362"/>
        <v>0</v>
      </c>
      <c r="X785" s="63">
        <f t="shared" si="362"/>
        <v>0</v>
      </c>
      <c r="Y785" s="63">
        <f t="shared" si="362"/>
        <v>0</v>
      </c>
      <c r="Z785" s="63">
        <f t="shared" si="362"/>
        <v>0</v>
      </c>
      <c r="AA785" s="63">
        <f>SUM(G785:Z785)</f>
        <v>0</v>
      </c>
      <c r="AB785" s="58" t="str">
        <f t="shared" si="349"/>
        <v>ok</v>
      </c>
    </row>
    <row r="786" spans="1:28">
      <c r="A786" s="68"/>
      <c r="D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63"/>
      <c r="Y786" s="63"/>
      <c r="Z786" s="63"/>
      <c r="AA786" s="63"/>
      <c r="AB786" s="58"/>
    </row>
    <row r="787" spans="1:28">
      <c r="A787" s="60" t="s">
        <v>207</v>
      </c>
      <c r="AA787" s="64"/>
      <c r="AB787" s="58"/>
    </row>
    <row r="788" spans="1:28" s="60" customFormat="1" hidden="1">
      <c r="B788" s="60" t="s">
        <v>688</v>
      </c>
      <c r="E788" s="60" t="s">
        <v>930</v>
      </c>
      <c r="F788" s="288"/>
      <c r="G788" s="76">
        <f t="shared" ref="G788:P797" si="363">IF(VLOOKUP($E788,$D$6:$AN$1131,3,)=0,0,(VLOOKUP($E788,$D$6:$AN$1131,G$2,)/VLOOKUP($E788,$D$6:$AN$1131,3,))*$F788)</f>
        <v>0</v>
      </c>
      <c r="H788" s="76">
        <f t="shared" si="363"/>
        <v>0</v>
      </c>
      <c r="I788" s="76">
        <f t="shared" si="363"/>
        <v>0</v>
      </c>
      <c r="J788" s="76">
        <f t="shared" si="363"/>
        <v>0</v>
      </c>
      <c r="K788" s="76">
        <f t="shared" si="363"/>
        <v>0</v>
      </c>
      <c r="L788" s="76">
        <f t="shared" si="363"/>
        <v>0</v>
      </c>
      <c r="M788" s="76">
        <f t="shared" si="363"/>
        <v>0</v>
      </c>
      <c r="N788" s="76">
        <f t="shared" si="363"/>
        <v>0</v>
      </c>
      <c r="O788" s="76">
        <f t="shared" si="363"/>
        <v>0</v>
      </c>
      <c r="P788" s="76">
        <f t="shared" si="363"/>
        <v>0</v>
      </c>
      <c r="Q788" s="76">
        <f t="shared" ref="Q788:Z797" si="364">IF(VLOOKUP($E788,$D$6:$AN$1131,3,)=0,0,(VLOOKUP($E788,$D$6:$AN$1131,Q$2,)/VLOOKUP($E788,$D$6:$AN$1131,3,))*$F788)</f>
        <v>0</v>
      </c>
      <c r="R788" s="76">
        <f t="shared" si="364"/>
        <v>0</v>
      </c>
      <c r="S788" s="76">
        <f t="shared" si="364"/>
        <v>0</v>
      </c>
      <c r="T788" s="76">
        <f t="shared" si="364"/>
        <v>0</v>
      </c>
      <c r="U788" s="76">
        <f t="shared" si="364"/>
        <v>0</v>
      </c>
      <c r="V788" s="76">
        <f t="shared" si="364"/>
        <v>0</v>
      </c>
      <c r="W788" s="76">
        <f t="shared" si="364"/>
        <v>0</v>
      </c>
      <c r="X788" s="79">
        <f t="shared" si="364"/>
        <v>0</v>
      </c>
      <c r="Y788" s="79">
        <f t="shared" si="364"/>
        <v>0</v>
      </c>
      <c r="Z788" s="79">
        <f t="shared" si="364"/>
        <v>0</v>
      </c>
      <c r="AA788" s="80">
        <f>SUM(G788:Z788)</f>
        <v>0</v>
      </c>
      <c r="AB788" s="93" t="str">
        <f t="shared" ref="AB788:AB819" si="365">IF(ABS(F788-AA788)&lt;0.01,"ok","err")</f>
        <v>ok</v>
      </c>
    </row>
    <row r="789" spans="1:28" s="60" customFormat="1" hidden="1">
      <c r="B789" s="60" t="s">
        <v>689</v>
      </c>
      <c r="E789" s="60" t="s">
        <v>693</v>
      </c>
      <c r="F789" s="284"/>
      <c r="G789" s="79">
        <f t="shared" si="363"/>
        <v>0</v>
      </c>
      <c r="H789" s="79">
        <f t="shared" si="363"/>
        <v>0</v>
      </c>
      <c r="I789" s="79">
        <f t="shared" si="363"/>
        <v>0</v>
      </c>
      <c r="J789" s="79">
        <f t="shared" si="363"/>
        <v>0</v>
      </c>
      <c r="K789" s="79">
        <f t="shared" si="363"/>
        <v>0</v>
      </c>
      <c r="L789" s="79">
        <f t="shared" si="363"/>
        <v>0</v>
      </c>
      <c r="M789" s="79">
        <f t="shared" si="363"/>
        <v>0</v>
      </c>
      <c r="N789" s="79">
        <f t="shared" si="363"/>
        <v>0</v>
      </c>
      <c r="O789" s="79">
        <f t="shared" si="363"/>
        <v>0</v>
      </c>
      <c r="P789" s="79">
        <f t="shared" si="363"/>
        <v>0</v>
      </c>
      <c r="Q789" s="79">
        <f t="shared" si="364"/>
        <v>0</v>
      </c>
      <c r="R789" s="79">
        <f t="shared" si="364"/>
        <v>0</v>
      </c>
      <c r="S789" s="79">
        <f t="shared" si="364"/>
        <v>0</v>
      </c>
      <c r="T789" s="79">
        <f t="shared" si="364"/>
        <v>0</v>
      </c>
      <c r="U789" s="79">
        <f t="shared" si="364"/>
        <v>0</v>
      </c>
      <c r="V789" s="79">
        <f t="shared" si="364"/>
        <v>0</v>
      </c>
      <c r="W789" s="79">
        <f t="shared" si="364"/>
        <v>0</v>
      </c>
      <c r="X789" s="79">
        <f t="shared" si="364"/>
        <v>0</v>
      </c>
      <c r="Y789" s="79">
        <f t="shared" si="364"/>
        <v>0</v>
      </c>
      <c r="Z789" s="79">
        <f t="shared" si="364"/>
        <v>0</v>
      </c>
      <c r="AA789" s="79">
        <f t="shared" ref="AA789:AA818" si="366">SUM(G789:Z789)</f>
        <v>0</v>
      </c>
      <c r="AB789" s="93" t="str">
        <f t="shared" si="365"/>
        <v>ok</v>
      </c>
    </row>
    <row r="790" spans="1:28" s="60" customFormat="1" hidden="1">
      <c r="B790" s="60" t="s">
        <v>280</v>
      </c>
      <c r="E790" s="60" t="s">
        <v>1246</v>
      </c>
      <c r="F790" s="284"/>
      <c r="G790" s="79">
        <f t="shared" si="363"/>
        <v>0</v>
      </c>
      <c r="H790" s="79">
        <f t="shared" si="363"/>
        <v>0</v>
      </c>
      <c r="I790" s="79">
        <f t="shared" si="363"/>
        <v>0</v>
      </c>
      <c r="J790" s="79">
        <f t="shared" si="363"/>
        <v>0</v>
      </c>
      <c r="K790" s="79">
        <f t="shared" si="363"/>
        <v>0</v>
      </c>
      <c r="L790" s="79">
        <f t="shared" si="363"/>
        <v>0</v>
      </c>
      <c r="M790" s="79">
        <f t="shared" si="363"/>
        <v>0</v>
      </c>
      <c r="N790" s="79">
        <f t="shared" si="363"/>
        <v>0</v>
      </c>
      <c r="O790" s="79">
        <f t="shared" si="363"/>
        <v>0</v>
      </c>
      <c r="P790" s="79">
        <f t="shared" si="363"/>
        <v>0</v>
      </c>
      <c r="Q790" s="79">
        <f t="shared" si="364"/>
        <v>0</v>
      </c>
      <c r="R790" s="79">
        <f t="shared" si="364"/>
        <v>0</v>
      </c>
      <c r="S790" s="79">
        <f t="shared" si="364"/>
        <v>0</v>
      </c>
      <c r="T790" s="79">
        <f t="shared" si="364"/>
        <v>0</v>
      </c>
      <c r="U790" s="79">
        <f t="shared" si="364"/>
        <v>0</v>
      </c>
      <c r="V790" s="79">
        <f t="shared" si="364"/>
        <v>0</v>
      </c>
      <c r="W790" s="79">
        <f t="shared" si="364"/>
        <v>0</v>
      </c>
      <c r="X790" s="79">
        <f t="shared" si="364"/>
        <v>0</v>
      </c>
      <c r="Y790" s="79">
        <f t="shared" si="364"/>
        <v>0</v>
      </c>
      <c r="Z790" s="79">
        <f t="shared" si="364"/>
        <v>0</v>
      </c>
      <c r="AA790" s="79">
        <f>SUM(G790:Z790)</f>
        <v>0</v>
      </c>
      <c r="AB790" s="93" t="str">
        <f t="shared" si="365"/>
        <v>ok</v>
      </c>
    </row>
    <row r="791" spans="1:28" s="60" customFormat="1" hidden="1">
      <c r="B791" s="60" t="s">
        <v>690</v>
      </c>
      <c r="E791" s="60" t="s">
        <v>930</v>
      </c>
      <c r="F791" s="284"/>
      <c r="G791" s="79">
        <f t="shared" si="363"/>
        <v>0</v>
      </c>
      <c r="H791" s="79">
        <f t="shared" si="363"/>
        <v>0</v>
      </c>
      <c r="I791" s="79">
        <f t="shared" si="363"/>
        <v>0</v>
      </c>
      <c r="J791" s="79">
        <f t="shared" si="363"/>
        <v>0</v>
      </c>
      <c r="K791" s="79">
        <f t="shared" si="363"/>
        <v>0</v>
      </c>
      <c r="L791" s="79">
        <f t="shared" si="363"/>
        <v>0</v>
      </c>
      <c r="M791" s="79">
        <f t="shared" si="363"/>
        <v>0</v>
      </c>
      <c r="N791" s="79">
        <f t="shared" si="363"/>
        <v>0</v>
      </c>
      <c r="O791" s="79">
        <f t="shared" si="363"/>
        <v>0</v>
      </c>
      <c r="P791" s="79">
        <f t="shared" si="363"/>
        <v>0</v>
      </c>
      <c r="Q791" s="79">
        <f t="shared" si="364"/>
        <v>0</v>
      </c>
      <c r="R791" s="79">
        <f t="shared" si="364"/>
        <v>0</v>
      </c>
      <c r="S791" s="79">
        <f t="shared" si="364"/>
        <v>0</v>
      </c>
      <c r="T791" s="79">
        <f t="shared" si="364"/>
        <v>0</v>
      </c>
      <c r="U791" s="79">
        <f t="shared" si="364"/>
        <v>0</v>
      </c>
      <c r="V791" s="79">
        <f t="shared" si="364"/>
        <v>0</v>
      </c>
      <c r="W791" s="79">
        <f t="shared" si="364"/>
        <v>0</v>
      </c>
      <c r="X791" s="79">
        <f t="shared" si="364"/>
        <v>0</v>
      </c>
      <c r="Y791" s="79">
        <f t="shared" si="364"/>
        <v>0</v>
      </c>
      <c r="Z791" s="79">
        <f t="shared" si="364"/>
        <v>0</v>
      </c>
      <c r="AA791" s="79">
        <f t="shared" si="366"/>
        <v>0</v>
      </c>
      <c r="AB791" s="93" t="str">
        <f t="shared" si="365"/>
        <v>ok</v>
      </c>
    </row>
    <row r="792" spans="1:28" s="60" customFormat="1" hidden="1">
      <c r="B792" s="60" t="s">
        <v>1302</v>
      </c>
      <c r="E792" s="60" t="s">
        <v>1245</v>
      </c>
      <c r="F792" s="284"/>
      <c r="G792" s="79">
        <f t="shared" si="363"/>
        <v>0</v>
      </c>
      <c r="H792" s="79">
        <f t="shared" si="363"/>
        <v>0</v>
      </c>
      <c r="I792" s="79">
        <f t="shared" si="363"/>
        <v>0</v>
      </c>
      <c r="J792" s="79">
        <f t="shared" si="363"/>
        <v>0</v>
      </c>
      <c r="K792" s="79">
        <f t="shared" si="363"/>
        <v>0</v>
      </c>
      <c r="L792" s="79">
        <f t="shared" si="363"/>
        <v>0</v>
      </c>
      <c r="M792" s="79">
        <f t="shared" si="363"/>
        <v>0</v>
      </c>
      <c r="N792" s="79">
        <f t="shared" si="363"/>
        <v>0</v>
      </c>
      <c r="O792" s="79">
        <f t="shared" si="363"/>
        <v>0</v>
      </c>
      <c r="P792" s="79">
        <f t="shared" si="363"/>
        <v>0</v>
      </c>
      <c r="Q792" s="79">
        <f t="shared" si="364"/>
        <v>0</v>
      </c>
      <c r="R792" s="79">
        <f t="shared" si="364"/>
        <v>0</v>
      </c>
      <c r="S792" s="79">
        <f t="shared" si="364"/>
        <v>0</v>
      </c>
      <c r="T792" s="79">
        <f t="shared" si="364"/>
        <v>0</v>
      </c>
      <c r="U792" s="79">
        <f t="shared" si="364"/>
        <v>0</v>
      </c>
      <c r="V792" s="79">
        <f t="shared" si="364"/>
        <v>0</v>
      </c>
      <c r="W792" s="79">
        <f t="shared" si="364"/>
        <v>0</v>
      </c>
      <c r="X792" s="79">
        <f t="shared" si="364"/>
        <v>0</v>
      </c>
      <c r="Y792" s="79">
        <f t="shared" si="364"/>
        <v>0</v>
      </c>
      <c r="Z792" s="79">
        <f t="shared" si="364"/>
        <v>0</v>
      </c>
      <c r="AA792" s="79">
        <f>SUM(G792:Z792)</f>
        <v>0</v>
      </c>
      <c r="AB792" s="93" t="str">
        <f>IF(ABS(F792-AA792)&lt;0.01,"ok","err")</f>
        <v>ok</v>
      </c>
    </row>
    <row r="793" spans="1:28" s="60" customFormat="1" hidden="1">
      <c r="B793" s="60" t="s">
        <v>1267</v>
      </c>
      <c r="E793" s="60" t="s">
        <v>874</v>
      </c>
      <c r="F793" s="284"/>
      <c r="G793" s="79">
        <f t="shared" si="363"/>
        <v>0</v>
      </c>
      <c r="H793" s="79">
        <f t="shared" si="363"/>
        <v>0</v>
      </c>
      <c r="I793" s="79">
        <f t="shared" si="363"/>
        <v>0</v>
      </c>
      <c r="J793" s="79">
        <f t="shared" si="363"/>
        <v>0</v>
      </c>
      <c r="K793" s="79">
        <f t="shared" si="363"/>
        <v>0</v>
      </c>
      <c r="L793" s="79">
        <f t="shared" si="363"/>
        <v>0</v>
      </c>
      <c r="M793" s="79">
        <f t="shared" si="363"/>
        <v>0</v>
      </c>
      <c r="N793" s="79">
        <f t="shared" si="363"/>
        <v>0</v>
      </c>
      <c r="O793" s="79">
        <f t="shared" si="363"/>
        <v>0</v>
      </c>
      <c r="P793" s="79">
        <f t="shared" si="363"/>
        <v>0</v>
      </c>
      <c r="Q793" s="79">
        <f t="shared" si="364"/>
        <v>0</v>
      </c>
      <c r="R793" s="79">
        <f t="shared" si="364"/>
        <v>0</v>
      </c>
      <c r="S793" s="79">
        <f t="shared" si="364"/>
        <v>0</v>
      </c>
      <c r="T793" s="79">
        <f t="shared" si="364"/>
        <v>0</v>
      </c>
      <c r="U793" s="79">
        <f t="shared" si="364"/>
        <v>0</v>
      </c>
      <c r="V793" s="79">
        <f t="shared" si="364"/>
        <v>0</v>
      </c>
      <c r="W793" s="79">
        <f t="shared" si="364"/>
        <v>0</v>
      </c>
      <c r="X793" s="79">
        <f t="shared" si="364"/>
        <v>0</v>
      </c>
      <c r="Y793" s="79">
        <f t="shared" si="364"/>
        <v>0</v>
      </c>
      <c r="Z793" s="79">
        <f t="shared" si="364"/>
        <v>0</v>
      </c>
      <c r="AA793" s="79">
        <f t="shared" si="366"/>
        <v>0</v>
      </c>
      <c r="AB793" s="93" t="str">
        <f t="shared" si="365"/>
        <v>ok</v>
      </c>
    </row>
    <row r="794" spans="1:28" s="60" customFormat="1" hidden="1">
      <c r="B794" s="60" t="s">
        <v>1264</v>
      </c>
      <c r="E794" s="60" t="s">
        <v>873</v>
      </c>
      <c r="F794" s="284"/>
      <c r="G794" s="79">
        <f t="shared" si="363"/>
        <v>0</v>
      </c>
      <c r="H794" s="79">
        <f t="shared" si="363"/>
        <v>0</v>
      </c>
      <c r="I794" s="79">
        <f t="shared" si="363"/>
        <v>0</v>
      </c>
      <c r="J794" s="79">
        <f t="shared" si="363"/>
        <v>0</v>
      </c>
      <c r="K794" s="79">
        <f t="shared" si="363"/>
        <v>0</v>
      </c>
      <c r="L794" s="79">
        <f t="shared" si="363"/>
        <v>0</v>
      </c>
      <c r="M794" s="79">
        <f t="shared" si="363"/>
        <v>0</v>
      </c>
      <c r="N794" s="79">
        <f t="shared" si="363"/>
        <v>0</v>
      </c>
      <c r="O794" s="79">
        <f t="shared" si="363"/>
        <v>0</v>
      </c>
      <c r="P794" s="79">
        <f t="shared" si="363"/>
        <v>0</v>
      </c>
      <c r="Q794" s="79">
        <f t="shared" si="364"/>
        <v>0</v>
      </c>
      <c r="R794" s="79">
        <f t="shared" si="364"/>
        <v>0</v>
      </c>
      <c r="S794" s="79">
        <f t="shared" si="364"/>
        <v>0</v>
      </c>
      <c r="T794" s="79">
        <f t="shared" si="364"/>
        <v>0</v>
      </c>
      <c r="U794" s="79">
        <f t="shared" si="364"/>
        <v>0</v>
      </c>
      <c r="V794" s="79">
        <f t="shared" si="364"/>
        <v>0</v>
      </c>
      <c r="W794" s="79">
        <f t="shared" si="364"/>
        <v>0</v>
      </c>
      <c r="X794" s="79">
        <f t="shared" si="364"/>
        <v>0</v>
      </c>
      <c r="Y794" s="79">
        <f t="shared" si="364"/>
        <v>0</v>
      </c>
      <c r="Z794" s="79">
        <f t="shared" si="364"/>
        <v>0</v>
      </c>
      <c r="AA794" s="79">
        <f t="shared" si="366"/>
        <v>0</v>
      </c>
      <c r="AB794" s="93" t="str">
        <f t="shared" si="365"/>
        <v>ok</v>
      </c>
    </row>
    <row r="795" spans="1:28" s="60" customFormat="1" hidden="1">
      <c r="B795" s="60" t="s">
        <v>1265</v>
      </c>
      <c r="E795" s="60" t="s">
        <v>532</v>
      </c>
      <c r="F795" s="284"/>
      <c r="G795" s="79">
        <f t="shared" si="363"/>
        <v>0</v>
      </c>
      <c r="H795" s="79">
        <f t="shared" si="363"/>
        <v>0</v>
      </c>
      <c r="I795" s="79">
        <f t="shared" si="363"/>
        <v>0</v>
      </c>
      <c r="J795" s="79">
        <f t="shared" si="363"/>
        <v>0</v>
      </c>
      <c r="K795" s="79">
        <f t="shared" si="363"/>
        <v>0</v>
      </c>
      <c r="L795" s="79">
        <f t="shared" si="363"/>
        <v>0</v>
      </c>
      <c r="M795" s="79">
        <f t="shared" si="363"/>
        <v>0</v>
      </c>
      <c r="N795" s="79">
        <f t="shared" si="363"/>
        <v>0</v>
      </c>
      <c r="O795" s="79">
        <f t="shared" si="363"/>
        <v>0</v>
      </c>
      <c r="P795" s="79">
        <f t="shared" si="363"/>
        <v>0</v>
      </c>
      <c r="Q795" s="79">
        <f t="shared" si="364"/>
        <v>0</v>
      </c>
      <c r="R795" s="79">
        <f t="shared" si="364"/>
        <v>0</v>
      </c>
      <c r="S795" s="79">
        <f t="shared" si="364"/>
        <v>0</v>
      </c>
      <c r="T795" s="79">
        <f t="shared" si="364"/>
        <v>0</v>
      </c>
      <c r="U795" s="79">
        <f t="shared" si="364"/>
        <v>0</v>
      </c>
      <c r="V795" s="79">
        <f t="shared" si="364"/>
        <v>0</v>
      </c>
      <c r="W795" s="79">
        <f t="shared" si="364"/>
        <v>0</v>
      </c>
      <c r="X795" s="79">
        <f t="shared" si="364"/>
        <v>0</v>
      </c>
      <c r="Y795" s="79">
        <f t="shared" si="364"/>
        <v>0</v>
      </c>
      <c r="Z795" s="79">
        <f t="shared" si="364"/>
        <v>0</v>
      </c>
      <c r="AA795" s="79">
        <f t="shared" si="366"/>
        <v>0</v>
      </c>
      <c r="AB795" s="93" t="str">
        <f t="shared" si="365"/>
        <v>ok</v>
      </c>
    </row>
    <row r="796" spans="1:28" s="60" customFormat="1" hidden="1">
      <c r="B796" s="60" t="s">
        <v>1269</v>
      </c>
      <c r="E796" s="60" t="s">
        <v>1108</v>
      </c>
      <c r="F796" s="284"/>
      <c r="G796" s="79">
        <f t="shared" si="363"/>
        <v>0</v>
      </c>
      <c r="H796" s="79">
        <f t="shared" si="363"/>
        <v>0</v>
      </c>
      <c r="I796" s="79">
        <f t="shared" si="363"/>
        <v>0</v>
      </c>
      <c r="J796" s="79">
        <f t="shared" si="363"/>
        <v>0</v>
      </c>
      <c r="K796" s="79">
        <f t="shared" si="363"/>
        <v>0</v>
      </c>
      <c r="L796" s="79">
        <f t="shared" si="363"/>
        <v>0</v>
      </c>
      <c r="M796" s="79">
        <f t="shared" si="363"/>
        <v>0</v>
      </c>
      <c r="N796" s="79">
        <f t="shared" si="363"/>
        <v>0</v>
      </c>
      <c r="O796" s="79">
        <f t="shared" si="363"/>
        <v>0</v>
      </c>
      <c r="P796" s="79">
        <f t="shared" si="363"/>
        <v>0</v>
      </c>
      <c r="Q796" s="79">
        <f t="shared" si="364"/>
        <v>0</v>
      </c>
      <c r="R796" s="79">
        <f t="shared" si="364"/>
        <v>0</v>
      </c>
      <c r="S796" s="79">
        <f t="shared" si="364"/>
        <v>0</v>
      </c>
      <c r="T796" s="79">
        <f t="shared" si="364"/>
        <v>0</v>
      </c>
      <c r="U796" s="79">
        <f t="shared" si="364"/>
        <v>0</v>
      </c>
      <c r="V796" s="79">
        <f t="shared" si="364"/>
        <v>0</v>
      </c>
      <c r="W796" s="79">
        <f t="shared" si="364"/>
        <v>0</v>
      </c>
      <c r="X796" s="79">
        <f t="shared" si="364"/>
        <v>0</v>
      </c>
      <c r="Y796" s="79">
        <f t="shared" si="364"/>
        <v>0</v>
      </c>
      <c r="Z796" s="79">
        <f t="shared" si="364"/>
        <v>0</v>
      </c>
      <c r="AA796" s="79">
        <f t="shared" si="366"/>
        <v>0</v>
      </c>
      <c r="AB796" s="93" t="str">
        <f t="shared" si="365"/>
        <v>ok</v>
      </c>
    </row>
    <row r="797" spans="1:28" s="60" customFormat="1" hidden="1">
      <c r="B797" s="60" t="s">
        <v>1266</v>
      </c>
      <c r="E797" s="60" t="s">
        <v>1108</v>
      </c>
      <c r="F797" s="284"/>
      <c r="G797" s="79">
        <f t="shared" si="363"/>
        <v>0</v>
      </c>
      <c r="H797" s="79">
        <f t="shared" si="363"/>
        <v>0</v>
      </c>
      <c r="I797" s="79">
        <f t="shared" si="363"/>
        <v>0</v>
      </c>
      <c r="J797" s="79">
        <f t="shared" si="363"/>
        <v>0</v>
      </c>
      <c r="K797" s="79">
        <f t="shared" si="363"/>
        <v>0</v>
      </c>
      <c r="L797" s="79">
        <f t="shared" si="363"/>
        <v>0</v>
      </c>
      <c r="M797" s="79">
        <f t="shared" si="363"/>
        <v>0</v>
      </c>
      <c r="N797" s="79">
        <f t="shared" si="363"/>
        <v>0</v>
      </c>
      <c r="O797" s="79">
        <f t="shared" si="363"/>
        <v>0</v>
      </c>
      <c r="P797" s="79">
        <f t="shared" si="363"/>
        <v>0</v>
      </c>
      <c r="Q797" s="79">
        <f t="shared" si="364"/>
        <v>0</v>
      </c>
      <c r="R797" s="79">
        <f t="shared" si="364"/>
        <v>0</v>
      </c>
      <c r="S797" s="79">
        <f t="shared" si="364"/>
        <v>0</v>
      </c>
      <c r="T797" s="79">
        <f t="shared" si="364"/>
        <v>0</v>
      </c>
      <c r="U797" s="79">
        <f t="shared" si="364"/>
        <v>0</v>
      </c>
      <c r="V797" s="79">
        <f t="shared" si="364"/>
        <v>0</v>
      </c>
      <c r="W797" s="79">
        <f t="shared" si="364"/>
        <v>0</v>
      </c>
      <c r="X797" s="79">
        <f t="shared" si="364"/>
        <v>0</v>
      </c>
      <c r="Y797" s="79">
        <f t="shared" si="364"/>
        <v>0</v>
      </c>
      <c r="Z797" s="79">
        <f t="shared" si="364"/>
        <v>0</v>
      </c>
      <c r="AA797" s="79">
        <f t="shared" si="366"/>
        <v>0</v>
      </c>
      <c r="AB797" s="93" t="str">
        <f t="shared" si="365"/>
        <v>ok</v>
      </c>
    </row>
    <row r="798" spans="1:28" s="60" customFormat="1" hidden="1">
      <c r="B798" s="60" t="s">
        <v>1268</v>
      </c>
      <c r="E798" s="60" t="s">
        <v>422</v>
      </c>
      <c r="F798" s="79">
        <v>0</v>
      </c>
      <c r="G798" s="79">
        <f t="shared" ref="G798:P807" si="367">IF(VLOOKUP($E798,$D$6:$AN$1131,3,)=0,0,(VLOOKUP($E798,$D$6:$AN$1131,G$2,)/VLOOKUP($E798,$D$6:$AN$1131,3,))*$F798)</f>
        <v>0</v>
      </c>
      <c r="H798" s="79">
        <f t="shared" si="367"/>
        <v>0</v>
      </c>
      <c r="I798" s="79">
        <f t="shared" si="367"/>
        <v>0</v>
      </c>
      <c r="J798" s="79">
        <f t="shared" si="367"/>
        <v>0</v>
      </c>
      <c r="K798" s="79">
        <f t="shared" si="367"/>
        <v>0</v>
      </c>
      <c r="L798" s="79">
        <f t="shared" si="367"/>
        <v>0</v>
      </c>
      <c r="M798" s="79">
        <f t="shared" si="367"/>
        <v>0</v>
      </c>
      <c r="N798" s="79">
        <f t="shared" si="367"/>
        <v>0</v>
      </c>
      <c r="O798" s="79">
        <f t="shared" si="367"/>
        <v>0</v>
      </c>
      <c r="P798" s="79">
        <f t="shared" si="367"/>
        <v>0</v>
      </c>
      <c r="Q798" s="79">
        <f t="shared" ref="Q798:Z807" si="368">IF(VLOOKUP($E798,$D$6:$AN$1131,3,)=0,0,(VLOOKUP($E798,$D$6:$AN$1131,Q$2,)/VLOOKUP($E798,$D$6:$AN$1131,3,))*$F798)</f>
        <v>0</v>
      </c>
      <c r="R798" s="79">
        <f t="shared" si="368"/>
        <v>0</v>
      </c>
      <c r="S798" s="79">
        <f t="shared" si="368"/>
        <v>0</v>
      </c>
      <c r="T798" s="79">
        <f t="shared" si="368"/>
        <v>0</v>
      </c>
      <c r="U798" s="79">
        <f t="shared" si="368"/>
        <v>0</v>
      </c>
      <c r="V798" s="79">
        <f t="shared" si="368"/>
        <v>0</v>
      </c>
      <c r="W798" s="79">
        <f t="shared" si="368"/>
        <v>0</v>
      </c>
      <c r="X798" s="79">
        <f t="shared" si="368"/>
        <v>0</v>
      </c>
      <c r="Y798" s="79">
        <f t="shared" si="368"/>
        <v>0</v>
      </c>
      <c r="Z798" s="79">
        <f t="shared" si="368"/>
        <v>0</v>
      </c>
      <c r="AA798" s="79">
        <f>SUM(G798:Z798)</f>
        <v>0</v>
      </c>
      <c r="AB798" s="93" t="str">
        <f t="shared" si="365"/>
        <v>ok</v>
      </c>
    </row>
    <row r="799" spans="1:28" s="60" customFormat="1" hidden="1">
      <c r="B799" s="60" t="s">
        <v>1306</v>
      </c>
      <c r="E799" s="60" t="s">
        <v>363</v>
      </c>
      <c r="F799" s="284"/>
      <c r="G799" s="79">
        <f t="shared" si="367"/>
        <v>0</v>
      </c>
      <c r="H799" s="79">
        <f t="shared" si="367"/>
        <v>0</v>
      </c>
      <c r="I799" s="79">
        <f t="shared" si="367"/>
        <v>0</v>
      </c>
      <c r="J799" s="79">
        <f t="shared" si="367"/>
        <v>0</v>
      </c>
      <c r="K799" s="79">
        <f t="shared" si="367"/>
        <v>0</v>
      </c>
      <c r="L799" s="79">
        <f t="shared" si="367"/>
        <v>0</v>
      </c>
      <c r="M799" s="79">
        <f t="shared" si="367"/>
        <v>0</v>
      </c>
      <c r="N799" s="79">
        <f t="shared" si="367"/>
        <v>0</v>
      </c>
      <c r="O799" s="79">
        <f t="shared" si="367"/>
        <v>0</v>
      </c>
      <c r="P799" s="79">
        <f t="shared" si="367"/>
        <v>0</v>
      </c>
      <c r="Q799" s="79">
        <f t="shared" si="368"/>
        <v>0</v>
      </c>
      <c r="R799" s="79">
        <f t="shared" si="368"/>
        <v>0</v>
      </c>
      <c r="S799" s="79">
        <f t="shared" si="368"/>
        <v>0</v>
      </c>
      <c r="T799" s="79">
        <f t="shared" si="368"/>
        <v>0</v>
      </c>
      <c r="U799" s="79">
        <f t="shared" si="368"/>
        <v>0</v>
      </c>
      <c r="V799" s="79">
        <f t="shared" si="368"/>
        <v>0</v>
      </c>
      <c r="W799" s="79">
        <f t="shared" si="368"/>
        <v>0</v>
      </c>
      <c r="X799" s="79">
        <f t="shared" si="368"/>
        <v>0</v>
      </c>
      <c r="Y799" s="79">
        <f t="shared" si="368"/>
        <v>0</v>
      </c>
      <c r="Z799" s="79">
        <f t="shared" si="368"/>
        <v>0</v>
      </c>
      <c r="AA799" s="79">
        <f>SUM(G799:Z799)</f>
        <v>0</v>
      </c>
      <c r="AB799" s="93" t="str">
        <f t="shared" si="365"/>
        <v>ok</v>
      </c>
    </row>
    <row r="800" spans="1:28" s="60" customFormat="1">
      <c r="B800" s="60" t="s">
        <v>1270</v>
      </c>
      <c r="E800" s="60" t="s">
        <v>1113</v>
      </c>
      <c r="F800" s="79">
        <v>-984863.11999999953</v>
      </c>
      <c r="G800" s="79">
        <f t="shared" si="367"/>
        <v>-386923.53298670636</v>
      </c>
      <c r="H800" s="79">
        <f t="shared" si="367"/>
        <v>-138592.30440883758</v>
      </c>
      <c r="I800" s="79">
        <f t="shared" si="367"/>
        <v>0</v>
      </c>
      <c r="J800" s="79">
        <f t="shared" si="367"/>
        <v>-11752.445984316924</v>
      </c>
      <c r="K800" s="79">
        <f t="shared" si="367"/>
        <v>-154658.37963094763</v>
      </c>
      <c r="L800" s="79">
        <f t="shared" si="367"/>
        <v>0</v>
      </c>
      <c r="M800" s="79">
        <f t="shared" si="367"/>
        <v>0</v>
      </c>
      <c r="N800" s="79">
        <f t="shared" si="367"/>
        <v>-119299.96608740593</v>
      </c>
      <c r="O800" s="79">
        <f t="shared" si="367"/>
        <v>-79210.371468209982</v>
      </c>
      <c r="P800" s="79">
        <f t="shared" si="367"/>
        <v>-65593.97070022297</v>
      </c>
      <c r="Q800" s="79">
        <f t="shared" si="368"/>
        <v>-6470.9152665995898</v>
      </c>
      <c r="R800" s="79">
        <f t="shared" si="368"/>
        <v>-3359.8282200867957</v>
      </c>
      <c r="S800" s="79">
        <f t="shared" si="368"/>
        <v>-18510.662428640695</v>
      </c>
      <c r="T800" s="79">
        <f t="shared" si="368"/>
        <v>-215.11291296804271</v>
      </c>
      <c r="U800" s="79">
        <f t="shared" si="368"/>
        <v>-275.62990505709371</v>
      </c>
      <c r="V800" s="79">
        <f t="shared" si="368"/>
        <v>0</v>
      </c>
      <c r="W800" s="79">
        <f t="shared" si="368"/>
        <v>0</v>
      </c>
      <c r="X800" s="79">
        <f t="shared" si="368"/>
        <v>0</v>
      </c>
      <c r="Y800" s="79">
        <f t="shared" si="368"/>
        <v>0</v>
      </c>
      <c r="Z800" s="79">
        <f t="shared" si="368"/>
        <v>0</v>
      </c>
      <c r="AA800" s="79">
        <f t="shared" si="366"/>
        <v>-984863.11999999953</v>
      </c>
      <c r="AB800" s="93" t="str">
        <f t="shared" si="365"/>
        <v>ok</v>
      </c>
    </row>
    <row r="801" spans="2:28" s="60" customFormat="1" hidden="1">
      <c r="B801" s="60" t="s">
        <v>1330</v>
      </c>
      <c r="E801" s="60" t="s">
        <v>510</v>
      </c>
      <c r="F801" s="79">
        <v>0</v>
      </c>
      <c r="G801" s="79">
        <f t="shared" si="367"/>
        <v>0</v>
      </c>
      <c r="H801" s="79">
        <f t="shared" si="367"/>
        <v>0</v>
      </c>
      <c r="I801" s="79">
        <f t="shared" si="367"/>
        <v>0</v>
      </c>
      <c r="J801" s="79">
        <f t="shared" si="367"/>
        <v>0</v>
      </c>
      <c r="K801" s="79">
        <f t="shared" si="367"/>
        <v>0</v>
      </c>
      <c r="L801" s="79">
        <f t="shared" si="367"/>
        <v>0</v>
      </c>
      <c r="M801" s="79">
        <f t="shared" si="367"/>
        <v>0</v>
      </c>
      <c r="N801" s="79">
        <f t="shared" si="367"/>
        <v>0</v>
      </c>
      <c r="O801" s="79">
        <f t="shared" si="367"/>
        <v>0</v>
      </c>
      <c r="P801" s="79">
        <f t="shared" si="367"/>
        <v>0</v>
      </c>
      <c r="Q801" s="79">
        <f t="shared" si="368"/>
        <v>0</v>
      </c>
      <c r="R801" s="79">
        <f t="shared" si="368"/>
        <v>0</v>
      </c>
      <c r="S801" s="79">
        <f t="shared" si="368"/>
        <v>0</v>
      </c>
      <c r="T801" s="79">
        <f t="shared" si="368"/>
        <v>0</v>
      </c>
      <c r="U801" s="79">
        <f t="shared" si="368"/>
        <v>0</v>
      </c>
      <c r="V801" s="79">
        <f t="shared" si="368"/>
        <v>0</v>
      </c>
      <c r="W801" s="79">
        <f t="shared" si="368"/>
        <v>0</v>
      </c>
      <c r="X801" s="79">
        <f t="shared" si="368"/>
        <v>0</v>
      </c>
      <c r="Y801" s="79">
        <f t="shared" si="368"/>
        <v>0</v>
      </c>
      <c r="Z801" s="79">
        <f t="shared" si="368"/>
        <v>0</v>
      </c>
      <c r="AA801" s="79">
        <f>SUM(G801:Z801)</f>
        <v>0</v>
      </c>
      <c r="AB801" s="93" t="str">
        <f t="shared" si="365"/>
        <v>ok</v>
      </c>
    </row>
    <row r="802" spans="2:28" s="60" customFormat="1" hidden="1">
      <c r="B802" s="60" t="s">
        <v>1271</v>
      </c>
      <c r="E802" s="60" t="s">
        <v>363</v>
      </c>
      <c r="F802" s="284"/>
      <c r="G802" s="79">
        <f t="shared" si="367"/>
        <v>0</v>
      </c>
      <c r="H802" s="79">
        <f t="shared" si="367"/>
        <v>0</v>
      </c>
      <c r="I802" s="79">
        <f t="shared" si="367"/>
        <v>0</v>
      </c>
      <c r="J802" s="79">
        <f t="shared" si="367"/>
        <v>0</v>
      </c>
      <c r="K802" s="79">
        <f t="shared" si="367"/>
        <v>0</v>
      </c>
      <c r="L802" s="79">
        <f t="shared" si="367"/>
        <v>0</v>
      </c>
      <c r="M802" s="79">
        <f t="shared" si="367"/>
        <v>0</v>
      </c>
      <c r="N802" s="79">
        <f t="shared" si="367"/>
        <v>0</v>
      </c>
      <c r="O802" s="79">
        <f t="shared" si="367"/>
        <v>0</v>
      </c>
      <c r="P802" s="79">
        <f t="shared" si="367"/>
        <v>0</v>
      </c>
      <c r="Q802" s="79">
        <f t="shared" si="368"/>
        <v>0</v>
      </c>
      <c r="R802" s="79">
        <f t="shared" si="368"/>
        <v>0</v>
      </c>
      <c r="S802" s="79">
        <f t="shared" si="368"/>
        <v>0</v>
      </c>
      <c r="T802" s="79">
        <f t="shared" si="368"/>
        <v>0</v>
      </c>
      <c r="U802" s="79">
        <f t="shared" si="368"/>
        <v>0</v>
      </c>
      <c r="V802" s="79">
        <f t="shared" si="368"/>
        <v>0</v>
      </c>
      <c r="W802" s="79">
        <f t="shared" si="368"/>
        <v>0</v>
      </c>
      <c r="X802" s="79">
        <f t="shared" si="368"/>
        <v>0</v>
      </c>
      <c r="Y802" s="79">
        <f t="shared" si="368"/>
        <v>0</v>
      </c>
      <c r="Z802" s="79">
        <f t="shared" si="368"/>
        <v>0</v>
      </c>
      <c r="AA802" s="79">
        <f>SUM(G802:Z802)</f>
        <v>0</v>
      </c>
      <c r="AB802" s="93" t="str">
        <f t="shared" si="365"/>
        <v>ok</v>
      </c>
    </row>
    <row r="803" spans="2:28" s="60" customFormat="1" hidden="1">
      <c r="B803" s="60" t="s">
        <v>1272</v>
      </c>
      <c r="E803" s="60" t="s">
        <v>1092</v>
      </c>
      <c r="F803" s="284"/>
      <c r="G803" s="79">
        <f t="shared" si="367"/>
        <v>0</v>
      </c>
      <c r="H803" s="79">
        <f t="shared" si="367"/>
        <v>0</v>
      </c>
      <c r="I803" s="79">
        <f t="shared" si="367"/>
        <v>0</v>
      </c>
      <c r="J803" s="79">
        <f t="shared" si="367"/>
        <v>0</v>
      </c>
      <c r="K803" s="79">
        <f t="shared" si="367"/>
        <v>0</v>
      </c>
      <c r="L803" s="79">
        <f t="shared" si="367"/>
        <v>0</v>
      </c>
      <c r="M803" s="79">
        <f t="shared" si="367"/>
        <v>0</v>
      </c>
      <c r="N803" s="79">
        <f t="shared" si="367"/>
        <v>0</v>
      </c>
      <c r="O803" s="79">
        <f t="shared" si="367"/>
        <v>0</v>
      </c>
      <c r="P803" s="79">
        <f t="shared" si="367"/>
        <v>0</v>
      </c>
      <c r="Q803" s="79">
        <f t="shared" si="368"/>
        <v>0</v>
      </c>
      <c r="R803" s="79">
        <f t="shared" si="368"/>
        <v>0</v>
      </c>
      <c r="S803" s="79">
        <f t="shared" si="368"/>
        <v>0</v>
      </c>
      <c r="T803" s="79">
        <f t="shared" si="368"/>
        <v>0</v>
      </c>
      <c r="U803" s="79">
        <f t="shared" si="368"/>
        <v>0</v>
      </c>
      <c r="V803" s="79">
        <f t="shared" si="368"/>
        <v>0</v>
      </c>
      <c r="W803" s="79">
        <f t="shared" si="368"/>
        <v>0</v>
      </c>
      <c r="X803" s="79">
        <f t="shared" si="368"/>
        <v>0</v>
      </c>
      <c r="Y803" s="79">
        <f t="shared" si="368"/>
        <v>0</v>
      </c>
      <c r="Z803" s="79">
        <f t="shared" si="368"/>
        <v>0</v>
      </c>
      <c r="AA803" s="79">
        <f>SUM(G803:Z803)</f>
        <v>0</v>
      </c>
      <c r="AB803" s="93" t="str">
        <f t="shared" si="365"/>
        <v>ok</v>
      </c>
    </row>
    <row r="804" spans="2:28" s="60" customFormat="1" hidden="1">
      <c r="B804" s="60" t="s">
        <v>1273</v>
      </c>
      <c r="E804" s="60" t="s">
        <v>1092</v>
      </c>
      <c r="F804" s="284"/>
      <c r="G804" s="79">
        <f t="shared" si="367"/>
        <v>0</v>
      </c>
      <c r="H804" s="79">
        <f t="shared" si="367"/>
        <v>0</v>
      </c>
      <c r="I804" s="79">
        <f t="shared" si="367"/>
        <v>0</v>
      </c>
      <c r="J804" s="79">
        <f t="shared" si="367"/>
        <v>0</v>
      </c>
      <c r="K804" s="79">
        <f t="shared" si="367"/>
        <v>0</v>
      </c>
      <c r="L804" s="79">
        <f t="shared" si="367"/>
        <v>0</v>
      </c>
      <c r="M804" s="79">
        <f t="shared" si="367"/>
        <v>0</v>
      </c>
      <c r="N804" s="79">
        <f t="shared" si="367"/>
        <v>0</v>
      </c>
      <c r="O804" s="79">
        <f t="shared" si="367"/>
        <v>0</v>
      </c>
      <c r="P804" s="79">
        <f t="shared" si="367"/>
        <v>0</v>
      </c>
      <c r="Q804" s="79">
        <f t="shared" si="368"/>
        <v>0</v>
      </c>
      <c r="R804" s="79">
        <f t="shared" si="368"/>
        <v>0</v>
      </c>
      <c r="S804" s="79">
        <f t="shared" si="368"/>
        <v>0</v>
      </c>
      <c r="T804" s="79">
        <f t="shared" si="368"/>
        <v>0</v>
      </c>
      <c r="U804" s="79">
        <f t="shared" si="368"/>
        <v>0</v>
      </c>
      <c r="V804" s="79">
        <f t="shared" si="368"/>
        <v>0</v>
      </c>
      <c r="W804" s="79">
        <f t="shared" si="368"/>
        <v>0</v>
      </c>
      <c r="X804" s="79">
        <f t="shared" si="368"/>
        <v>0</v>
      </c>
      <c r="Y804" s="79">
        <f t="shared" si="368"/>
        <v>0</v>
      </c>
      <c r="Z804" s="79">
        <f t="shared" si="368"/>
        <v>0</v>
      </c>
      <c r="AA804" s="79">
        <f>SUM(G804:Z804)</f>
        <v>0</v>
      </c>
      <c r="AB804" s="93" t="str">
        <f t="shared" si="365"/>
        <v>ok</v>
      </c>
    </row>
    <row r="805" spans="2:28" s="60" customFormat="1" hidden="1">
      <c r="B805" s="60" t="s">
        <v>691</v>
      </c>
      <c r="E805" s="60" t="s">
        <v>1106</v>
      </c>
      <c r="F805" s="284"/>
      <c r="G805" s="79">
        <f t="shared" si="367"/>
        <v>0</v>
      </c>
      <c r="H805" s="79">
        <f t="shared" si="367"/>
        <v>0</v>
      </c>
      <c r="I805" s="79">
        <f t="shared" si="367"/>
        <v>0</v>
      </c>
      <c r="J805" s="79">
        <f t="shared" si="367"/>
        <v>0</v>
      </c>
      <c r="K805" s="79">
        <f t="shared" si="367"/>
        <v>0</v>
      </c>
      <c r="L805" s="79">
        <f t="shared" si="367"/>
        <v>0</v>
      </c>
      <c r="M805" s="79">
        <f t="shared" si="367"/>
        <v>0</v>
      </c>
      <c r="N805" s="79">
        <f t="shared" si="367"/>
        <v>0</v>
      </c>
      <c r="O805" s="79">
        <f t="shared" si="367"/>
        <v>0</v>
      </c>
      <c r="P805" s="79">
        <f t="shared" si="367"/>
        <v>0</v>
      </c>
      <c r="Q805" s="79">
        <f t="shared" si="368"/>
        <v>0</v>
      </c>
      <c r="R805" s="79">
        <f t="shared" si="368"/>
        <v>0</v>
      </c>
      <c r="S805" s="79">
        <f t="shared" si="368"/>
        <v>0</v>
      </c>
      <c r="T805" s="79">
        <f t="shared" si="368"/>
        <v>0</v>
      </c>
      <c r="U805" s="79">
        <f t="shared" si="368"/>
        <v>0</v>
      </c>
      <c r="V805" s="79">
        <f t="shared" si="368"/>
        <v>0</v>
      </c>
      <c r="W805" s="79">
        <f t="shared" si="368"/>
        <v>0</v>
      </c>
      <c r="X805" s="79">
        <f t="shared" si="368"/>
        <v>0</v>
      </c>
      <c r="Y805" s="79">
        <f t="shared" si="368"/>
        <v>0</v>
      </c>
      <c r="Z805" s="79">
        <f t="shared" si="368"/>
        <v>0</v>
      </c>
      <c r="AA805" s="79">
        <f t="shared" si="366"/>
        <v>0</v>
      </c>
      <c r="AB805" s="93" t="str">
        <f t="shared" si="365"/>
        <v>ok</v>
      </c>
    </row>
    <row r="806" spans="2:28" s="60" customFormat="1" hidden="1">
      <c r="B806" s="60" t="s">
        <v>1307</v>
      </c>
      <c r="E806" s="60" t="s">
        <v>422</v>
      </c>
      <c r="F806" s="284"/>
      <c r="G806" s="79">
        <f t="shared" si="367"/>
        <v>0</v>
      </c>
      <c r="H806" s="79">
        <f t="shared" si="367"/>
        <v>0</v>
      </c>
      <c r="I806" s="79">
        <f t="shared" si="367"/>
        <v>0</v>
      </c>
      <c r="J806" s="79">
        <f t="shared" si="367"/>
        <v>0</v>
      </c>
      <c r="K806" s="79">
        <f t="shared" si="367"/>
        <v>0</v>
      </c>
      <c r="L806" s="79">
        <f t="shared" si="367"/>
        <v>0</v>
      </c>
      <c r="M806" s="79">
        <f t="shared" si="367"/>
        <v>0</v>
      </c>
      <c r="N806" s="79">
        <f t="shared" si="367"/>
        <v>0</v>
      </c>
      <c r="O806" s="79">
        <f t="shared" si="367"/>
        <v>0</v>
      </c>
      <c r="P806" s="79">
        <f t="shared" si="367"/>
        <v>0</v>
      </c>
      <c r="Q806" s="79">
        <f t="shared" si="368"/>
        <v>0</v>
      </c>
      <c r="R806" s="79">
        <f t="shared" si="368"/>
        <v>0</v>
      </c>
      <c r="S806" s="79">
        <f t="shared" si="368"/>
        <v>0</v>
      </c>
      <c r="T806" s="79">
        <f t="shared" si="368"/>
        <v>0</v>
      </c>
      <c r="U806" s="79">
        <f t="shared" si="368"/>
        <v>0</v>
      </c>
      <c r="V806" s="79">
        <f t="shared" si="368"/>
        <v>0</v>
      </c>
      <c r="W806" s="79">
        <f t="shared" si="368"/>
        <v>0</v>
      </c>
      <c r="X806" s="79">
        <f t="shared" si="368"/>
        <v>0</v>
      </c>
      <c r="Y806" s="79">
        <f t="shared" si="368"/>
        <v>0</v>
      </c>
      <c r="Z806" s="79">
        <f t="shared" si="368"/>
        <v>0</v>
      </c>
      <c r="AA806" s="79">
        <f t="shared" si="366"/>
        <v>0</v>
      </c>
      <c r="AB806" s="93" t="str">
        <f t="shared" si="365"/>
        <v>ok</v>
      </c>
    </row>
    <row r="807" spans="2:28" s="60" customFormat="1" hidden="1">
      <c r="B807" s="60" t="s">
        <v>1274</v>
      </c>
      <c r="E807" s="60" t="s">
        <v>363</v>
      </c>
      <c r="F807" s="284"/>
      <c r="G807" s="79">
        <f t="shared" si="367"/>
        <v>0</v>
      </c>
      <c r="H807" s="79">
        <f t="shared" si="367"/>
        <v>0</v>
      </c>
      <c r="I807" s="79">
        <f t="shared" si="367"/>
        <v>0</v>
      </c>
      <c r="J807" s="79">
        <f t="shared" si="367"/>
        <v>0</v>
      </c>
      <c r="K807" s="79">
        <f t="shared" si="367"/>
        <v>0</v>
      </c>
      <c r="L807" s="79">
        <f t="shared" si="367"/>
        <v>0</v>
      </c>
      <c r="M807" s="79">
        <f t="shared" si="367"/>
        <v>0</v>
      </c>
      <c r="N807" s="79">
        <f t="shared" si="367"/>
        <v>0</v>
      </c>
      <c r="O807" s="79">
        <f t="shared" si="367"/>
        <v>0</v>
      </c>
      <c r="P807" s="79">
        <f t="shared" si="367"/>
        <v>0</v>
      </c>
      <c r="Q807" s="79">
        <f t="shared" si="368"/>
        <v>0</v>
      </c>
      <c r="R807" s="79">
        <f t="shared" si="368"/>
        <v>0</v>
      </c>
      <c r="S807" s="79">
        <f t="shared" si="368"/>
        <v>0</v>
      </c>
      <c r="T807" s="79">
        <f t="shared" si="368"/>
        <v>0</v>
      </c>
      <c r="U807" s="79">
        <f t="shared" si="368"/>
        <v>0</v>
      </c>
      <c r="V807" s="79">
        <f t="shared" si="368"/>
        <v>0</v>
      </c>
      <c r="W807" s="79">
        <f t="shared" si="368"/>
        <v>0</v>
      </c>
      <c r="X807" s="79">
        <f t="shared" si="368"/>
        <v>0</v>
      </c>
      <c r="Y807" s="79">
        <f t="shared" si="368"/>
        <v>0</v>
      </c>
      <c r="Z807" s="79">
        <f t="shared" si="368"/>
        <v>0</v>
      </c>
      <c r="AA807" s="79">
        <f t="shared" si="366"/>
        <v>0</v>
      </c>
      <c r="AB807" s="93" t="str">
        <f t="shared" si="365"/>
        <v>ok</v>
      </c>
    </row>
    <row r="808" spans="2:28" s="60" customFormat="1" hidden="1">
      <c r="B808" s="60" t="s">
        <v>1275</v>
      </c>
      <c r="E808" s="60" t="s">
        <v>1092</v>
      </c>
      <c r="F808" s="284"/>
      <c r="G808" s="79">
        <f t="shared" ref="G808:P818" si="369">IF(VLOOKUP($E808,$D$6:$AN$1131,3,)=0,0,(VLOOKUP($E808,$D$6:$AN$1131,G$2,)/VLOOKUP($E808,$D$6:$AN$1131,3,))*$F808)</f>
        <v>0</v>
      </c>
      <c r="H808" s="79">
        <f t="shared" si="369"/>
        <v>0</v>
      </c>
      <c r="I808" s="79">
        <f t="shared" si="369"/>
        <v>0</v>
      </c>
      <c r="J808" s="79">
        <f t="shared" si="369"/>
        <v>0</v>
      </c>
      <c r="K808" s="79">
        <f t="shared" si="369"/>
        <v>0</v>
      </c>
      <c r="L808" s="79">
        <f t="shared" si="369"/>
        <v>0</v>
      </c>
      <c r="M808" s="79">
        <f t="shared" si="369"/>
        <v>0</v>
      </c>
      <c r="N808" s="79">
        <f t="shared" si="369"/>
        <v>0</v>
      </c>
      <c r="O808" s="79">
        <f t="shared" si="369"/>
        <v>0</v>
      </c>
      <c r="P808" s="79">
        <f t="shared" si="369"/>
        <v>0</v>
      </c>
      <c r="Q808" s="79">
        <f t="shared" ref="Q808:Z818" si="370">IF(VLOOKUP($E808,$D$6:$AN$1131,3,)=0,0,(VLOOKUP($E808,$D$6:$AN$1131,Q$2,)/VLOOKUP($E808,$D$6:$AN$1131,3,))*$F808)</f>
        <v>0</v>
      </c>
      <c r="R808" s="79">
        <f t="shared" si="370"/>
        <v>0</v>
      </c>
      <c r="S808" s="79">
        <f t="shared" si="370"/>
        <v>0</v>
      </c>
      <c r="T808" s="79">
        <f t="shared" si="370"/>
        <v>0</v>
      </c>
      <c r="U808" s="79">
        <f t="shared" si="370"/>
        <v>0</v>
      </c>
      <c r="V808" s="79">
        <f t="shared" si="370"/>
        <v>0</v>
      </c>
      <c r="W808" s="79">
        <f t="shared" si="370"/>
        <v>0</v>
      </c>
      <c r="X808" s="79">
        <f t="shared" si="370"/>
        <v>0</v>
      </c>
      <c r="Y808" s="79">
        <f t="shared" si="370"/>
        <v>0</v>
      </c>
      <c r="Z808" s="79">
        <f t="shared" si="370"/>
        <v>0</v>
      </c>
      <c r="AA808" s="79">
        <f t="shared" si="366"/>
        <v>0</v>
      </c>
      <c r="AB808" s="93" t="str">
        <f t="shared" si="365"/>
        <v>ok</v>
      </c>
    </row>
    <row r="809" spans="2:28" s="60" customFormat="1" hidden="1">
      <c r="B809" s="60" t="s">
        <v>1276</v>
      </c>
      <c r="E809" s="60" t="s">
        <v>1104</v>
      </c>
      <c r="F809" s="284"/>
      <c r="G809" s="79">
        <f t="shared" si="369"/>
        <v>0</v>
      </c>
      <c r="H809" s="79">
        <f t="shared" si="369"/>
        <v>0</v>
      </c>
      <c r="I809" s="79">
        <f t="shared" si="369"/>
        <v>0</v>
      </c>
      <c r="J809" s="79">
        <f t="shared" si="369"/>
        <v>0</v>
      </c>
      <c r="K809" s="79">
        <f t="shared" si="369"/>
        <v>0</v>
      </c>
      <c r="L809" s="79">
        <f t="shared" si="369"/>
        <v>0</v>
      </c>
      <c r="M809" s="79">
        <f t="shared" si="369"/>
        <v>0</v>
      </c>
      <c r="N809" s="79">
        <f t="shared" si="369"/>
        <v>0</v>
      </c>
      <c r="O809" s="79">
        <f t="shared" si="369"/>
        <v>0</v>
      </c>
      <c r="P809" s="79">
        <f t="shared" si="369"/>
        <v>0</v>
      </c>
      <c r="Q809" s="79">
        <f t="shared" si="370"/>
        <v>0</v>
      </c>
      <c r="R809" s="79">
        <f t="shared" si="370"/>
        <v>0</v>
      </c>
      <c r="S809" s="79">
        <f t="shared" si="370"/>
        <v>0</v>
      </c>
      <c r="T809" s="79">
        <f t="shared" si="370"/>
        <v>0</v>
      </c>
      <c r="U809" s="79">
        <f t="shared" si="370"/>
        <v>0</v>
      </c>
      <c r="V809" s="79">
        <f t="shared" si="370"/>
        <v>0</v>
      </c>
      <c r="W809" s="79">
        <f t="shared" si="370"/>
        <v>0</v>
      </c>
      <c r="X809" s="79">
        <f t="shared" si="370"/>
        <v>0</v>
      </c>
      <c r="Y809" s="79">
        <f t="shared" si="370"/>
        <v>0</v>
      </c>
      <c r="Z809" s="79">
        <f t="shared" si="370"/>
        <v>0</v>
      </c>
      <c r="AA809" s="79">
        <f t="shared" si="366"/>
        <v>0</v>
      </c>
      <c r="AB809" s="93" t="str">
        <f t="shared" si="365"/>
        <v>ok</v>
      </c>
    </row>
    <row r="810" spans="2:28" s="60" customFormat="1" hidden="1">
      <c r="B810" s="60" t="s">
        <v>1305</v>
      </c>
      <c r="E810" s="60" t="s">
        <v>422</v>
      </c>
      <c r="F810" s="284"/>
      <c r="G810" s="79">
        <f t="shared" si="369"/>
        <v>0</v>
      </c>
      <c r="H810" s="79">
        <f t="shared" si="369"/>
        <v>0</v>
      </c>
      <c r="I810" s="79">
        <f t="shared" si="369"/>
        <v>0</v>
      </c>
      <c r="J810" s="79">
        <f t="shared" si="369"/>
        <v>0</v>
      </c>
      <c r="K810" s="79">
        <f t="shared" si="369"/>
        <v>0</v>
      </c>
      <c r="L810" s="79">
        <f t="shared" si="369"/>
        <v>0</v>
      </c>
      <c r="M810" s="79">
        <f t="shared" si="369"/>
        <v>0</v>
      </c>
      <c r="N810" s="79">
        <f t="shared" si="369"/>
        <v>0</v>
      </c>
      <c r="O810" s="79">
        <f t="shared" si="369"/>
        <v>0</v>
      </c>
      <c r="P810" s="79">
        <f t="shared" si="369"/>
        <v>0</v>
      </c>
      <c r="Q810" s="79">
        <f t="shared" si="370"/>
        <v>0</v>
      </c>
      <c r="R810" s="79">
        <f t="shared" si="370"/>
        <v>0</v>
      </c>
      <c r="S810" s="79">
        <f t="shared" si="370"/>
        <v>0</v>
      </c>
      <c r="T810" s="79">
        <f t="shared" si="370"/>
        <v>0</v>
      </c>
      <c r="U810" s="79">
        <f t="shared" si="370"/>
        <v>0</v>
      </c>
      <c r="V810" s="79">
        <f t="shared" si="370"/>
        <v>0</v>
      </c>
      <c r="W810" s="79">
        <f t="shared" si="370"/>
        <v>0</v>
      </c>
      <c r="X810" s="79">
        <f t="shared" si="370"/>
        <v>0</v>
      </c>
      <c r="Y810" s="79">
        <f t="shared" si="370"/>
        <v>0</v>
      </c>
      <c r="Z810" s="79">
        <f t="shared" si="370"/>
        <v>0</v>
      </c>
      <c r="AA810" s="79">
        <f>SUM(G810:Z810)</f>
        <v>0</v>
      </c>
      <c r="AB810" s="93" t="str">
        <f t="shared" si="365"/>
        <v>ok</v>
      </c>
    </row>
    <row r="811" spans="2:28" s="60" customFormat="1" hidden="1">
      <c r="B811" s="60" t="s">
        <v>1277</v>
      </c>
      <c r="E811" s="60" t="s">
        <v>422</v>
      </c>
      <c r="F811" s="284"/>
      <c r="G811" s="79">
        <f t="shared" si="369"/>
        <v>0</v>
      </c>
      <c r="H811" s="79">
        <f t="shared" si="369"/>
        <v>0</v>
      </c>
      <c r="I811" s="79">
        <f t="shared" si="369"/>
        <v>0</v>
      </c>
      <c r="J811" s="79">
        <f t="shared" si="369"/>
        <v>0</v>
      </c>
      <c r="K811" s="79">
        <f t="shared" si="369"/>
        <v>0</v>
      </c>
      <c r="L811" s="79">
        <f t="shared" si="369"/>
        <v>0</v>
      </c>
      <c r="M811" s="79">
        <f t="shared" si="369"/>
        <v>0</v>
      </c>
      <c r="N811" s="79">
        <f t="shared" si="369"/>
        <v>0</v>
      </c>
      <c r="O811" s="79">
        <f t="shared" si="369"/>
        <v>0</v>
      </c>
      <c r="P811" s="79">
        <f t="shared" si="369"/>
        <v>0</v>
      </c>
      <c r="Q811" s="79">
        <f t="shared" si="370"/>
        <v>0</v>
      </c>
      <c r="R811" s="79">
        <f t="shared" si="370"/>
        <v>0</v>
      </c>
      <c r="S811" s="79">
        <f t="shared" si="370"/>
        <v>0</v>
      </c>
      <c r="T811" s="79">
        <f t="shared" si="370"/>
        <v>0</v>
      </c>
      <c r="U811" s="79">
        <f t="shared" si="370"/>
        <v>0</v>
      </c>
      <c r="V811" s="79">
        <f t="shared" si="370"/>
        <v>0</v>
      </c>
      <c r="W811" s="79">
        <f t="shared" si="370"/>
        <v>0</v>
      </c>
      <c r="X811" s="79">
        <f t="shared" si="370"/>
        <v>0</v>
      </c>
      <c r="Y811" s="79">
        <f t="shared" si="370"/>
        <v>0</v>
      </c>
      <c r="Z811" s="79">
        <f t="shared" si="370"/>
        <v>0</v>
      </c>
      <c r="AA811" s="79">
        <f>SUM(G811:Z811)</f>
        <v>0</v>
      </c>
      <c r="AB811" s="93" t="str">
        <f t="shared" si="365"/>
        <v>ok</v>
      </c>
    </row>
    <row r="812" spans="2:28" s="60" customFormat="1" hidden="1">
      <c r="B812" s="60" t="s">
        <v>1282</v>
      </c>
      <c r="E812" s="60" t="s">
        <v>422</v>
      </c>
      <c r="F812" s="284"/>
      <c r="G812" s="79">
        <f t="shared" si="369"/>
        <v>0</v>
      </c>
      <c r="H812" s="79">
        <f t="shared" si="369"/>
        <v>0</v>
      </c>
      <c r="I812" s="79">
        <f t="shared" si="369"/>
        <v>0</v>
      </c>
      <c r="J812" s="79">
        <f t="shared" si="369"/>
        <v>0</v>
      </c>
      <c r="K812" s="79">
        <f t="shared" si="369"/>
        <v>0</v>
      </c>
      <c r="L812" s="79">
        <f t="shared" si="369"/>
        <v>0</v>
      </c>
      <c r="M812" s="79">
        <f t="shared" si="369"/>
        <v>0</v>
      </c>
      <c r="N812" s="79">
        <f t="shared" si="369"/>
        <v>0</v>
      </c>
      <c r="O812" s="79">
        <f t="shared" si="369"/>
        <v>0</v>
      </c>
      <c r="P812" s="79">
        <f t="shared" si="369"/>
        <v>0</v>
      </c>
      <c r="Q812" s="79">
        <f t="shared" si="370"/>
        <v>0</v>
      </c>
      <c r="R812" s="79">
        <f t="shared" si="370"/>
        <v>0</v>
      </c>
      <c r="S812" s="79">
        <f t="shared" si="370"/>
        <v>0</v>
      </c>
      <c r="T812" s="79">
        <f t="shared" si="370"/>
        <v>0</v>
      </c>
      <c r="U812" s="79">
        <f t="shared" si="370"/>
        <v>0</v>
      </c>
      <c r="V812" s="79">
        <f t="shared" si="370"/>
        <v>0</v>
      </c>
      <c r="W812" s="79">
        <f t="shared" si="370"/>
        <v>0</v>
      </c>
      <c r="X812" s="79">
        <f t="shared" si="370"/>
        <v>0</v>
      </c>
      <c r="Y812" s="79">
        <f t="shared" si="370"/>
        <v>0</v>
      </c>
      <c r="Z812" s="79">
        <f t="shared" si="370"/>
        <v>0</v>
      </c>
      <c r="AA812" s="79">
        <f>SUM(G812:Z812)</f>
        <v>0</v>
      </c>
      <c r="AB812" s="93" t="str">
        <f t="shared" si="365"/>
        <v>ok</v>
      </c>
    </row>
    <row r="813" spans="2:28" s="70" customFormat="1">
      <c r="B813" s="70" t="s">
        <v>1182</v>
      </c>
      <c r="E813" s="70" t="s">
        <v>839</v>
      </c>
      <c r="F813" s="146">
        <f>-2776923-489194-161809-28505+324683+57197</f>
        <v>-3074551</v>
      </c>
      <c r="G813" s="146">
        <f t="shared" si="369"/>
        <v>-156697.0429218905</v>
      </c>
      <c r="H813" s="146">
        <f t="shared" si="369"/>
        <v>-788438.30378043547</v>
      </c>
      <c r="I813" s="146">
        <f t="shared" si="369"/>
        <v>0</v>
      </c>
      <c r="J813" s="146">
        <f t="shared" si="369"/>
        <v>-46964.826915372447</v>
      </c>
      <c r="K813" s="146">
        <f t="shared" si="369"/>
        <v>-935247.35740645544</v>
      </c>
      <c r="L813" s="146">
        <f t="shared" si="369"/>
        <v>0</v>
      </c>
      <c r="M813" s="146">
        <f t="shared" si="369"/>
        <v>0</v>
      </c>
      <c r="N813" s="146">
        <f t="shared" si="369"/>
        <v>-272143.87405034056</v>
      </c>
      <c r="O813" s="146">
        <f t="shared" si="369"/>
        <v>-681772.63141345221</v>
      </c>
      <c r="P813" s="146">
        <f t="shared" si="369"/>
        <v>-76814.033986509807</v>
      </c>
      <c r="Q813" s="146">
        <f t="shared" si="370"/>
        <v>4846.8523230070305</v>
      </c>
      <c r="R813" s="146">
        <f t="shared" si="370"/>
        <v>-549.8676662817395</v>
      </c>
      <c r="S813" s="146">
        <f t="shared" si="370"/>
        <v>-118545.99181689935</v>
      </c>
      <c r="T813" s="146">
        <f t="shared" si="370"/>
        <v>-941.07571152337039</v>
      </c>
      <c r="U813" s="146">
        <f t="shared" si="370"/>
        <v>-1282.8466538469102</v>
      </c>
      <c r="V813" s="146">
        <f t="shared" si="370"/>
        <v>0</v>
      </c>
      <c r="W813" s="146">
        <f t="shared" si="370"/>
        <v>0</v>
      </c>
      <c r="X813" s="146">
        <f t="shared" si="370"/>
        <v>0</v>
      </c>
      <c r="Y813" s="146">
        <f t="shared" si="370"/>
        <v>0</v>
      </c>
      <c r="Z813" s="146">
        <f t="shared" si="370"/>
        <v>0</v>
      </c>
      <c r="AA813" s="146">
        <f t="shared" si="366"/>
        <v>-3074551.0000000009</v>
      </c>
      <c r="AB813" s="144" t="str">
        <f t="shared" si="365"/>
        <v>ok</v>
      </c>
    </row>
    <row r="814" spans="2:28" s="60" customFormat="1">
      <c r="B814" s="60" t="s">
        <v>1183</v>
      </c>
      <c r="E814" s="60" t="s">
        <v>839</v>
      </c>
      <c r="F814" s="147">
        <v>0</v>
      </c>
      <c r="G814" s="147">
        <f t="shared" si="369"/>
        <v>0</v>
      </c>
      <c r="H814" s="147">
        <f t="shared" si="369"/>
        <v>0</v>
      </c>
      <c r="I814" s="147">
        <f t="shared" si="369"/>
        <v>0</v>
      </c>
      <c r="J814" s="147">
        <f t="shared" si="369"/>
        <v>0</v>
      </c>
      <c r="K814" s="147">
        <f t="shared" si="369"/>
        <v>0</v>
      </c>
      <c r="L814" s="147">
        <f t="shared" si="369"/>
        <v>0</v>
      </c>
      <c r="M814" s="147">
        <f t="shared" si="369"/>
        <v>0</v>
      </c>
      <c r="N814" s="147">
        <f t="shared" si="369"/>
        <v>0</v>
      </c>
      <c r="O814" s="147">
        <f t="shared" si="369"/>
        <v>0</v>
      </c>
      <c r="P814" s="147">
        <f t="shared" si="369"/>
        <v>0</v>
      </c>
      <c r="Q814" s="147">
        <f t="shared" si="370"/>
        <v>0</v>
      </c>
      <c r="R814" s="147">
        <f t="shared" si="370"/>
        <v>0</v>
      </c>
      <c r="S814" s="147">
        <f t="shared" si="370"/>
        <v>0</v>
      </c>
      <c r="T814" s="147">
        <f t="shared" si="370"/>
        <v>0</v>
      </c>
      <c r="U814" s="147">
        <f t="shared" si="370"/>
        <v>0</v>
      </c>
      <c r="V814" s="79">
        <f t="shared" si="370"/>
        <v>0</v>
      </c>
      <c r="W814" s="79">
        <f t="shared" si="370"/>
        <v>0</v>
      </c>
      <c r="X814" s="79">
        <f t="shared" si="370"/>
        <v>0</v>
      </c>
      <c r="Y814" s="79">
        <f t="shared" si="370"/>
        <v>0</v>
      </c>
      <c r="Z814" s="79">
        <f t="shared" si="370"/>
        <v>0</v>
      </c>
      <c r="AA814" s="79">
        <f t="shared" si="366"/>
        <v>0</v>
      </c>
      <c r="AB814" s="93" t="str">
        <f t="shared" si="365"/>
        <v>ok</v>
      </c>
    </row>
    <row r="815" spans="2:28" s="60" customFormat="1" hidden="1">
      <c r="B815" s="60" t="s">
        <v>1184</v>
      </c>
      <c r="E815" s="60" t="s">
        <v>839</v>
      </c>
      <c r="F815" s="284"/>
      <c r="G815" s="79">
        <f t="shared" si="369"/>
        <v>0</v>
      </c>
      <c r="H815" s="79">
        <f t="shared" si="369"/>
        <v>0</v>
      </c>
      <c r="I815" s="79">
        <f t="shared" si="369"/>
        <v>0</v>
      </c>
      <c r="J815" s="79">
        <f t="shared" si="369"/>
        <v>0</v>
      </c>
      <c r="K815" s="79">
        <f t="shared" si="369"/>
        <v>0</v>
      </c>
      <c r="L815" s="79">
        <f t="shared" si="369"/>
        <v>0</v>
      </c>
      <c r="M815" s="79">
        <f t="shared" si="369"/>
        <v>0</v>
      </c>
      <c r="N815" s="79">
        <f t="shared" si="369"/>
        <v>0</v>
      </c>
      <c r="O815" s="79">
        <f t="shared" si="369"/>
        <v>0</v>
      </c>
      <c r="P815" s="79">
        <f t="shared" si="369"/>
        <v>0</v>
      </c>
      <c r="Q815" s="79">
        <f t="shared" si="370"/>
        <v>0</v>
      </c>
      <c r="R815" s="79">
        <f t="shared" si="370"/>
        <v>0</v>
      </c>
      <c r="S815" s="79">
        <f t="shared" si="370"/>
        <v>0</v>
      </c>
      <c r="T815" s="79">
        <f t="shared" si="370"/>
        <v>0</v>
      </c>
      <c r="U815" s="79">
        <f t="shared" si="370"/>
        <v>0</v>
      </c>
      <c r="V815" s="79">
        <f t="shared" si="370"/>
        <v>0</v>
      </c>
      <c r="W815" s="79">
        <f t="shared" si="370"/>
        <v>0</v>
      </c>
      <c r="X815" s="79">
        <f t="shared" si="370"/>
        <v>0</v>
      </c>
      <c r="Y815" s="79">
        <f t="shared" si="370"/>
        <v>0</v>
      </c>
      <c r="Z815" s="79">
        <f t="shared" si="370"/>
        <v>0</v>
      </c>
      <c r="AA815" s="79">
        <f t="shared" si="366"/>
        <v>0</v>
      </c>
      <c r="AB815" s="93" t="str">
        <f t="shared" si="365"/>
        <v>ok</v>
      </c>
    </row>
    <row r="816" spans="2:28" s="60" customFormat="1" hidden="1">
      <c r="B816" s="60" t="s">
        <v>1185</v>
      </c>
      <c r="E816" s="60" t="s">
        <v>839</v>
      </c>
      <c r="F816" s="284"/>
      <c r="G816" s="76">
        <f t="shared" si="369"/>
        <v>0</v>
      </c>
      <c r="H816" s="76">
        <f t="shared" si="369"/>
        <v>0</v>
      </c>
      <c r="I816" s="76">
        <f t="shared" si="369"/>
        <v>0</v>
      </c>
      <c r="J816" s="76">
        <f t="shared" si="369"/>
        <v>0</v>
      </c>
      <c r="K816" s="76">
        <f t="shared" si="369"/>
        <v>0</v>
      </c>
      <c r="L816" s="76">
        <f t="shared" si="369"/>
        <v>0</v>
      </c>
      <c r="M816" s="76">
        <f t="shared" si="369"/>
        <v>0</v>
      </c>
      <c r="N816" s="76">
        <f t="shared" si="369"/>
        <v>0</v>
      </c>
      <c r="O816" s="76">
        <f t="shared" si="369"/>
        <v>0</v>
      </c>
      <c r="P816" s="76">
        <f t="shared" si="369"/>
        <v>0</v>
      </c>
      <c r="Q816" s="76">
        <f t="shared" si="370"/>
        <v>0</v>
      </c>
      <c r="R816" s="76">
        <f t="shared" si="370"/>
        <v>0</v>
      </c>
      <c r="S816" s="76">
        <f t="shared" si="370"/>
        <v>0</v>
      </c>
      <c r="T816" s="76">
        <f t="shared" si="370"/>
        <v>0</v>
      </c>
      <c r="U816" s="76">
        <f t="shared" si="370"/>
        <v>0</v>
      </c>
      <c r="V816" s="76">
        <f t="shared" si="370"/>
        <v>0</v>
      </c>
      <c r="W816" s="76">
        <f t="shared" si="370"/>
        <v>0</v>
      </c>
      <c r="X816" s="79">
        <f t="shared" si="370"/>
        <v>0</v>
      </c>
      <c r="Y816" s="79">
        <f t="shared" si="370"/>
        <v>0</v>
      </c>
      <c r="Z816" s="79">
        <f t="shared" si="370"/>
        <v>0</v>
      </c>
      <c r="AA816" s="80">
        <f t="shared" si="366"/>
        <v>0</v>
      </c>
      <c r="AB816" s="93" t="str">
        <f t="shared" si="365"/>
        <v>ok</v>
      </c>
    </row>
    <row r="817" spans="1:54" s="60" customFormat="1" hidden="1">
      <c r="B817" s="60" t="s">
        <v>1186</v>
      </c>
      <c r="E817" s="60" t="s">
        <v>422</v>
      </c>
      <c r="F817" s="284"/>
      <c r="G817" s="76">
        <f t="shared" si="369"/>
        <v>0</v>
      </c>
      <c r="H817" s="76">
        <f t="shared" si="369"/>
        <v>0</v>
      </c>
      <c r="I817" s="76">
        <f t="shared" si="369"/>
        <v>0</v>
      </c>
      <c r="J817" s="76">
        <f t="shared" si="369"/>
        <v>0</v>
      </c>
      <c r="K817" s="76">
        <f t="shared" si="369"/>
        <v>0</v>
      </c>
      <c r="L817" s="76">
        <f t="shared" si="369"/>
        <v>0</v>
      </c>
      <c r="M817" s="76">
        <f t="shared" si="369"/>
        <v>0</v>
      </c>
      <c r="N817" s="76">
        <f t="shared" si="369"/>
        <v>0</v>
      </c>
      <c r="O817" s="76">
        <f t="shared" si="369"/>
        <v>0</v>
      </c>
      <c r="P817" s="76">
        <f t="shared" si="369"/>
        <v>0</v>
      </c>
      <c r="Q817" s="76">
        <f t="shared" si="370"/>
        <v>0</v>
      </c>
      <c r="R817" s="76">
        <f t="shared" si="370"/>
        <v>0</v>
      </c>
      <c r="S817" s="76">
        <f t="shared" si="370"/>
        <v>0</v>
      </c>
      <c r="T817" s="76">
        <f t="shared" si="370"/>
        <v>0</v>
      </c>
      <c r="U817" s="76">
        <f t="shared" si="370"/>
        <v>0</v>
      </c>
      <c r="V817" s="76">
        <f t="shared" si="370"/>
        <v>0</v>
      </c>
      <c r="W817" s="76">
        <f t="shared" si="370"/>
        <v>0</v>
      </c>
      <c r="X817" s="79">
        <f t="shared" si="370"/>
        <v>0</v>
      </c>
      <c r="Y817" s="79">
        <f t="shared" si="370"/>
        <v>0</v>
      </c>
      <c r="Z817" s="79">
        <f t="shared" si="370"/>
        <v>0</v>
      </c>
      <c r="AA817" s="80">
        <f t="shared" si="366"/>
        <v>0</v>
      </c>
      <c r="AB817" s="93" t="str">
        <f t="shared" si="365"/>
        <v>ok</v>
      </c>
    </row>
    <row r="818" spans="1:54" s="60" customFormat="1" hidden="1">
      <c r="B818" s="60" t="s">
        <v>1187</v>
      </c>
      <c r="E818" s="60" t="s">
        <v>422</v>
      </c>
      <c r="F818" s="285"/>
      <c r="G818" s="135">
        <f t="shared" si="369"/>
        <v>0</v>
      </c>
      <c r="H818" s="135">
        <f t="shared" si="369"/>
        <v>0</v>
      </c>
      <c r="I818" s="135">
        <f t="shared" si="369"/>
        <v>0</v>
      </c>
      <c r="J818" s="135">
        <f t="shared" si="369"/>
        <v>0</v>
      </c>
      <c r="K818" s="135">
        <f t="shared" si="369"/>
        <v>0</v>
      </c>
      <c r="L818" s="135">
        <f t="shared" si="369"/>
        <v>0</v>
      </c>
      <c r="M818" s="135">
        <f t="shared" si="369"/>
        <v>0</v>
      </c>
      <c r="N818" s="135">
        <f t="shared" si="369"/>
        <v>0</v>
      </c>
      <c r="O818" s="135">
        <f t="shared" si="369"/>
        <v>0</v>
      </c>
      <c r="P818" s="135">
        <f t="shared" si="369"/>
        <v>0</v>
      </c>
      <c r="Q818" s="135">
        <f t="shared" si="370"/>
        <v>0</v>
      </c>
      <c r="R818" s="135">
        <f t="shared" si="370"/>
        <v>0</v>
      </c>
      <c r="S818" s="135">
        <f t="shared" si="370"/>
        <v>0</v>
      </c>
      <c r="T818" s="135">
        <f t="shared" si="370"/>
        <v>0</v>
      </c>
      <c r="U818" s="135">
        <f t="shared" si="370"/>
        <v>0</v>
      </c>
      <c r="V818" s="135">
        <f t="shared" si="370"/>
        <v>0</v>
      </c>
      <c r="W818" s="135">
        <f t="shared" si="370"/>
        <v>0</v>
      </c>
      <c r="X818" s="79">
        <f t="shared" si="370"/>
        <v>0</v>
      </c>
      <c r="Y818" s="79">
        <f t="shared" si="370"/>
        <v>0</v>
      </c>
      <c r="Z818" s="79">
        <f t="shared" si="370"/>
        <v>0</v>
      </c>
      <c r="AA818" s="136">
        <f t="shared" si="366"/>
        <v>0</v>
      </c>
      <c r="AB818" s="148" t="str">
        <f t="shared" si="365"/>
        <v>ok</v>
      </c>
    </row>
    <row r="819" spans="1:54" s="60" customFormat="1">
      <c r="A819" s="60" t="s">
        <v>708</v>
      </c>
      <c r="F819" s="79">
        <f t="shared" ref="F819:Z819" si="371">SUM(F788:F818)</f>
        <v>-4059414.1199999996</v>
      </c>
      <c r="G819" s="79">
        <f t="shared" si="371"/>
        <v>-543620.57590859686</v>
      </c>
      <c r="H819" s="79">
        <f t="shared" si="371"/>
        <v>-927030.60818927304</v>
      </c>
      <c r="I819" s="79">
        <f t="shared" si="371"/>
        <v>0</v>
      </c>
      <c r="J819" s="79">
        <f t="shared" si="371"/>
        <v>-58717.272899689371</v>
      </c>
      <c r="K819" s="79">
        <f t="shared" si="371"/>
        <v>-1089905.737037403</v>
      </c>
      <c r="L819" s="79">
        <f t="shared" si="371"/>
        <v>0</v>
      </c>
      <c r="M819" s="79">
        <f t="shared" si="371"/>
        <v>0</v>
      </c>
      <c r="N819" s="79">
        <f t="shared" si="371"/>
        <v>-391443.84013774648</v>
      </c>
      <c r="O819" s="79">
        <f>SUM(O788:O818)</f>
        <v>-760983.00288166222</v>
      </c>
      <c r="P819" s="79">
        <f t="shared" si="371"/>
        <v>-142408.00468673278</v>
      </c>
      <c r="Q819" s="79">
        <f t="shared" si="371"/>
        <v>-1624.0629435925593</v>
      </c>
      <c r="R819" s="79">
        <f t="shared" si="371"/>
        <v>-3909.695886368535</v>
      </c>
      <c r="S819" s="79">
        <f t="shared" si="371"/>
        <v>-137056.65424554003</v>
      </c>
      <c r="T819" s="79">
        <f t="shared" si="371"/>
        <v>-1156.1886244914131</v>
      </c>
      <c r="U819" s="79">
        <f t="shared" si="371"/>
        <v>-1558.4765589040039</v>
      </c>
      <c r="V819" s="79">
        <f t="shared" si="371"/>
        <v>0</v>
      </c>
      <c r="W819" s="79">
        <f t="shared" si="371"/>
        <v>0</v>
      </c>
      <c r="X819" s="79">
        <f t="shared" si="371"/>
        <v>0</v>
      </c>
      <c r="Y819" s="79">
        <f t="shared" si="371"/>
        <v>0</v>
      </c>
      <c r="Z819" s="79">
        <f t="shared" si="371"/>
        <v>0</v>
      </c>
      <c r="AA819" s="153">
        <f>SUM(G819:Z819)</f>
        <v>-4059414.1200000006</v>
      </c>
      <c r="AB819" s="144" t="str">
        <f t="shared" si="365"/>
        <v>ok</v>
      </c>
    </row>
    <row r="820" spans="1:54" s="60" customFormat="1">
      <c r="AA820" s="153"/>
      <c r="AB820" s="144"/>
      <c r="AF820" s="149"/>
      <c r="AG820" s="149"/>
      <c r="AH820" s="149"/>
      <c r="AI820" s="149"/>
      <c r="AJ820" s="149"/>
      <c r="AK820" s="149"/>
      <c r="AL820" s="149"/>
      <c r="AM820" s="149"/>
      <c r="AN820" s="149"/>
      <c r="AO820" s="149"/>
      <c r="AP820" s="149"/>
      <c r="AQ820" s="149"/>
      <c r="AR820" s="149"/>
      <c r="AS820" s="149"/>
      <c r="AT820" s="149"/>
      <c r="AU820" s="149"/>
      <c r="AV820" s="149"/>
      <c r="AW820" s="149"/>
      <c r="AX820" s="149"/>
      <c r="AY820" s="149"/>
      <c r="AZ820" s="149"/>
      <c r="BA820" s="149"/>
      <c r="BB820" s="149"/>
    </row>
    <row r="821" spans="1:54" s="60" customFormat="1">
      <c r="A821" s="60" t="s">
        <v>1119</v>
      </c>
      <c r="D821" s="60" t="s">
        <v>1080</v>
      </c>
      <c r="F821" s="80">
        <f t="shared" ref="F821:Z821" si="372">SUM(F774:F818)</f>
        <v>900088775.12269807</v>
      </c>
      <c r="G821" s="80">
        <f t="shared" si="372"/>
        <v>372178374.85302812</v>
      </c>
      <c r="H821" s="80">
        <f t="shared" si="372"/>
        <v>118798755.85954961</v>
      </c>
      <c r="I821" s="80">
        <f t="shared" si="372"/>
        <v>0</v>
      </c>
      <c r="J821" s="80">
        <f t="shared" si="372"/>
        <v>10674314.055227157</v>
      </c>
      <c r="K821" s="80">
        <f t="shared" si="372"/>
        <v>133211477.61188452</v>
      </c>
      <c r="L821" s="80">
        <f t="shared" si="372"/>
        <v>0</v>
      </c>
      <c r="M821" s="80">
        <f t="shared" si="372"/>
        <v>0</v>
      </c>
      <c r="N821" s="80">
        <f t="shared" si="372"/>
        <v>112829253.62369046</v>
      </c>
      <c r="O821" s="80">
        <f>SUM(O774:O818)</f>
        <v>63570257.386154547</v>
      </c>
      <c r="P821" s="80">
        <f t="shared" si="372"/>
        <v>64020027.56778039</v>
      </c>
      <c r="Q821" s="80">
        <f t="shared" si="372"/>
        <v>6504147.9048345136</v>
      </c>
      <c r="R821" s="80">
        <f t="shared" si="372"/>
        <v>3339501.4298508833</v>
      </c>
      <c r="S821" s="80">
        <f t="shared" si="372"/>
        <v>14519175.249503555</v>
      </c>
      <c r="T821" s="80">
        <f t="shared" si="372"/>
        <v>198019.37477549116</v>
      </c>
      <c r="U821" s="80">
        <f t="shared" si="372"/>
        <v>245470.20641885977</v>
      </c>
      <c r="V821" s="80">
        <f t="shared" si="372"/>
        <v>0</v>
      </c>
      <c r="W821" s="80">
        <f t="shared" si="372"/>
        <v>0</v>
      </c>
      <c r="X821" s="80">
        <f t="shared" si="372"/>
        <v>0</v>
      </c>
      <c r="Y821" s="80">
        <f t="shared" si="372"/>
        <v>0</v>
      </c>
      <c r="Z821" s="80">
        <f t="shared" si="372"/>
        <v>0</v>
      </c>
      <c r="AA821" s="80">
        <f>SUM(G821:Z821)</f>
        <v>900088775.12269819</v>
      </c>
      <c r="AB821" s="93" t="str">
        <f>IF(ABS(F821-AA821)&lt;0.01,"ok","err")</f>
        <v>ok</v>
      </c>
    </row>
    <row r="822" spans="1:54" s="60" customFormat="1"/>
    <row r="823" spans="1:54" s="60" customFormat="1" ht="15">
      <c r="A823" s="65" t="s">
        <v>894</v>
      </c>
      <c r="F823" s="80">
        <f t="shared" ref="F823:AA823" si="373">F770-F821</f>
        <v>117112877.33855081</v>
      </c>
      <c r="G823" s="80">
        <f t="shared" si="373"/>
        <v>30512782.745590806</v>
      </c>
      <c r="H823" s="80">
        <f t="shared" si="373"/>
        <v>22176261.412237704</v>
      </c>
      <c r="I823" s="80">
        <f t="shared" si="373"/>
        <v>0</v>
      </c>
      <c r="J823" s="80">
        <f t="shared" si="373"/>
        <v>1467690.0392292999</v>
      </c>
      <c r="K823" s="80">
        <f t="shared" si="373"/>
        <v>25651514.05063726</v>
      </c>
      <c r="L823" s="80">
        <f t="shared" si="373"/>
        <v>0</v>
      </c>
      <c r="M823" s="80">
        <f t="shared" si="373"/>
        <v>0</v>
      </c>
      <c r="N823" s="80">
        <f t="shared" si="373"/>
        <v>11059248.838387489</v>
      </c>
      <c r="O823" s="80">
        <f t="shared" si="373"/>
        <v>17108836.33904691</v>
      </c>
      <c r="P823" s="80">
        <f t="shared" si="373"/>
        <v>4426577.6426410675</v>
      </c>
      <c r="Q823" s="80">
        <f t="shared" si="373"/>
        <v>258737.62673586234</v>
      </c>
      <c r="R823" s="80">
        <f t="shared" si="373"/>
        <v>173773.6879473771</v>
      </c>
      <c r="S823" s="80">
        <f t="shared" si="373"/>
        <v>4216570.7837687712</v>
      </c>
      <c r="T823" s="80">
        <f t="shared" si="373"/>
        <v>24733.098501138127</v>
      </c>
      <c r="U823" s="80">
        <f t="shared" si="373"/>
        <v>36151.073827192478</v>
      </c>
      <c r="V823" s="80">
        <f t="shared" si="373"/>
        <v>0</v>
      </c>
      <c r="W823" s="80">
        <f t="shared" si="373"/>
        <v>0</v>
      </c>
      <c r="X823" s="80">
        <f t="shared" si="373"/>
        <v>0</v>
      </c>
      <c r="Y823" s="80">
        <f t="shared" si="373"/>
        <v>0</v>
      </c>
      <c r="Z823" s="80">
        <f t="shared" si="373"/>
        <v>0</v>
      </c>
      <c r="AA823" s="80">
        <f t="shared" si="373"/>
        <v>117112877.33855069</v>
      </c>
      <c r="AB823" s="93" t="str">
        <f>IF(ABS(F823-AA823)&lt;0.01,"ok","err")</f>
        <v>ok</v>
      </c>
    </row>
    <row r="824" spans="1:54" s="60" customFormat="1" ht="15">
      <c r="A824" s="65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93"/>
    </row>
    <row r="825" spans="1:54" s="60" customFormat="1" ht="15">
      <c r="A825" s="65"/>
      <c r="F825" s="80"/>
      <c r="G825" s="80"/>
      <c r="H825" s="80"/>
      <c r="I825" s="80"/>
      <c r="J825" s="134"/>
      <c r="K825" s="80"/>
      <c r="L825" s="80"/>
      <c r="M825" s="80"/>
      <c r="N825" s="134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93"/>
    </row>
    <row r="826" spans="1:54" s="60" customFormat="1" ht="15">
      <c r="A826" s="65" t="s">
        <v>208</v>
      </c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93"/>
    </row>
    <row r="827" spans="1:54" s="60" customFormat="1" ht="15">
      <c r="A827" s="65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93"/>
    </row>
    <row r="828" spans="1:54" s="60" customFormat="1" ht="15">
      <c r="A828" s="65" t="s">
        <v>894</v>
      </c>
      <c r="F828" s="80">
        <f>F823</f>
        <v>117112877.33855081</v>
      </c>
      <c r="G828" s="80">
        <f t="shared" ref="G828:U828" si="374">G823</f>
        <v>30512782.745590806</v>
      </c>
      <c r="H828" s="80">
        <f t="shared" si="374"/>
        <v>22176261.412237704</v>
      </c>
      <c r="I828" s="80">
        <f t="shared" si="374"/>
        <v>0</v>
      </c>
      <c r="J828" s="80">
        <f t="shared" si="374"/>
        <v>1467690.0392292999</v>
      </c>
      <c r="K828" s="80">
        <f t="shared" si="374"/>
        <v>25651514.05063726</v>
      </c>
      <c r="L828" s="80">
        <f t="shared" si="374"/>
        <v>0</v>
      </c>
      <c r="M828" s="80">
        <f t="shared" si="374"/>
        <v>0</v>
      </c>
      <c r="N828" s="80">
        <f t="shared" si="374"/>
        <v>11059248.838387489</v>
      </c>
      <c r="O828" s="80">
        <f>O823</f>
        <v>17108836.33904691</v>
      </c>
      <c r="P828" s="80">
        <f t="shared" si="374"/>
        <v>4426577.6426410675</v>
      </c>
      <c r="Q828" s="80">
        <f t="shared" si="374"/>
        <v>258737.62673586234</v>
      </c>
      <c r="R828" s="80">
        <f t="shared" si="374"/>
        <v>173773.6879473771</v>
      </c>
      <c r="S828" s="80">
        <f t="shared" si="374"/>
        <v>4216570.7837687712</v>
      </c>
      <c r="T828" s="80">
        <f t="shared" si="374"/>
        <v>24733.098501138127</v>
      </c>
      <c r="U828" s="80">
        <f t="shared" si="374"/>
        <v>36151.073827192478</v>
      </c>
      <c r="V828" s="80"/>
      <c r="W828" s="80"/>
      <c r="X828" s="80"/>
      <c r="Y828" s="80"/>
      <c r="Z828" s="80"/>
      <c r="AA828" s="80"/>
      <c r="AB828" s="93"/>
    </row>
    <row r="829" spans="1:54" s="60" customFormat="1"/>
    <row r="830" spans="1:54" s="60" customFormat="1" ht="15">
      <c r="A830" s="65" t="s">
        <v>1102</v>
      </c>
      <c r="F830" s="80">
        <f t="shared" ref="F830:Z830" si="375">F730</f>
        <v>2380933927.241509</v>
      </c>
      <c r="G830" s="80">
        <f t="shared" si="375"/>
        <v>1151746077.2153518</v>
      </c>
      <c r="H830" s="80">
        <f t="shared" si="375"/>
        <v>302071164.72748941</v>
      </c>
      <c r="I830" s="80">
        <f t="shared" si="375"/>
        <v>0</v>
      </c>
      <c r="J830" s="80">
        <f t="shared" si="375"/>
        <v>22598765.024464671</v>
      </c>
      <c r="K830" s="80">
        <f t="shared" si="375"/>
        <v>290318355.05589318</v>
      </c>
      <c r="L830" s="80">
        <f t="shared" si="375"/>
        <v>0</v>
      </c>
      <c r="M830" s="80">
        <f t="shared" si="375"/>
        <v>0</v>
      </c>
      <c r="N830" s="80">
        <f t="shared" si="375"/>
        <v>242194583.63978818</v>
      </c>
      <c r="O830" s="80">
        <f t="shared" si="375"/>
        <v>143524479.34195939</v>
      </c>
      <c r="P830" s="80">
        <f t="shared" si="375"/>
        <v>127237257.44781397</v>
      </c>
      <c r="Q830" s="80">
        <f t="shared" si="375"/>
        <v>15203335.994018935</v>
      </c>
      <c r="R830" s="80">
        <f t="shared" si="375"/>
        <v>7082689.0574253704</v>
      </c>
      <c r="S830" s="80">
        <f t="shared" si="375"/>
        <v>78174244.52773416</v>
      </c>
      <c r="T830" s="80">
        <f t="shared" si="375"/>
        <v>308732.70736411982</v>
      </c>
      <c r="U830" s="80">
        <f t="shared" si="375"/>
        <v>474242.50220579916</v>
      </c>
      <c r="V830" s="80">
        <f t="shared" si="375"/>
        <v>0</v>
      </c>
      <c r="W830" s="80">
        <f t="shared" si="375"/>
        <v>0</v>
      </c>
      <c r="X830" s="80">
        <f t="shared" si="375"/>
        <v>0</v>
      </c>
      <c r="Y830" s="80">
        <f t="shared" si="375"/>
        <v>0</v>
      </c>
      <c r="Z830" s="80">
        <f t="shared" si="375"/>
        <v>0</v>
      </c>
      <c r="AA830" s="80">
        <f>SUM(G830:Z830)</f>
        <v>2380933927.2415094</v>
      </c>
      <c r="AB830" s="93" t="str">
        <f>IF(ABS(F830-AA830)&lt;0.01,"ok","err")</f>
        <v>ok</v>
      </c>
    </row>
    <row r="831" spans="1:54" s="60" customFormat="1" ht="15">
      <c r="A831" s="65" t="s">
        <v>1308</v>
      </c>
      <c r="E831" s="60" t="s">
        <v>1092</v>
      </c>
      <c r="F831" s="79">
        <v>0</v>
      </c>
      <c r="G831" s="79">
        <f t="shared" ref="G831:P833" si="376">IF(VLOOKUP($E831,$D$6:$AN$1131,3,)=0,0,(VLOOKUP($E831,$D$6:$AN$1131,G$2,)/VLOOKUP($E831,$D$6:$AN$1131,3,))*$F831)</f>
        <v>0</v>
      </c>
      <c r="H831" s="79">
        <f t="shared" si="376"/>
        <v>0</v>
      </c>
      <c r="I831" s="79">
        <f t="shared" si="376"/>
        <v>0</v>
      </c>
      <c r="J831" s="79">
        <f t="shared" si="376"/>
        <v>0</v>
      </c>
      <c r="K831" s="79">
        <f t="shared" si="376"/>
        <v>0</v>
      </c>
      <c r="L831" s="79">
        <f t="shared" si="376"/>
        <v>0</v>
      </c>
      <c r="M831" s="79">
        <f t="shared" si="376"/>
        <v>0</v>
      </c>
      <c r="N831" s="79">
        <f t="shared" si="376"/>
        <v>0</v>
      </c>
      <c r="O831" s="79">
        <f t="shared" si="376"/>
        <v>0</v>
      </c>
      <c r="P831" s="79">
        <f t="shared" si="376"/>
        <v>0</v>
      </c>
      <c r="Q831" s="79">
        <f t="shared" ref="Q831:Z833" si="377">IF(VLOOKUP($E831,$D$6:$AN$1131,3,)=0,0,(VLOOKUP($E831,$D$6:$AN$1131,Q$2,)/VLOOKUP($E831,$D$6:$AN$1131,3,))*$F831)</f>
        <v>0</v>
      </c>
      <c r="R831" s="79">
        <f t="shared" si="377"/>
        <v>0</v>
      </c>
      <c r="S831" s="79">
        <f t="shared" si="377"/>
        <v>0</v>
      </c>
      <c r="T831" s="79">
        <f t="shared" si="377"/>
        <v>0</v>
      </c>
      <c r="U831" s="79">
        <f t="shared" si="377"/>
        <v>0</v>
      </c>
      <c r="V831" s="79">
        <f t="shared" si="377"/>
        <v>0</v>
      </c>
      <c r="W831" s="79">
        <f t="shared" si="377"/>
        <v>0</v>
      </c>
      <c r="X831" s="79">
        <f t="shared" si="377"/>
        <v>0</v>
      </c>
      <c r="Y831" s="79">
        <f t="shared" si="377"/>
        <v>0</v>
      </c>
      <c r="Z831" s="79">
        <f t="shared" si="377"/>
        <v>0</v>
      </c>
      <c r="AA831" s="79">
        <f>SUM(G831:Z831)</f>
        <v>0</v>
      </c>
      <c r="AB831" s="93" t="str">
        <f>IF(ABS(F831-AA831)&lt;0.01,"ok","err")</f>
        <v>ok</v>
      </c>
    </row>
    <row r="832" spans="1:54" s="60" customFormat="1" ht="15">
      <c r="A832" s="65" t="s">
        <v>1164</v>
      </c>
      <c r="E832" s="60" t="s">
        <v>532</v>
      </c>
      <c r="F832" s="79">
        <v>0</v>
      </c>
      <c r="G832" s="79">
        <f t="shared" si="376"/>
        <v>0</v>
      </c>
      <c r="H832" s="79">
        <f t="shared" si="376"/>
        <v>0</v>
      </c>
      <c r="I832" s="79">
        <f t="shared" si="376"/>
        <v>0</v>
      </c>
      <c r="J832" s="79">
        <f t="shared" si="376"/>
        <v>0</v>
      </c>
      <c r="K832" s="79">
        <f t="shared" si="376"/>
        <v>0</v>
      </c>
      <c r="L832" s="79">
        <f t="shared" si="376"/>
        <v>0</v>
      </c>
      <c r="M832" s="79">
        <f t="shared" si="376"/>
        <v>0</v>
      </c>
      <c r="N832" s="79">
        <f t="shared" si="376"/>
        <v>0</v>
      </c>
      <c r="O832" s="79">
        <f t="shared" si="376"/>
        <v>0</v>
      </c>
      <c r="P832" s="79">
        <f t="shared" si="376"/>
        <v>0</v>
      </c>
      <c r="Q832" s="79">
        <f t="shared" si="377"/>
        <v>0</v>
      </c>
      <c r="R832" s="79">
        <f t="shared" si="377"/>
        <v>0</v>
      </c>
      <c r="S832" s="79">
        <f t="shared" si="377"/>
        <v>0</v>
      </c>
      <c r="T832" s="79">
        <f t="shared" si="377"/>
        <v>0</v>
      </c>
      <c r="U832" s="79">
        <f t="shared" si="377"/>
        <v>0</v>
      </c>
      <c r="V832" s="79">
        <f t="shared" si="377"/>
        <v>0</v>
      </c>
      <c r="W832" s="79">
        <f t="shared" si="377"/>
        <v>0</v>
      </c>
      <c r="X832" s="79">
        <f t="shared" si="377"/>
        <v>0</v>
      </c>
      <c r="Y832" s="79">
        <f t="shared" si="377"/>
        <v>0</v>
      </c>
      <c r="Z832" s="79">
        <f t="shared" si="377"/>
        <v>0</v>
      </c>
      <c r="AA832" s="79">
        <f>SUM(G832:Z832)</f>
        <v>0</v>
      </c>
      <c r="AB832" s="93" t="str">
        <f>IF(ABS(F832-AA832)&lt;0.01,"ok","err")</f>
        <v>ok</v>
      </c>
    </row>
    <row r="833" spans="1:28" s="60" customFormat="1" ht="15">
      <c r="A833" s="65" t="s">
        <v>0</v>
      </c>
      <c r="E833" s="60" t="s">
        <v>703</v>
      </c>
      <c r="F833" s="79">
        <v>0</v>
      </c>
      <c r="G833" s="79">
        <f t="shared" si="376"/>
        <v>0</v>
      </c>
      <c r="H833" s="79">
        <f t="shared" si="376"/>
        <v>0</v>
      </c>
      <c r="I833" s="79">
        <f t="shared" si="376"/>
        <v>0</v>
      </c>
      <c r="J833" s="79">
        <f t="shared" si="376"/>
        <v>0</v>
      </c>
      <c r="K833" s="79">
        <f t="shared" si="376"/>
        <v>0</v>
      </c>
      <c r="L833" s="79">
        <f t="shared" si="376"/>
        <v>0</v>
      </c>
      <c r="M833" s="79">
        <f t="shared" si="376"/>
        <v>0</v>
      </c>
      <c r="N833" s="79">
        <f t="shared" si="376"/>
        <v>0</v>
      </c>
      <c r="O833" s="79">
        <f t="shared" si="376"/>
        <v>0</v>
      </c>
      <c r="P833" s="79">
        <f t="shared" si="376"/>
        <v>0</v>
      </c>
      <c r="Q833" s="79">
        <f t="shared" si="377"/>
        <v>0</v>
      </c>
      <c r="R833" s="79">
        <f t="shared" si="377"/>
        <v>0</v>
      </c>
      <c r="S833" s="79">
        <f t="shared" si="377"/>
        <v>0</v>
      </c>
      <c r="T833" s="79">
        <f t="shared" si="377"/>
        <v>0</v>
      </c>
      <c r="U833" s="79">
        <f t="shared" si="377"/>
        <v>0</v>
      </c>
      <c r="V833" s="79">
        <f t="shared" si="377"/>
        <v>0</v>
      </c>
      <c r="W833" s="79">
        <f t="shared" si="377"/>
        <v>0</v>
      </c>
      <c r="X833" s="79">
        <f t="shared" si="377"/>
        <v>0</v>
      </c>
      <c r="Y833" s="79">
        <f t="shared" si="377"/>
        <v>0</v>
      </c>
      <c r="Z833" s="79">
        <f t="shared" si="377"/>
        <v>0</v>
      </c>
      <c r="AA833" s="79">
        <f>SUM(G833:Z833)</f>
        <v>0</v>
      </c>
      <c r="AB833" s="93" t="str">
        <f>IF(ABS(F833-AA833)&lt;0.01,"ok","err")</f>
        <v>ok</v>
      </c>
    </row>
    <row r="834" spans="1:28" s="60" customFormat="1" ht="15">
      <c r="A834" s="65" t="s">
        <v>908</v>
      </c>
      <c r="F834" s="80">
        <f t="shared" ref="F834:Z834" si="378">SUM(F830:F833)</f>
        <v>2380933927.241509</v>
      </c>
      <c r="G834" s="80">
        <f t="shared" si="378"/>
        <v>1151746077.2153518</v>
      </c>
      <c r="H834" s="80">
        <f t="shared" si="378"/>
        <v>302071164.72748941</v>
      </c>
      <c r="I834" s="80">
        <f t="shared" si="378"/>
        <v>0</v>
      </c>
      <c r="J834" s="80">
        <f t="shared" si="378"/>
        <v>22598765.024464671</v>
      </c>
      <c r="K834" s="80">
        <f t="shared" si="378"/>
        <v>290318355.05589318</v>
      </c>
      <c r="L834" s="80">
        <f t="shared" si="378"/>
        <v>0</v>
      </c>
      <c r="M834" s="80">
        <f t="shared" si="378"/>
        <v>0</v>
      </c>
      <c r="N834" s="80">
        <f t="shared" si="378"/>
        <v>242194583.63978818</v>
      </c>
      <c r="O834" s="80">
        <f t="shared" si="378"/>
        <v>143524479.34195939</v>
      </c>
      <c r="P834" s="80">
        <f t="shared" si="378"/>
        <v>127237257.44781397</v>
      </c>
      <c r="Q834" s="80">
        <f t="shared" si="378"/>
        <v>15203335.994018935</v>
      </c>
      <c r="R834" s="80">
        <f t="shared" si="378"/>
        <v>7082689.0574253704</v>
      </c>
      <c r="S834" s="80">
        <f t="shared" si="378"/>
        <v>78174244.52773416</v>
      </c>
      <c r="T834" s="80">
        <f t="shared" si="378"/>
        <v>308732.70736411982</v>
      </c>
      <c r="U834" s="80">
        <f t="shared" si="378"/>
        <v>474242.50220579916</v>
      </c>
      <c r="V834" s="80">
        <f t="shared" si="378"/>
        <v>0</v>
      </c>
      <c r="W834" s="80">
        <f t="shared" si="378"/>
        <v>0</v>
      </c>
      <c r="X834" s="80">
        <f t="shared" si="378"/>
        <v>0</v>
      </c>
      <c r="Y834" s="80">
        <f t="shared" si="378"/>
        <v>0</v>
      </c>
      <c r="Z834" s="80">
        <f t="shared" si="378"/>
        <v>0</v>
      </c>
      <c r="AA834" s="80">
        <f>SUM(G834:Z834)</f>
        <v>2380933927.2415094</v>
      </c>
      <c r="AB834" s="93" t="str">
        <f>IF(ABS(F834-AA834)&lt;0.01,"ok","err")</f>
        <v>ok</v>
      </c>
    </row>
    <row r="835" spans="1:28" s="60" customFormat="1" ht="15" thickBot="1"/>
    <row r="836" spans="1:28" s="60" customFormat="1" ht="15.75" thickBot="1">
      <c r="A836" s="282" t="s">
        <v>1120</v>
      </c>
      <c r="B836" s="150"/>
      <c r="C836" s="150"/>
      <c r="D836" s="150"/>
      <c r="E836" s="150"/>
      <c r="F836" s="151">
        <f t="shared" ref="F836:Z836" si="379">F823/F834</f>
        <v>4.9187789715036269E-2</v>
      </c>
      <c r="G836" s="151">
        <f t="shared" si="379"/>
        <v>2.6492630059017402E-2</v>
      </c>
      <c r="H836" s="151">
        <f t="shared" si="379"/>
        <v>7.3414029545798606E-2</v>
      </c>
      <c r="I836" s="151" t="e">
        <f t="shared" si="379"/>
        <v>#DIV/0!</v>
      </c>
      <c r="J836" s="151">
        <f t="shared" si="379"/>
        <v>6.4945586081382206E-2</v>
      </c>
      <c r="K836" s="151">
        <f t="shared" si="379"/>
        <v>8.8356501075168792E-2</v>
      </c>
      <c r="L836" s="151" t="e">
        <f t="shared" si="379"/>
        <v>#DIV/0!</v>
      </c>
      <c r="M836" s="151" t="e">
        <f t="shared" si="379"/>
        <v>#DIV/0!</v>
      </c>
      <c r="N836" s="151">
        <f t="shared" si="379"/>
        <v>4.5662659635839417E-2</v>
      </c>
      <c r="O836" s="151">
        <f t="shared" si="379"/>
        <v>0.11920500542826315</v>
      </c>
      <c r="P836" s="151">
        <f t="shared" si="379"/>
        <v>3.4789948568772135E-2</v>
      </c>
      <c r="Q836" s="151">
        <f t="shared" si="379"/>
        <v>1.7018477184063484E-2</v>
      </c>
      <c r="R836" s="151">
        <f t="shared" si="379"/>
        <v>2.4534987564531825E-2</v>
      </c>
      <c r="S836" s="151">
        <f t="shared" si="379"/>
        <v>5.3938107227538903E-2</v>
      </c>
      <c r="T836" s="151">
        <f t="shared" si="379"/>
        <v>8.0111688561613506E-2</v>
      </c>
      <c r="U836" s="151">
        <f t="shared" si="379"/>
        <v>7.6229088829125227E-2</v>
      </c>
      <c r="V836" s="151" t="e">
        <f t="shared" si="379"/>
        <v>#DIV/0!</v>
      </c>
      <c r="W836" s="151" t="e">
        <f t="shared" si="379"/>
        <v>#DIV/0!</v>
      </c>
      <c r="X836" s="151" t="e">
        <f t="shared" si="379"/>
        <v>#DIV/0!</v>
      </c>
      <c r="Y836" s="151" t="e">
        <f t="shared" si="379"/>
        <v>#DIV/0!</v>
      </c>
      <c r="Z836" s="151" t="e">
        <f t="shared" si="379"/>
        <v>#DIV/0!</v>
      </c>
      <c r="AA836" s="139"/>
      <c r="AB836" s="139"/>
    </row>
    <row r="837" spans="1:28" s="60" customFormat="1"/>
    <row r="838" spans="1:28" s="60" customFormat="1" ht="15">
      <c r="A838" s="65" t="s">
        <v>842</v>
      </c>
    </row>
    <row r="839" spans="1:28" s="60" customFormat="1"/>
    <row r="840" spans="1:28" s="60" customFormat="1">
      <c r="A840" s="60" t="s">
        <v>837</v>
      </c>
      <c r="F840" s="80">
        <f t="shared" ref="F840:Z840" si="380">F770</f>
        <v>1017201652.4612489</v>
      </c>
      <c r="G840" s="80">
        <f t="shared" si="380"/>
        <v>402691157.59861892</v>
      </c>
      <c r="H840" s="80">
        <f t="shared" si="380"/>
        <v>140975017.27178732</v>
      </c>
      <c r="I840" s="80">
        <f t="shared" si="380"/>
        <v>0</v>
      </c>
      <c r="J840" s="80">
        <f t="shared" si="380"/>
        <v>12142004.094456457</v>
      </c>
      <c r="K840" s="80">
        <f t="shared" si="380"/>
        <v>158862991.66252178</v>
      </c>
      <c r="L840" s="80">
        <f t="shared" si="380"/>
        <v>0</v>
      </c>
      <c r="M840" s="80">
        <f t="shared" si="380"/>
        <v>0</v>
      </c>
      <c r="N840" s="80">
        <f t="shared" si="380"/>
        <v>123888502.46207795</v>
      </c>
      <c r="O840" s="80">
        <f t="shared" si="380"/>
        <v>80679093.725201458</v>
      </c>
      <c r="P840" s="80">
        <f t="shared" si="380"/>
        <v>68446605.210421458</v>
      </c>
      <c r="Q840" s="80">
        <f t="shared" si="380"/>
        <v>6762885.5315703759</v>
      </c>
      <c r="R840" s="80">
        <f t="shared" si="380"/>
        <v>3513275.1177982604</v>
      </c>
      <c r="S840" s="80">
        <f t="shared" si="380"/>
        <v>18735746.033272326</v>
      </c>
      <c r="T840" s="80">
        <f t="shared" si="380"/>
        <v>222752.47327662929</v>
      </c>
      <c r="U840" s="80">
        <f t="shared" si="380"/>
        <v>281621.28024605225</v>
      </c>
      <c r="V840" s="80">
        <f t="shared" si="380"/>
        <v>0</v>
      </c>
      <c r="W840" s="80">
        <f t="shared" si="380"/>
        <v>0</v>
      </c>
      <c r="X840" s="80">
        <f t="shared" si="380"/>
        <v>0</v>
      </c>
      <c r="Y840" s="80">
        <f t="shared" si="380"/>
        <v>0</v>
      </c>
      <c r="Z840" s="80">
        <f t="shared" si="380"/>
        <v>0</v>
      </c>
      <c r="AA840" s="80">
        <f>SUM(G840:Z840)</f>
        <v>1017201652.4612489</v>
      </c>
      <c r="AB840" s="93" t="str">
        <f>IF(ABS(F840-AA840)&lt;0.01,"ok","err")</f>
        <v>ok</v>
      </c>
    </row>
    <row r="841" spans="1:28" s="60" customFormat="1"/>
    <row r="842" spans="1:28" s="60" customFormat="1">
      <c r="A842" s="60" t="s">
        <v>1116</v>
      </c>
      <c r="F842" s="80">
        <f t="shared" ref="F842:Z842" si="381">F774+F775+F777+F780+F781+F782+F784+F785+F819</f>
        <v>851931689.12269807</v>
      </c>
      <c r="G842" s="80">
        <f t="shared" si="381"/>
        <v>369724009.00515795</v>
      </c>
      <c r="H842" s="80">
        <f t="shared" si="381"/>
        <v>106449345.75028534</v>
      </c>
      <c r="I842" s="80">
        <f t="shared" si="381"/>
        <v>0</v>
      </c>
      <c r="J842" s="80">
        <f t="shared" si="381"/>
        <v>9938697.9575469736</v>
      </c>
      <c r="K842" s="80">
        <f t="shared" si="381"/>
        <v>118562578.49721855</v>
      </c>
      <c r="L842" s="80">
        <f t="shared" si="381"/>
        <v>0</v>
      </c>
      <c r="M842" s="80">
        <f t="shared" si="381"/>
        <v>0</v>
      </c>
      <c r="N842" s="80">
        <f t="shared" si="381"/>
        <v>108566629.27723613</v>
      </c>
      <c r="O842" s="80">
        <f t="shared" si="381"/>
        <v>52891565.361392587</v>
      </c>
      <c r="P842" s="80">
        <f t="shared" si="381"/>
        <v>62816879.517643869</v>
      </c>
      <c r="Q842" s="80">
        <f t="shared" si="381"/>
        <v>6580064.7733946219</v>
      </c>
      <c r="R842" s="80">
        <f t="shared" si="381"/>
        <v>3330888.7821850129</v>
      </c>
      <c r="S842" s="80">
        <f t="shared" si="381"/>
        <v>12662374.200218074</v>
      </c>
      <c r="T842" s="80">
        <f t="shared" si="381"/>
        <v>183279.1854039887</v>
      </c>
      <c r="U842" s="80">
        <f t="shared" si="381"/>
        <v>225376.81501500341</v>
      </c>
      <c r="V842" s="80">
        <f t="shared" si="381"/>
        <v>0</v>
      </c>
      <c r="W842" s="80">
        <f t="shared" si="381"/>
        <v>0</v>
      </c>
      <c r="X842" s="80">
        <f t="shared" si="381"/>
        <v>0</v>
      </c>
      <c r="Y842" s="80">
        <f t="shared" si="381"/>
        <v>0</v>
      </c>
      <c r="Z842" s="80">
        <f t="shared" si="381"/>
        <v>0</v>
      </c>
      <c r="AA842" s="80">
        <f>SUM(G842:Z842)</f>
        <v>851931689.12269783</v>
      </c>
      <c r="AB842" s="93" t="str">
        <f>IF(ABS(F842-AA842)&lt;0.01,"ok","err")</f>
        <v>ok</v>
      </c>
    </row>
    <row r="843" spans="1:28" s="60" customFormat="1"/>
    <row r="844" spans="1:28" s="60" customFormat="1">
      <c r="A844" s="60" t="s">
        <v>838</v>
      </c>
      <c r="D844" s="60" t="s">
        <v>843</v>
      </c>
      <c r="F844" s="153">
        <f t="shared" ref="F844:Z844" si="382">F691</f>
        <v>62185554.183806494</v>
      </c>
      <c r="G844" s="153">
        <f t="shared" si="382"/>
        <v>30245175.128357016</v>
      </c>
      <c r="H844" s="153">
        <f t="shared" si="382"/>
        <v>7893136.8616490923</v>
      </c>
      <c r="I844" s="153">
        <f t="shared" si="382"/>
        <v>0</v>
      </c>
      <c r="J844" s="153">
        <f t="shared" si="382"/>
        <v>583898.26375443523</v>
      </c>
      <c r="K844" s="153">
        <f t="shared" si="382"/>
        <v>7528723.6289021643</v>
      </c>
      <c r="L844" s="153">
        <f t="shared" si="382"/>
        <v>0</v>
      </c>
      <c r="M844" s="153">
        <f t="shared" si="382"/>
        <v>0</v>
      </c>
      <c r="N844" s="153">
        <f t="shared" si="382"/>
        <v>6252840.9339411771</v>
      </c>
      <c r="O844" s="153">
        <f t="shared" si="382"/>
        <v>3737964.8383186734</v>
      </c>
      <c r="P844" s="153">
        <f t="shared" si="382"/>
        <v>3264548.9141497239</v>
      </c>
      <c r="Q844" s="153">
        <f t="shared" si="382"/>
        <v>393295.0592991946</v>
      </c>
      <c r="R844" s="153">
        <f t="shared" si="382"/>
        <v>182377.02075575007</v>
      </c>
      <c r="S844" s="153">
        <f t="shared" si="382"/>
        <v>2083547.4240824259</v>
      </c>
      <c r="T844" s="153">
        <f t="shared" si="382"/>
        <v>7827.6899862554428</v>
      </c>
      <c r="U844" s="153">
        <f t="shared" si="382"/>
        <v>12218.420610588899</v>
      </c>
      <c r="V844" s="153">
        <f t="shared" si="382"/>
        <v>0</v>
      </c>
      <c r="W844" s="153">
        <f t="shared" si="382"/>
        <v>0</v>
      </c>
      <c r="X844" s="153">
        <f t="shared" si="382"/>
        <v>0</v>
      </c>
      <c r="Y844" s="153">
        <f t="shared" si="382"/>
        <v>0</v>
      </c>
      <c r="Z844" s="153">
        <f t="shared" si="382"/>
        <v>0</v>
      </c>
      <c r="AA844" s="153">
        <f>SUM(G844:Z844)</f>
        <v>62185554.183806509</v>
      </c>
      <c r="AB844" s="93" t="str">
        <f>IF(ABS(F844-AA844)&lt;0.01,"ok","err")</f>
        <v>ok</v>
      </c>
    </row>
    <row r="845" spans="1:28" s="60" customFormat="1"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93"/>
    </row>
    <row r="846" spans="1:28" s="60" customFormat="1">
      <c r="A846" s="60" t="s">
        <v>844</v>
      </c>
      <c r="E846" s="60" t="s">
        <v>843</v>
      </c>
      <c r="F846" s="136">
        <f>6252540+1101472</f>
        <v>7354012</v>
      </c>
      <c r="G846" s="135">
        <f t="shared" ref="G846:Z846" si="383">IF(VLOOKUP($E846,$D$6:$AN$1131,3,)=0,0,(VLOOKUP($E846,$D$6:$AN$1131,G$2,)/VLOOKUP($E846,$D$6:$AN$1131,3,))*$F846)</f>
        <v>3576769.2956246012</v>
      </c>
      <c r="H846" s="135">
        <f t="shared" si="383"/>
        <v>933435.81093831209</v>
      </c>
      <c r="I846" s="135">
        <f t="shared" si="383"/>
        <v>0</v>
      </c>
      <c r="J846" s="135">
        <f t="shared" si="383"/>
        <v>69051.323812877832</v>
      </c>
      <c r="K846" s="135">
        <f t="shared" si="383"/>
        <v>890340.60463592038</v>
      </c>
      <c r="L846" s="135">
        <f t="shared" si="383"/>
        <v>0</v>
      </c>
      <c r="M846" s="135">
        <f t="shared" si="383"/>
        <v>0</v>
      </c>
      <c r="N846" s="135">
        <f t="shared" si="383"/>
        <v>739455.77660010639</v>
      </c>
      <c r="O846" s="135">
        <f t="shared" si="383"/>
        <v>442048.61784012051</v>
      </c>
      <c r="P846" s="135">
        <f t="shared" si="383"/>
        <v>386062.84376405459</v>
      </c>
      <c r="Q846" s="135">
        <f t="shared" si="383"/>
        <v>46510.747127508286</v>
      </c>
      <c r="R846" s="135">
        <f t="shared" si="383"/>
        <v>21567.75503194426</v>
      </c>
      <c r="S846" s="135">
        <f t="shared" si="383"/>
        <v>246398.58823130513</v>
      </c>
      <c r="T846" s="135">
        <f t="shared" si="383"/>
        <v>925.69611780017931</v>
      </c>
      <c r="U846" s="135">
        <f t="shared" si="383"/>
        <v>1444.9402754493219</v>
      </c>
      <c r="V846" s="135">
        <f t="shared" si="383"/>
        <v>0</v>
      </c>
      <c r="W846" s="135">
        <f t="shared" si="383"/>
        <v>0</v>
      </c>
      <c r="X846" s="79">
        <f t="shared" si="383"/>
        <v>0</v>
      </c>
      <c r="Y846" s="79">
        <f t="shared" si="383"/>
        <v>0</v>
      </c>
      <c r="Z846" s="79">
        <f t="shared" si="383"/>
        <v>0</v>
      </c>
      <c r="AA846" s="136">
        <f>SUM(G846:Z846)</f>
        <v>7354012</v>
      </c>
      <c r="AB846" s="93" t="str">
        <f>IF(ABS(F846-AA846)&lt;0.01,"ok","err")</f>
        <v>ok</v>
      </c>
    </row>
    <row r="847" spans="1:28" s="60" customFormat="1"/>
    <row r="848" spans="1:28" s="60" customFormat="1">
      <c r="A848" s="60" t="s">
        <v>836</v>
      </c>
      <c r="D848" s="60" t="s">
        <v>845</v>
      </c>
      <c r="F848" s="80">
        <f>F840-F842-F844-F846</f>
        <v>95730397.154744312</v>
      </c>
      <c r="G848" s="80">
        <f t="shared" ref="G848:Z848" si="384">G840-G842-G844-G846</f>
        <v>-854795.83052063966</v>
      </c>
      <c r="H848" s="80">
        <f t="shared" si="384"/>
        <v>25699098.848914567</v>
      </c>
      <c r="I848" s="80">
        <f t="shared" si="384"/>
        <v>0</v>
      </c>
      <c r="J848" s="80">
        <f t="shared" si="384"/>
        <v>1550356.5493421699</v>
      </c>
      <c r="K848" s="80">
        <f t="shared" si="384"/>
        <v>31881348.931765147</v>
      </c>
      <c r="L848" s="80">
        <f t="shared" si="384"/>
        <v>0</v>
      </c>
      <c r="M848" s="80">
        <f t="shared" si="384"/>
        <v>0</v>
      </c>
      <c r="N848" s="80">
        <f t="shared" si="384"/>
        <v>8329576.474300527</v>
      </c>
      <c r="O848" s="80">
        <f>O840-O842-O844-O846</f>
        <v>23607514.90765008</v>
      </c>
      <c r="P848" s="80">
        <f t="shared" si="384"/>
        <v>1979113.9348638104</v>
      </c>
      <c r="Q848" s="80">
        <f t="shared" si="384"/>
        <v>-256985.04825094889</v>
      </c>
      <c r="R848" s="80">
        <f t="shared" si="384"/>
        <v>-21558.440174446856</v>
      </c>
      <c r="S848" s="80">
        <f t="shared" si="384"/>
        <v>3743425.820740521</v>
      </c>
      <c r="T848" s="80">
        <f t="shared" si="384"/>
        <v>30719.901768584969</v>
      </c>
      <c r="U848" s="80">
        <f t="shared" si="384"/>
        <v>42581.104345010623</v>
      </c>
      <c r="V848" s="80">
        <f t="shared" si="384"/>
        <v>0</v>
      </c>
      <c r="W848" s="80">
        <f t="shared" si="384"/>
        <v>0</v>
      </c>
      <c r="X848" s="80">
        <f t="shared" si="384"/>
        <v>0</v>
      </c>
      <c r="Y848" s="80">
        <f t="shared" si="384"/>
        <v>0</v>
      </c>
      <c r="Z848" s="80">
        <f t="shared" si="384"/>
        <v>0</v>
      </c>
      <c r="AA848" s="80">
        <f>SUM(G848:Z848)</f>
        <v>95730397.154744372</v>
      </c>
      <c r="AB848" s="93" t="str">
        <f>IF(ABS(F848-AA848)&lt;0.01,"ok","err")</f>
        <v>ok</v>
      </c>
    </row>
    <row r="849" spans="1:28" s="60" customFormat="1"/>
    <row r="850" spans="1:28" s="60" customFormat="1" hidden="1"/>
    <row r="851" spans="1:28" s="60" customFormat="1" ht="15" hidden="1">
      <c r="A851" s="65" t="s">
        <v>1314</v>
      </c>
    </row>
    <row r="852" spans="1:28" s="60" customFormat="1" hidden="1"/>
    <row r="853" spans="1:28" s="60" customFormat="1" ht="15" hidden="1">
      <c r="A853" s="65" t="s">
        <v>1112</v>
      </c>
    </row>
    <row r="854" spans="1:28" s="60" customFormat="1" hidden="1"/>
    <row r="855" spans="1:28" s="60" customFormat="1" hidden="1">
      <c r="A855" s="60" t="s">
        <v>134</v>
      </c>
      <c r="F855" s="80">
        <f t="shared" ref="F855:Z855" si="385">F770</f>
        <v>1017201652.4612489</v>
      </c>
      <c r="G855" s="80">
        <f t="shared" si="385"/>
        <v>402691157.59861892</v>
      </c>
      <c r="H855" s="80">
        <f t="shared" si="385"/>
        <v>140975017.27178732</v>
      </c>
      <c r="I855" s="80">
        <f t="shared" si="385"/>
        <v>0</v>
      </c>
      <c r="J855" s="80">
        <f t="shared" si="385"/>
        <v>12142004.094456457</v>
      </c>
      <c r="K855" s="80">
        <f t="shared" si="385"/>
        <v>158862991.66252178</v>
      </c>
      <c r="L855" s="80">
        <f t="shared" si="385"/>
        <v>0</v>
      </c>
      <c r="M855" s="80">
        <f t="shared" si="385"/>
        <v>0</v>
      </c>
      <c r="N855" s="80">
        <f t="shared" si="385"/>
        <v>123888502.46207795</v>
      </c>
      <c r="O855" s="80">
        <f t="shared" si="385"/>
        <v>80679093.725201458</v>
      </c>
      <c r="P855" s="80">
        <f t="shared" si="385"/>
        <v>68446605.210421458</v>
      </c>
      <c r="Q855" s="80">
        <f t="shared" si="385"/>
        <v>6762885.5315703759</v>
      </c>
      <c r="R855" s="80">
        <f t="shared" si="385"/>
        <v>3513275.1177982604</v>
      </c>
      <c r="S855" s="80">
        <f t="shared" si="385"/>
        <v>18735746.033272326</v>
      </c>
      <c r="T855" s="80">
        <f t="shared" si="385"/>
        <v>222752.47327662929</v>
      </c>
      <c r="U855" s="80">
        <f t="shared" si="385"/>
        <v>281621.28024605225</v>
      </c>
      <c r="V855" s="80">
        <f t="shared" si="385"/>
        <v>0</v>
      </c>
      <c r="W855" s="80">
        <f t="shared" si="385"/>
        <v>0</v>
      </c>
      <c r="X855" s="80">
        <f t="shared" si="385"/>
        <v>0</v>
      </c>
      <c r="Y855" s="80">
        <f t="shared" si="385"/>
        <v>0</v>
      </c>
      <c r="Z855" s="80">
        <f t="shared" si="385"/>
        <v>0</v>
      </c>
      <c r="AA855" s="80">
        <f>ROUND(SUM(G855:Z855),2)</f>
        <v>1017201652.46</v>
      </c>
      <c r="AB855" s="93" t="str">
        <f>IF(ABS(F855-AA855)&lt;0.01,"ok","err")</f>
        <v>ok</v>
      </c>
    </row>
    <row r="856" spans="1:28" s="60" customFormat="1" hidden="1"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93"/>
    </row>
    <row r="857" spans="1:28" s="60" customFormat="1" hidden="1">
      <c r="A857" s="60" t="s">
        <v>135</v>
      </c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93"/>
    </row>
    <row r="858" spans="1:28" s="60" customFormat="1" hidden="1">
      <c r="A858" s="60" t="s">
        <v>900</v>
      </c>
      <c r="F858" s="76">
        <f t="shared" ref="F858:Z858" si="386">($F$836*F834-F828)/(1-$E$868)</f>
        <v>0</v>
      </c>
      <c r="G858" s="76">
        <f t="shared" si="386"/>
        <v>42598837.38413965</v>
      </c>
      <c r="H858" s="76">
        <f t="shared" si="386"/>
        <v>-11926226.271943035</v>
      </c>
      <c r="I858" s="76">
        <f t="shared" si="386"/>
        <v>0</v>
      </c>
      <c r="J858" s="76">
        <f t="shared" si="386"/>
        <v>-580347.27934711077</v>
      </c>
      <c r="K858" s="76">
        <f t="shared" si="386"/>
        <v>-18531967.952549819</v>
      </c>
      <c r="L858" s="76">
        <f t="shared" si="386"/>
        <v>0</v>
      </c>
      <c r="M858" s="76">
        <f t="shared" si="386"/>
        <v>0</v>
      </c>
      <c r="N858" s="76">
        <f t="shared" si="386"/>
        <v>1391385.0613274591</v>
      </c>
      <c r="O858" s="76">
        <f t="shared" si="386"/>
        <v>-16377159.51833838</v>
      </c>
      <c r="P858" s="76">
        <f t="shared" si="386"/>
        <v>2985516.250891163</v>
      </c>
      <c r="Q858" s="76">
        <f t="shared" si="386"/>
        <v>797055.26687945914</v>
      </c>
      <c r="R858" s="76">
        <f t="shared" si="386"/>
        <v>284558.93622522976</v>
      </c>
      <c r="S858" s="76">
        <f t="shared" si="386"/>
        <v>-605193.27619977354</v>
      </c>
      <c r="T858" s="76">
        <f t="shared" si="386"/>
        <v>-15559.106295719872</v>
      </c>
      <c r="U858" s="76">
        <f t="shared" si="386"/>
        <v>-20899.494789238433</v>
      </c>
      <c r="V858" s="76">
        <f t="shared" si="386"/>
        <v>0</v>
      </c>
      <c r="W858" s="76">
        <f t="shared" si="386"/>
        <v>0</v>
      </c>
      <c r="X858" s="76">
        <f t="shared" si="386"/>
        <v>0</v>
      </c>
      <c r="Y858" s="76">
        <f t="shared" si="386"/>
        <v>0</v>
      </c>
      <c r="Z858" s="76">
        <f t="shared" si="386"/>
        <v>0</v>
      </c>
      <c r="AA858" s="80">
        <f>SUM(G858:Z858)</f>
        <v>-1.1363226803950965E-7</v>
      </c>
      <c r="AB858" s="93" t="str">
        <f>IF(ABS(F858-AA858)&lt;0.01,"ok","err")</f>
        <v>ok</v>
      </c>
    </row>
    <row r="859" spans="1:28" s="60" customFormat="1" hidden="1"/>
    <row r="860" spans="1:28" s="60" customFormat="1" hidden="1">
      <c r="A860" s="60" t="s">
        <v>136</v>
      </c>
      <c r="F860" s="80">
        <f t="shared" ref="F860:Z860" si="387">SUM(F855:F858)</f>
        <v>1017201652.4612489</v>
      </c>
      <c r="G860" s="80">
        <f t="shared" si="387"/>
        <v>445289994.98275858</v>
      </c>
      <c r="H860" s="80">
        <f t="shared" si="387"/>
        <v>129048790.99984428</v>
      </c>
      <c r="I860" s="80">
        <f t="shared" si="387"/>
        <v>0</v>
      </c>
      <c r="J860" s="80">
        <f t="shared" si="387"/>
        <v>11561656.815109346</v>
      </c>
      <c r="K860" s="80">
        <f t="shared" si="387"/>
        <v>140331023.70997196</v>
      </c>
      <c r="L860" s="80">
        <f t="shared" si="387"/>
        <v>0</v>
      </c>
      <c r="M860" s="80">
        <f t="shared" si="387"/>
        <v>0</v>
      </c>
      <c r="N860" s="80">
        <f t="shared" si="387"/>
        <v>125279887.5234054</v>
      </c>
      <c r="O860" s="80">
        <f t="shared" si="387"/>
        <v>64301934.206863075</v>
      </c>
      <c r="P860" s="80">
        <f t="shared" si="387"/>
        <v>71432121.461312622</v>
      </c>
      <c r="Q860" s="80">
        <f t="shared" si="387"/>
        <v>7559940.7984498348</v>
      </c>
      <c r="R860" s="80">
        <f t="shared" si="387"/>
        <v>3797834.0540234903</v>
      </c>
      <c r="S860" s="80">
        <f t="shared" si="387"/>
        <v>18130552.757072553</v>
      </c>
      <c r="T860" s="80">
        <f t="shared" si="387"/>
        <v>207193.36698090943</v>
      </c>
      <c r="U860" s="80">
        <f t="shared" si="387"/>
        <v>260721.78545681381</v>
      </c>
      <c r="V860" s="80">
        <f t="shared" si="387"/>
        <v>0</v>
      </c>
      <c r="W860" s="80">
        <f t="shared" si="387"/>
        <v>0</v>
      </c>
      <c r="X860" s="80">
        <f t="shared" si="387"/>
        <v>0</v>
      </c>
      <c r="Y860" s="80">
        <f t="shared" si="387"/>
        <v>0</v>
      </c>
      <c r="Z860" s="80">
        <f t="shared" si="387"/>
        <v>0</v>
      </c>
      <c r="AA860" s="80">
        <f>ROUND(SUM(G860:Z860),2)</f>
        <v>1017201652.46</v>
      </c>
      <c r="AB860" s="93" t="str">
        <f>IF(ABS(F860-AA860)&lt;0.01,"ok","err")</f>
        <v>ok</v>
      </c>
    </row>
    <row r="861" spans="1:28" s="60" customFormat="1" hidden="1"/>
    <row r="862" spans="1:28" s="60" customFormat="1" ht="15" hidden="1">
      <c r="A862" s="65" t="s">
        <v>1116</v>
      </c>
    </row>
    <row r="863" spans="1:28" s="60" customFormat="1" hidden="1"/>
    <row r="864" spans="1:28" s="60" customFormat="1" hidden="1">
      <c r="A864" s="60" t="s">
        <v>1119</v>
      </c>
      <c r="F864" s="80">
        <f>F821</f>
        <v>900088775.12269807</v>
      </c>
      <c r="G864" s="80">
        <f t="shared" ref="G864:Z864" si="388">G821</f>
        <v>372178374.85302812</v>
      </c>
      <c r="H864" s="80">
        <f t="shared" si="388"/>
        <v>118798755.85954961</v>
      </c>
      <c r="I864" s="80">
        <f t="shared" si="388"/>
        <v>0</v>
      </c>
      <c r="J864" s="80">
        <f t="shared" si="388"/>
        <v>10674314.055227157</v>
      </c>
      <c r="K864" s="80">
        <f t="shared" si="388"/>
        <v>133211477.61188452</v>
      </c>
      <c r="L864" s="80">
        <f t="shared" si="388"/>
        <v>0</v>
      </c>
      <c r="M864" s="80">
        <f t="shared" si="388"/>
        <v>0</v>
      </c>
      <c r="N864" s="80">
        <f t="shared" si="388"/>
        <v>112829253.62369046</v>
      </c>
      <c r="O864" s="80">
        <f t="shared" si="388"/>
        <v>63570257.386154547</v>
      </c>
      <c r="P864" s="80">
        <f t="shared" si="388"/>
        <v>64020027.56778039</v>
      </c>
      <c r="Q864" s="80">
        <f t="shared" si="388"/>
        <v>6504147.9048345136</v>
      </c>
      <c r="R864" s="80">
        <f t="shared" si="388"/>
        <v>3339501.4298508833</v>
      </c>
      <c r="S864" s="80">
        <f t="shared" si="388"/>
        <v>14519175.249503555</v>
      </c>
      <c r="T864" s="80">
        <f t="shared" si="388"/>
        <v>198019.37477549116</v>
      </c>
      <c r="U864" s="80">
        <f t="shared" si="388"/>
        <v>245470.20641885977</v>
      </c>
      <c r="V864" s="80">
        <f t="shared" si="388"/>
        <v>0</v>
      </c>
      <c r="W864" s="80">
        <f t="shared" si="388"/>
        <v>0</v>
      </c>
      <c r="X864" s="80">
        <f t="shared" si="388"/>
        <v>0</v>
      </c>
      <c r="Y864" s="80">
        <f t="shared" si="388"/>
        <v>0</v>
      </c>
      <c r="Z864" s="80">
        <f t="shared" si="388"/>
        <v>0</v>
      </c>
      <c r="AA864" s="80">
        <f>ROUND(SUM(G864:Z864),2)</f>
        <v>900088775.12</v>
      </c>
      <c r="AB864" s="93" t="str">
        <f>IF(ABS(F864-AA864)&lt;0.01,"ok","err")</f>
        <v>ok</v>
      </c>
    </row>
    <row r="865" spans="1:28" s="60" customFormat="1" hidden="1"/>
    <row r="866" spans="1:28" s="60" customFormat="1" hidden="1">
      <c r="A866" s="60" t="s">
        <v>710</v>
      </c>
      <c r="F866" s="112">
        <f t="shared" ref="F866:Z866" si="389">F838</f>
        <v>0</v>
      </c>
      <c r="G866" s="112">
        <f t="shared" si="389"/>
        <v>0</v>
      </c>
      <c r="H866" s="112">
        <f t="shared" si="389"/>
        <v>0</v>
      </c>
      <c r="I866" s="112">
        <f t="shared" si="389"/>
        <v>0</v>
      </c>
      <c r="J866" s="112">
        <f t="shared" si="389"/>
        <v>0</v>
      </c>
      <c r="K866" s="112">
        <f t="shared" si="389"/>
        <v>0</v>
      </c>
      <c r="L866" s="112">
        <f t="shared" si="389"/>
        <v>0</v>
      </c>
      <c r="M866" s="112">
        <f t="shared" si="389"/>
        <v>0</v>
      </c>
      <c r="N866" s="112">
        <f t="shared" si="389"/>
        <v>0</v>
      </c>
      <c r="O866" s="112">
        <f t="shared" si="389"/>
        <v>0</v>
      </c>
      <c r="P866" s="112">
        <f t="shared" si="389"/>
        <v>0</v>
      </c>
      <c r="Q866" s="112">
        <f t="shared" si="389"/>
        <v>0</v>
      </c>
      <c r="R866" s="112">
        <f t="shared" si="389"/>
        <v>0</v>
      </c>
      <c r="S866" s="112">
        <f t="shared" si="389"/>
        <v>0</v>
      </c>
      <c r="T866" s="112">
        <f t="shared" si="389"/>
        <v>0</v>
      </c>
      <c r="U866" s="112">
        <f t="shared" si="389"/>
        <v>0</v>
      </c>
      <c r="V866" s="112">
        <f t="shared" si="389"/>
        <v>0</v>
      </c>
      <c r="W866" s="112">
        <f t="shared" si="389"/>
        <v>0</v>
      </c>
      <c r="X866" s="112">
        <f t="shared" si="389"/>
        <v>0</v>
      </c>
      <c r="Y866" s="112">
        <f t="shared" si="389"/>
        <v>0</v>
      </c>
      <c r="Z866" s="112">
        <f t="shared" si="389"/>
        <v>0</v>
      </c>
      <c r="AA866" s="80">
        <f>ROUND(SUM(G866:Z866),2)</f>
        <v>0</v>
      </c>
      <c r="AB866" s="93" t="str">
        <f>IF(ABS(F866-AA866)&lt;0.01,"ok","err")</f>
        <v>ok</v>
      </c>
    </row>
    <row r="867" spans="1:28" s="60" customFormat="1" hidden="1">
      <c r="F867" s="112"/>
      <c r="G867" s="112"/>
      <c r="H867" s="112"/>
      <c r="I867" s="112"/>
      <c r="J867" s="112"/>
      <c r="K867" s="112"/>
      <c r="L867" s="112"/>
      <c r="M867" s="112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  <c r="X867" s="112"/>
      <c r="Y867" s="112"/>
      <c r="Z867" s="112"/>
      <c r="AA867" s="80"/>
      <c r="AB867" s="93"/>
    </row>
    <row r="868" spans="1:28" s="60" customFormat="1" hidden="1">
      <c r="A868" s="60" t="s">
        <v>711</v>
      </c>
      <c r="E868" s="60">
        <f>0.0582471+0.32814317</f>
        <v>0.38639026999999998</v>
      </c>
      <c r="F868" s="112">
        <f>F858*$E$868</f>
        <v>0</v>
      </c>
      <c r="G868" s="112">
        <f>G858*$E$868</f>
        <v>16459776.278543811</v>
      </c>
      <c r="H868" s="112">
        <f>H858*$E$868</f>
        <v>-4608177.7892971626</v>
      </c>
      <c r="I868" s="112">
        <f t="shared" ref="I868:Z868" si="390">I858*$E$868</f>
        <v>0</v>
      </c>
      <c r="J868" s="112">
        <f t="shared" si="390"/>
        <v>-224240.54196069555</v>
      </c>
      <c r="K868" s="112">
        <f t="shared" si="390"/>
        <v>-7160572.1008170713</v>
      </c>
      <c r="L868" s="112">
        <f t="shared" si="390"/>
        <v>0</v>
      </c>
      <c r="M868" s="112">
        <f t="shared" si="390"/>
        <v>0</v>
      </c>
      <c r="N868" s="112">
        <f t="shared" si="390"/>
        <v>537617.64952028345</v>
      </c>
      <c r="O868" s="112">
        <f t="shared" si="390"/>
        <v>-6327975.0881238366</v>
      </c>
      <c r="P868" s="112">
        <f t="shared" si="390"/>
        <v>1153574.4302712241</v>
      </c>
      <c r="Q868" s="112">
        <f t="shared" si="390"/>
        <v>307974.39977447625</v>
      </c>
      <c r="R868" s="112">
        <f t="shared" si="390"/>
        <v>109950.8041989793</v>
      </c>
      <c r="S868" s="112">
        <f t="shared" si="390"/>
        <v>-233840.79339301505</v>
      </c>
      <c r="T868" s="112">
        <f t="shared" si="390"/>
        <v>-6011.887282561901</v>
      </c>
      <c r="U868" s="112">
        <f t="shared" si="390"/>
        <v>-8075.3614344774314</v>
      </c>
      <c r="V868" s="112">
        <f t="shared" si="390"/>
        <v>0</v>
      </c>
      <c r="W868" s="112">
        <f t="shared" si="390"/>
        <v>0</v>
      </c>
      <c r="X868" s="112">
        <f t="shared" si="390"/>
        <v>0</v>
      </c>
      <c r="Y868" s="112">
        <f t="shared" si="390"/>
        <v>0</v>
      </c>
      <c r="Z868" s="112">
        <f t="shared" si="390"/>
        <v>0</v>
      </c>
      <c r="AA868" s="80">
        <f>ROUND(SUM(G868:Z868),2)</f>
        <v>0</v>
      </c>
      <c r="AB868" s="93" t="str">
        <f>IF(ABS(F868-AA868)&lt;0.01,"ok","err")</f>
        <v>ok</v>
      </c>
    </row>
    <row r="869" spans="1:28" s="60" customFormat="1" hidden="1">
      <c r="A869" s="68"/>
      <c r="F869" s="79"/>
      <c r="G869" s="76"/>
      <c r="H869" s="76"/>
      <c r="I869" s="76"/>
      <c r="J869" s="76"/>
      <c r="K869" s="76"/>
      <c r="L869" s="76"/>
      <c r="M869" s="76"/>
      <c r="N869" s="76"/>
      <c r="O869" s="76"/>
      <c r="P869" s="76"/>
      <c r="Q869" s="76"/>
      <c r="R869" s="76"/>
      <c r="S869" s="76"/>
      <c r="T869" s="76"/>
      <c r="U869" s="76"/>
      <c r="V869" s="76"/>
      <c r="W869" s="76"/>
      <c r="X869" s="76"/>
      <c r="Y869" s="76"/>
      <c r="Z869" s="76"/>
      <c r="AA869" s="80"/>
      <c r="AB869" s="93"/>
    </row>
    <row r="870" spans="1:28" s="60" customFormat="1" hidden="1">
      <c r="A870" s="60" t="s">
        <v>137</v>
      </c>
      <c r="F870" s="80">
        <f t="shared" ref="F870:N870" si="391">SUM(F864:F869)</f>
        <v>900088775.12269807</v>
      </c>
      <c r="G870" s="80">
        <f t="shared" si="391"/>
        <v>388638151.13157195</v>
      </c>
      <c r="H870" s="80">
        <f t="shared" si="391"/>
        <v>114190578.07025245</v>
      </c>
      <c r="I870" s="80">
        <f t="shared" si="391"/>
        <v>0</v>
      </c>
      <c r="J870" s="80">
        <f t="shared" si="391"/>
        <v>10450073.513266461</v>
      </c>
      <c r="K870" s="80">
        <f t="shared" si="391"/>
        <v>126050905.51106745</v>
      </c>
      <c r="L870" s="80">
        <f t="shared" si="391"/>
        <v>0</v>
      </c>
      <c r="M870" s="80">
        <f t="shared" si="391"/>
        <v>0</v>
      </c>
      <c r="N870" s="80">
        <f t="shared" si="391"/>
        <v>113366871.27321073</v>
      </c>
      <c r="O870" s="80">
        <f>SUM(O864:O869)</f>
        <v>57242282.298030712</v>
      </c>
      <c r="P870" s="80">
        <f t="shared" ref="P870:Z870" si="392">SUM(P864:P869)</f>
        <v>65173601.998051614</v>
      </c>
      <c r="Q870" s="80">
        <f t="shared" si="392"/>
        <v>6812122.3046089895</v>
      </c>
      <c r="R870" s="80">
        <f t="shared" si="392"/>
        <v>3449452.2340498627</v>
      </c>
      <c r="S870" s="80">
        <f t="shared" si="392"/>
        <v>14285334.456110539</v>
      </c>
      <c r="T870" s="80">
        <f t="shared" si="392"/>
        <v>192007.48749292927</v>
      </c>
      <c r="U870" s="80">
        <f t="shared" si="392"/>
        <v>237394.84498438233</v>
      </c>
      <c r="V870" s="80">
        <f t="shared" si="392"/>
        <v>0</v>
      </c>
      <c r="W870" s="80">
        <f t="shared" si="392"/>
        <v>0</v>
      </c>
      <c r="X870" s="80">
        <f t="shared" si="392"/>
        <v>0</v>
      </c>
      <c r="Y870" s="80">
        <f t="shared" si="392"/>
        <v>0</v>
      </c>
      <c r="Z870" s="80">
        <f t="shared" si="392"/>
        <v>0</v>
      </c>
      <c r="AA870" s="80">
        <f>ROUND(SUM(G870:Z870),2)</f>
        <v>900088775.12</v>
      </c>
      <c r="AB870" s="93" t="str">
        <f>IF(ABS(F870-AA870)&lt;0.01,"ok","err")</f>
        <v>ok</v>
      </c>
    </row>
    <row r="871" spans="1:28" s="60" customFormat="1" hidden="1"/>
    <row r="872" spans="1:28" s="60" customFormat="1" hidden="1"/>
    <row r="873" spans="1:28" s="60" customFormat="1" ht="15" hidden="1">
      <c r="A873" s="65" t="s">
        <v>894</v>
      </c>
      <c r="F873" s="80">
        <f t="shared" ref="F873:Z873" si="393">F860-F870</f>
        <v>117112877.33855081</v>
      </c>
      <c r="G873" s="80">
        <f t="shared" si="393"/>
        <v>56651843.851186633</v>
      </c>
      <c r="H873" s="80">
        <f t="shared" si="393"/>
        <v>14858212.929591835</v>
      </c>
      <c r="I873" s="80">
        <f t="shared" si="393"/>
        <v>0</v>
      </c>
      <c r="J873" s="80">
        <f t="shared" si="393"/>
        <v>1111583.3018428851</v>
      </c>
      <c r="K873" s="80">
        <f t="shared" si="393"/>
        <v>14280118.198904514</v>
      </c>
      <c r="L873" s="80">
        <f t="shared" si="393"/>
        <v>0</v>
      </c>
      <c r="M873" s="80">
        <f t="shared" si="393"/>
        <v>0</v>
      </c>
      <c r="N873" s="80">
        <f t="shared" si="393"/>
        <v>11913016.250194669</v>
      </c>
      <c r="O873" s="80">
        <f t="shared" si="393"/>
        <v>7059651.9088323638</v>
      </c>
      <c r="P873" s="80">
        <f t="shared" si="393"/>
        <v>6258519.4632610083</v>
      </c>
      <c r="Q873" s="80">
        <f t="shared" si="393"/>
        <v>747818.4938408453</v>
      </c>
      <c r="R873" s="80">
        <f t="shared" si="393"/>
        <v>348381.81997362757</v>
      </c>
      <c r="S873" s="80">
        <f t="shared" si="393"/>
        <v>3845218.3009620141</v>
      </c>
      <c r="T873" s="80">
        <f t="shared" si="393"/>
        <v>15185.879487980157</v>
      </c>
      <c r="U873" s="80">
        <f t="shared" si="393"/>
        <v>23326.940472431481</v>
      </c>
      <c r="V873" s="80">
        <f t="shared" si="393"/>
        <v>0</v>
      </c>
      <c r="W873" s="80">
        <f t="shared" si="393"/>
        <v>0</v>
      </c>
      <c r="X873" s="80">
        <f t="shared" si="393"/>
        <v>0</v>
      </c>
      <c r="Y873" s="80">
        <f t="shared" si="393"/>
        <v>0</v>
      </c>
      <c r="Z873" s="80">
        <f t="shared" si="393"/>
        <v>0</v>
      </c>
      <c r="AA873" s="80">
        <f>ROUND(SUM(G873:Z873),2)</f>
        <v>117112877.34</v>
      </c>
      <c r="AB873" s="93" t="str">
        <f>IF(ABS(F873-AA873)&lt;0.01,"ok","err")</f>
        <v>ok</v>
      </c>
    </row>
    <row r="874" spans="1:28" s="60" customFormat="1" hidden="1"/>
    <row r="875" spans="1:28" s="60" customFormat="1" ht="15" hidden="1">
      <c r="A875" s="65" t="s">
        <v>1102</v>
      </c>
      <c r="F875" s="80">
        <f>F834</f>
        <v>2380933927.241509</v>
      </c>
      <c r="G875" s="80">
        <f t="shared" ref="G875:Z875" si="394">G834</f>
        <v>1151746077.2153518</v>
      </c>
      <c r="H875" s="80">
        <f t="shared" si="394"/>
        <v>302071164.72748941</v>
      </c>
      <c r="I875" s="80">
        <f t="shared" si="394"/>
        <v>0</v>
      </c>
      <c r="J875" s="80">
        <f t="shared" si="394"/>
        <v>22598765.024464671</v>
      </c>
      <c r="K875" s="80">
        <f t="shared" si="394"/>
        <v>290318355.05589318</v>
      </c>
      <c r="L875" s="80">
        <f t="shared" si="394"/>
        <v>0</v>
      </c>
      <c r="M875" s="80">
        <f t="shared" si="394"/>
        <v>0</v>
      </c>
      <c r="N875" s="80">
        <f t="shared" si="394"/>
        <v>242194583.63978818</v>
      </c>
      <c r="O875" s="80">
        <f t="shared" si="394"/>
        <v>143524479.34195939</v>
      </c>
      <c r="P875" s="80">
        <f t="shared" si="394"/>
        <v>127237257.44781397</v>
      </c>
      <c r="Q875" s="80">
        <f t="shared" si="394"/>
        <v>15203335.994018935</v>
      </c>
      <c r="R875" s="80">
        <f t="shared" si="394"/>
        <v>7082689.0574253704</v>
      </c>
      <c r="S875" s="80">
        <f t="shared" si="394"/>
        <v>78174244.52773416</v>
      </c>
      <c r="T875" s="80">
        <f t="shared" si="394"/>
        <v>308732.70736411982</v>
      </c>
      <c r="U875" s="80">
        <f t="shared" si="394"/>
        <v>474242.50220579916</v>
      </c>
      <c r="V875" s="80">
        <f t="shared" si="394"/>
        <v>0</v>
      </c>
      <c r="W875" s="80">
        <f t="shared" si="394"/>
        <v>0</v>
      </c>
      <c r="X875" s="80">
        <f t="shared" si="394"/>
        <v>0</v>
      </c>
      <c r="Y875" s="80">
        <f t="shared" si="394"/>
        <v>0</v>
      </c>
      <c r="Z875" s="80">
        <f t="shared" si="394"/>
        <v>0</v>
      </c>
      <c r="AA875" s="80">
        <f>ROUND(SUM(G875:Z875),2)</f>
        <v>2380933927.2399998</v>
      </c>
      <c r="AB875" s="93" t="str">
        <f>IF(ABS(F875-AA875)&lt;0.01,"ok","err")</f>
        <v>ok</v>
      </c>
    </row>
    <row r="876" spans="1:28" s="60" customFormat="1" ht="15" hidden="1" thickBot="1"/>
    <row r="877" spans="1:28" s="60" customFormat="1" ht="15.75" hidden="1" thickBot="1">
      <c r="A877" s="282" t="s">
        <v>1120</v>
      </c>
      <c r="B877" s="150"/>
      <c r="C877" s="150"/>
      <c r="D877" s="150"/>
      <c r="E877" s="150"/>
      <c r="F877" s="151">
        <f t="shared" ref="F877:N877" si="395">F873/F875</f>
        <v>4.9187789715036269E-2</v>
      </c>
      <c r="G877" s="151">
        <f t="shared" si="395"/>
        <v>4.9187789715036255E-2</v>
      </c>
      <c r="H877" s="151">
        <f t="shared" si="395"/>
        <v>4.9187789715036283E-2</v>
      </c>
      <c r="I877" s="151" t="e">
        <f t="shared" si="395"/>
        <v>#DIV/0!</v>
      </c>
      <c r="J877" s="151">
        <f t="shared" si="395"/>
        <v>4.918778971503629E-2</v>
      </c>
      <c r="K877" s="151">
        <f t="shared" si="395"/>
        <v>4.9187789715036283E-2</v>
      </c>
      <c r="L877" s="151" t="e">
        <f t="shared" si="395"/>
        <v>#DIV/0!</v>
      </c>
      <c r="M877" s="151" t="e">
        <f t="shared" si="395"/>
        <v>#DIV/0!</v>
      </c>
      <c r="N877" s="151">
        <f t="shared" si="395"/>
        <v>4.918778971503629E-2</v>
      </c>
      <c r="O877" s="151">
        <f>O873/O875</f>
        <v>4.9187789715036255E-2</v>
      </c>
      <c r="P877" s="151">
        <f>P873/P875</f>
        <v>4.918778971503629E-2</v>
      </c>
      <c r="Q877" s="151">
        <f>Q873/Q875</f>
        <v>4.9187789715036269E-2</v>
      </c>
      <c r="R877" s="151">
        <f t="shared" ref="R877:Z877" si="396">R873/R875</f>
        <v>4.9187789715036269E-2</v>
      </c>
      <c r="S877" s="151">
        <f t="shared" si="396"/>
        <v>4.918778971503629E-2</v>
      </c>
      <c r="T877" s="151">
        <f t="shared" si="396"/>
        <v>4.9187789715036276E-2</v>
      </c>
      <c r="U877" s="151">
        <f t="shared" si="396"/>
        <v>4.9187789715036283E-2</v>
      </c>
      <c r="V877" s="151" t="e">
        <f t="shared" si="396"/>
        <v>#DIV/0!</v>
      </c>
      <c r="W877" s="151" t="e">
        <f t="shared" si="396"/>
        <v>#DIV/0!</v>
      </c>
      <c r="X877" s="151" t="e">
        <f t="shared" si="396"/>
        <v>#DIV/0!</v>
      </c>
      <c r="Y877" s="151" t="e">
        <f t="shared" si="396"/>
        <v>#DIV/0!</v>
      </c>
      <c r="Z877" s="151" t="e">
        <f t="shared" si="396"/>
        <v>#DIV/0!</v>
      </c>
      <c r="AA877" s="139"/>
      <c r="AB877" s="139"/>
    </row>
    <row r="878" spans="1:28" s="60" customFormat="1" hidden="1"/>
    <row r="879" spans="1:28" s="60" customFormat="1" hidden="1"/>
    <row r="880" spans="1:28" s="60" customFormat="1" ht="15" hidden="1">
      <c r="A880" s="65" t="s">
        <v>898</v>
      </c>
      <c r="B880" s="65"/>
      <c r="F880" s="80">
        <f t="shared" ref="F880:Z880" si="397">F858</f>
        <v>0</v>
      </c>
      <c r="G880" s="80">
        <f t="shared" si="397"/>
        <v>42598837.38413965</v>
      </c>
      <c r="H880" s="80">
        <f t="shared" si="397"/>
        <v>-11926226.271943035</v>
      </c>
      <c r="I880" s="80">
        <f t="shared" si="397"/>
        <v>0</v>
      </c>
      <c r="J880" s="80">
        <f t="shared" si="397"/>
        <v>-580347.27934711077</v>
      </c>
      <c r="K880" s="80">
        <f t="shared" si="397"/>
        <v>-18531967.952549819</v>
      </c>
      <c r="L880" s="80">
        <f t="shared" si="397"/>
        <v>0</v>
      </c>
      <c r="M880" s="80">
        <f t="shared" si="397"/>
        <v>0</v>
      </c>
      <c r="N880" s="80">
        <f t="shared" si="397"/>
        <v>1391385.0613274591</v>
      </c>
      <c r="O880" s="80">
        <f t="shared" si="397"/>
        <v>-16377159.51833838</v>
      </c>
      <c r="P880" s="80">
        <f t="shared" si="397"/>
        <v>2985516.250891163</v>
      </c>
      <c r="Q880" s="80">
        <f t="shared" si="397"/>
        <v>797055.26687945914</v>
      </c>
      <c r="R880" s="80">
        <f t="shared" si="397"/>
        <v>284558.93622522976</v>
      </c>
      <c r="S880" s="80">
        <f t="shared" si="397"/>
        <v>-605193.27619977354</v>
      </c>
      <c r="T880" s="80">
        <f t="shared" si="397"/>
        <v>-15559.106295719872</v>
      </c>
      <c r="U880" s="80">
        <f t="shared" si="397"/>
        <v>-20899.494789238433</v>
      </c>
      <c r="V880" s="80">
        <f t="shared" si="397"/>
        <v>0</v>
      </c>
      <c r="W880" s="80">
        <f t="shared" si="397"/>
        <v>0</v>
      </c>
      <c r="X880" s="80">
        <f t="shared" si="397"/>
        <v>0</v>
      </c>
      <c r="Y880" s="80">
        <f t="shared" si="397"/>
        <v>0</v>
      </c>
      <c r="Z880" s="80">
        <f t="shared" si="397"/>
        <v>0</v>
      </c>
      <c r="AA880" s="80">
        <f>ROUND(SUM(G880:Z880),2)</f>
        <v>0</v>
      </c>
      <c r="AB880" s="93" t="str">
        <f>IF(ABS(F880-AA880)&lt;0.01,"ok","err")</f>
        <v>ok</v>
      </c>
    </row>
    <row r="881" spans="1:36" s="60" customFormat="1" ht="15" hidden="1">
      <c r="A881" s="65"/>
      <c r="B881" s="65"/>
    </row>
    <row r="882" spans="1:36" s="60" customFormat="1" ht="15" hidden="1">
      <c r="A882" s="65" t="s">
        <v>899</v>
      </c>
      <c r="B882" s="65"/>
      <c r="F882" s="152">
        <f t="shared" ref="F882:Z882" si="398">F880/F855</f>
        <v>0</v>
      </c>
      <c r="G882" s="152">
        <f t="shared" si="398"/>
        <v>0.10578538063306545</v>
      </c>
      <c r="H882" s="152">
        <f t="shared" si="398"/>
        <v>-8.4598154359153785E-2</v>
      </c>
      <c r="I882" s="152" t="e">
        <f t="shared" si="398"/>
        <v>#DIV/0!</v>
      </c>
      <c r="J882" s="152">
        <f t="shared" si="398"/>
        <v>-4.7796663123517942E-2</v>
      </c>
      <c r="K882" s="152">
        <f t="shared" si="398"/>
        <v>-0.11665377668272751</v>
      </c>
      <c r="L882" s="152" t="e">
        <f t="shared" si="398"/>
        <v>#DIV/0!</v>
      </c>
      <c r="M882" s="152" t="e">
        <f t="shared" si="398"/>
        <v>#DIV/0!</v>
      </c>
      <c r="N882" s="152">
        <f t="shared" si="398"/>
        <v>1.12309458398156E-2</v>
      </c>
      <c r="O882" s="152">
        <f t="shared" si="398"/>
        <v>-0.20299136693478625</v>
      </c>
      <c r="P882" s="152">
        <f t="shared" si="398"/>
        <v>4.3618178603788492E-2</v>
      </c>
      <c r="Q882" s="152">
        <f t="shared" si="398"/>
        <v>0.11785727603382619</v>
      </c>
      <c r="R882" s="152">
        <f t="shared" si="398"/>
        <v>8.0995346701900311E-2</v>
      </c>
      <c r="S882" s="152">
        <f t="shared" si="398"/>
        <v>-3.2301530727681008E-2</v>
      </c>
      <c r="T882" s="152">
        <f t="shared" si="398"/>
        <v>-6.9849308817314493E-2</v>
      </c>
      <c r="U882" s="152">
        <f t="shared" si="398"/>
        <v>-7.4211347846223005E-2</v>
      </c>
      <c r="V882" s="152" t="e">
        <f t="shared" si="398"/>
        <v>#DIV/0!</v>
      </c>
      <c r="W882" s="152" t="e">
        <f t="shared" si="398"/>
        <v>#DIV/0!</v>
      </c>
      <c r="X882" s="152" t="e">
        <f t="shared" si="398"/>
        <v>#DIV/0!</v>
      </c>
      <c r="Y882" s="152" t="e">
        <f t="shared" si="398"/>
        <v>#DIV/0!</v>
      </c>
      <c r="Z882" s="152" t="e">
        <f t="shared" si="398"/>
        <v>#DIV/0!</v>
      </c>
    </row>
    <row r="883" spans="1:36" s="60" customFormat="1" ht="15" hidden="1">
      <c r="A883" s="65"/>
      <c r="B883" s="65"/>
      <c r="F883" s="152"/>
      <c r="G883" s="152"/>
      <c r="H883" s="152"/>
      <c r="I883" s="152"/>
      <c r="J883" s="152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</row>
    <row r="884" spans="1:36" s="60" customFormat="1" ht="15" hidden="1">
      <c r="A884" s="65" t="s">
        <v>1300</v>
      </c>
    </row>
    <row r="885" spans="1:36" s="60" customFormat="1" hidden="1"/>
    <row r="886" spans="1:36" s="60" customFormat="1" ht="15" hidden="1">
      <c r="A886" s="65" t="s">
        <v>1112</v>
      </c>
      <c r="AH886" s="254"/>
      <c r="AI886" s="254"/>
      <c r="AJ886" s="254"/>
    </row>
    <row r="887" spans="1:36" s="60" customFormat="1" hidden="1"/>
    <row r="888" spans="1:36" s="60" customFormat="1" hidden="1">
      <c r="A888" s="60" t="s">
        <v>1</v>
      </c>
      <c r="F888" s="80">
        <f t="shared" ref="F888:Z888" si="399">F770</f>
        <v>1017201652.4612489</v>
      </c>
      <c r="G888" s="80">
        <f t="shared" si="399"/>
        <v>402691157.59861892</v>
      </c>
      <c r="H888" s="80">
        <f t="shared" si="399"/>
        <v>140975017.27178732</v>
      </c>
      <c r="I888" s="80">
        <f t="shared" si="399"/>
        <v>0</v>
      </c>
      <c r="J888" s="80">
        <f t="shared" si="399"/>
        <v>12142004.094456457</v>
      </c>
      <c r="K888" s="80">
        <f t="shared" si="399"/>
        <v>158862991.66252178</v>
      </c>
      <c r="L888" s="80">
        <f t="shared" si="399"/>
        <v>0</v>
      </c>
      <c r="M888" s="80">
        <f t="shared" si="399"/>
        <v>0</v>
      </c>
      <c r="N888" s="80">
        <f t="shared" si="399"/>
        <v>123888502.46207795</v>
      </c>
      <c r="O888" s="80">
        <f t="shared" si="399"/>
        <v>80679093.725201458</v>
      </c>
      <c r="P888" s="80">
        <f t="shared" si="399"/>
        <v>68446605.210421458</v>
      </c>
      <c r="Q888" s="80">
        <f t="shared" si="399"/>
        <v>6762885.5315703759</v>
      </c>
      <c r="R888" s="80">
        <f t="shared" si="399"/>
        <v>3513275.1177982604</v>
      </c>
      <c r="S888" s="80">
        <f t="shared" si="399"/>
        <v>18735746.033272326</v>
      </c>
      <c r="T888" s="80">
        <f t="shared" si="399"/>
        <v>222752.47327662929</v>
      </c>
      <c r="U888" s="80">
        <f t="shared" si="399"/>
        <v>281621.28024605225</v>
      </c>
      <c r="V888" s="80">
        <f t="shared" si="399"/>
        <v>0</v>
      </c>
      <c r="W888" s="80">
        <f t="shared" si="399"/>
        <v>0</v>
      </c>
      <c r="X888" s="80">
        <f t="shared" si="399"/>
        <v>0</v>
      </c>
      <c r="Y888" s="80">
        <f t="shared" si="399"/>
        <v>0</v>
      </c>
      <c r="Z888" s="80">
        <f t="shared" si="399"/>
        <v>0</v>
      </c>
      <c r="AA888" s="80">
        <f>ROUND(SUM(G888:Z888),2)</f>
        <v>1017201652.46</v>
      </c>
      <c r="AB888" s="93" t="str">
        <f>IF(ABS(F888-AA888)&lt;0.01,"ok","err")</f>
        <v>ok</v>
      </c>
      <c r="AH888" s="76"/>
      <c r="AI888" s="76"/>
      <c r="AJ888" s="152"/>
    </row>
    <row r="889" spans="1:36" s="60" customFormat="1" hidden="1"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93"/>
      <c r="AH889" s="79"/>
      <c r="AI889" s="79"/>
      <c r="AJ889" s="152"/>
    </row>
    <row r="890" spans="1:36" s="60" customFormat="1" hidden="1">
      <c r="A890" s="60" t="s">
        <v>135</v>
      </c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93"/>
      <c r="AH890" s="79"/>
      <c r="AI890" s="79"/>
      <c r="AJ890" s="152"/>
    </row>
    <row r="891" spans="1:36" s="60" customFormat="1" hidden="1">
      <c r="A891" s="60" t="s">
        <v>895</v>
      </c>
      <c r="F891" s="80"/>
      <c r="G891" s="80">
        <v>0</v>
      </c>
      <c r="H891" s="80">
        <v>0</v>
      </c>
      <c r="I891" s="80">
        <v>0</v>
      </c>
      <c r="J891" s="80">
        <v>0</v>
      </c>
      <c r="K891" s="80">
        <v>0</v>
      </c>
      <c r="L891" s="80">
        <v>0</v>
      </c>
      <c r="M891" s="80">
        <v>0</v>
      </c>
      <c r="N891" s="80">
        <v>0</v>
      </c>
      <c r="O891" s="80">
        <v>0</v>
      </c>
      <c r="P891" s="80">
        <v>0</v>
      </c>
      <c r="Q891" s="80">
        <v>0</v>
      </c>
      <c r="R891" s="80">
        <v>0</v>
      </c>
      <c r="S891" s="80">
        <v>0</v>
      </c>
      <c r="T891" s="80">
        <v>0</v>
      </c>
      <c r="U891" s="80">
        <v>0</v>
      </c>
      <c r="V891" s="76">
        <v>0</v>
      </c>
      <c r="W891" s="76">
        <v>0</v>
      </c>
      <c r="X891" s="76">
        <v>0</v>
      </c>
      <c r="Y891" s="76">
        <v>0</v>
      </c>
      <c r="Z891" s="76">
        <v>0</v>
      </c>
      <c r="AA891" s="80">
        <f>SUM(G891:Z891)</f>
        <v>0</v>
      </c>
      <c r="AB891" s="93" t="str">
        <f>IF(ABS(F891-AA891)&lt;0.01,"ok","err")</f>
        <v>ok</v>
      </c>
      <c r="AH891" s="79"/>
      <c r="AI891" s="79"/>
      <c r="AJ891" s="152"/>
    </row>
    <row r="892" spans="1:36" s="60" customFormat="1" hidden="1">
      <c r="A892" s="60" t="s">
        <v>1377</v>
      </c>
      <c r="E892" s="60" t="str">
        <f>E965</f>
        <v>INTCRE</v>
      </c>
      <c r="F892" s="76"/>
      <c r="G892" s="76">
        <f t="shared" ref="G892:P893" si="400">IF(VLOOKUP($E892,$D$6:$AN$1131,3,)=0,0,(VLOOKUP($E892,$D$6:$AN$1131,G$2,)/VLOOKUP($E892,$D$6:$AN$1131,3,))*$F892)</f>
        <v>0</v>
      </c>
      <c r="H892" s="76">
        <f t="shared" si="400"/>
        <v>0</v>
      </c>
      <c r="I892" s="76">
        <f t="shared" si="400"/>
        <v>0</v>
      </c>
      <c r="J892" s="76">
        <f t="shared" si="400"/>
        <v>0</v>
      </c>
      <c r="K892" s="76">
        <f t="shared" si="400"/>
        <v>0</v>
      </c>
      <c r="L892" s="76">
        <f t="shared" si="400"/>
        <v>0</v>
      </c>
      <c r="M892" s="76">
        <f t="shared" si="400"/>
        <v>0</v>
      </c>
      <c r="N892" s="76">
        <f t="shared" si="400"/>
        <v>0</v>
      </c>
      <c r="O892" s="76">
        <f t="shared" si="400"/>
        <v>0</v>
      </c>
      <c r="P892" s="76">
        <f t="shared" si="400"/>
        <v>0</v>
      </c>
      <c r="Q892" s="76">
        <f t="shared" ref="Q892:Z893" si="401">IF(VLOOKUP($E892,$D$6:$AN$1131,3,)=0,0,(VLOOKUP($E892,$D$6:$AN$1131,Q$2,)/VLOOKUP($E892,$D$6:$AN$1131,3,))*$F892)</f>
        <v>0</v>
      </c>
      <c r="R892" s="76">
        <f t="shared" si="401"/>
        <v>0</v>
      </c>
      <c r="S892" s="76">
        <f t="shared" si="401"/>
        <v>0</v>
      </c>
      <c r="T892" s="76">
        <f t="shared" si="401"/>
        <v>0</v>
      </c>
      <c r="U892" s="76">
        <f t="shared" si="401"/>
        <v>0</v>
      </c>
      <c r="V892" s="76">
        <f t="shared" si="401"/>
        <v>0</v>
      </c>
      <c r="W892" s="76">
        <f t="shared" si="401"/>
        <v>0</v>
      </c>
      <c r="X892" s="79">
        <f t="shared" si="401"/>
        <v>0</v>
      </c>
      <c r="Y892" s="79">
        <f t="shared" si="401"/>
        <v>0</v>
      </c>
      <c r="Z892" s="79">
        <f t="shared" si="401"/>
        <v>0</v>
      </c>
      <c r="AA892" s="80">
        <f>SUM(G892:Z892)</f>
        <v>0</v>
      </c>
      <c r="AB892" s="93" t="str">
        <f>IF(ABS(F892-AA892)&lt;0.01,"ok","err")</f>
        <v>ok</v>
      </c>
    </row>
    <row r="893" spans="1:36" s="60" customFormat="1" hidden="1">
      <c r="A893" s="60" t="s">
        <v>896</v>
      </c>
      <c r="E893" s="60" t="str">
        <f>E966</f>
        <v>MISCR</v>
      </c>
      <c r="F893" s="79">
        <f>F966</f>
        <v>-22391</v>
      </c>
      <c r="G893" s="76">
        <f t="shared" si="400"/>
        <v>-20834.355219506127</v>
      </c>
      <c r="H893" s="76">
        <f t="shared" si="400"/>
        <v>-1347.7923692579229</v>
      </c>
      <c r="I893" s="76">
        <f t="shared" si="400"/>
        <v>0</v>
      </c>
      <c r="J893" s="76">
        <f t="shared" si="400"/>
        <v>-5.0261070647315949</v>
      </c>
      <c r="K893" s="76">
        <f t="shared" si="400"/>
        <v>-197.14672271267796</v>
      </c>
      <c r="L893" s="76">
        <f t="shared" si="400"/>
        <v>0</v>
      </c>
      <c r="M893" s="76">
        <f t="shared" si="400"/>
        <v>0</v>
      </c>
      <c r="N893" s="76">
        <f t="shared" si="400"/>
        <v>-0.59476066757413615</v>
      </c>
      <c r="O893" s="76">
        <f t="shared" si="400"/>
        <v>-1.5559615568764129</v>
      </c>
      <c r="P893" s="76">
        <f t="shared" si="400"/>
        <v>-7.3288044345628148E-2</v>
      </c>
      <c r="Q893" s="76">
        <f t="shared" si="401"/>
        <v>0</v>
      </c>
      <c r="R893" s="76">
        <f t="shared" si="401"/>
        <v>0</v>
      </c>
      <c r="S893" s="76">
        <f t="shared" si="401"/>
        <v>-4.4555711897395023</v>
      </c>
      <c r="T893" s="76">
        <f t="shared" si="401"/>
        <v>0</v>
      </c>
      <c r="U893" s="76">
        <f t="shared" si="401"/>
        <v>0</v>
      </c>
      <c r="V893" s="76">
        <f t="shared" si="401"/>
        <v>0</v>
      </c>
      <c r="W893" s="76">
        <f t="shared" si="401"/>
        <v>0</v>
      </c>
      <c r="X893" s="79">
        <f t="shared" si="401"/>
        <v>0</v>
      </c>
      <c r="Y893" s="79">
        <f t="shared" si="401"/>
        <v>0</v>
      </c>
      <c r="Z893" s="79">
        <f t="shared" si="401"/>
        <v>0</v>
      </c>
      <c r="AA893" s="80">
        <f>SUM(G893:Z893)</f>
        <v>-22391</v>
      </c>
      <c r="AB893" s="93" t="str">
        <f>IF(ABS(F893-AA893)&lt;0.01,"ok","err")</f>
        <v>ok</v>
      </c>
      <c r="AH893" s="79"/>
      <c r="AI893" s="79"/>
      <c r="AJ893" s="152"/>
    </row>
    <row r="894" spans="1:36" s="60" customFormat="1" hidden="1">
      <c r="AH894" s="79"/>
      <c r="AI894" s="79"/>
      <c r="AJ894" s="152"/>
    </row>
    <row r="895" spans="1:36" s="60" customFormat="1" hidden="1">
      <c r="A895" s="60" t="s">
        <v>136</v>
      </c>
      <c r="F895" s="80">
        <f>SUM(F888:F893)</f>
        <v>1017179261.4612489</v>
      </c>
      <c r="G895" s="80">
        <f t="shared" ref="G895:P895" si="402">SUM(G888:G893)</f>
        <v>402670323.24339944</v>
      </c>
      <c r="H895" s="80">
        <f t="shared" si="402"/>
        <v>140973669.47941807</v>
      </c>
      <c r="I895" s="80">
        <f t="shared" si="402"/>
        <v>0</v>
      </c>
      <c r="J895" s="80">
        <f t="shared" si="402"/>
        <v>12141999.068349391</v>
      </c>
      <c r="K895" s="80">
        <f t="shared" si="402"/>
        <v>158862794.51579908</v>
      </c>
      <c r="L895" s="80">
        <f t="shared" si="402"/>
        <v>0</v>
      </c>
      <c r="M895" s="80">
        <f t="shared" si="402"/>
        <v>0</v>
      </c>
      <c r="N895" s="80">
        <f t="shared" si="402"/>
        <v>123888501.86731727</v>
      </c>
      <c r="O895" s="80">
        <f>SUM(O888:O893)</f>
        <v>80679092.169239894</v>
      </c>
      <c r="P895" s="80">
        <f t="shared" si="402"/>
        <v>68446605.13713342</v>
      </c>
      <c r="Q895" s="80">
        <f>SUM(Q888:Q893)</f>
        <v>6762885.5315703759</v>
      </c>
      <c r="R895" s="80">
        <f t="shared" ref="R895:Z895" si="403">SUM(R888:R893)</f>
        <v>3513275.1177982604</v>
      </c>
      <c r="S895" s="80">
        <f t="shared" si="403"/>
        <v>18735741.577701136</v>
      </c>
      <c r="T895" s="80">
        <f t="shared" si="403"/>
        <v>222752.47327662929</v>
      </c>
      <c r="U895" s="80">
        <f t="shared" si="403"/>
        <v>281621.28024605225</v>
      </c>
      <c r="V895" s="80">
        <f t="shared" si="403"/>
        <v>0</v>
      </c>
      <c r="W895" s="80">
        <f t="shared" si="403"/>
        <v>0</v>
      </c>
      <c r="X895" s="80">
        <f t="shared" si="403"/>
        <v>0</v>
      </c>
      <c r="Y895" s="80">
        <f t="shared" si="403"/>
        <v>0</v>
      </c>
      <c r="Z895" s="80">
        <f t="shared" si="403"/>
        <v>0</v>
      </c>
      <c r="AA895" s="80">
        <f>ROUND(SUM(G895:Z895),2)</f>
        <v>1017179261.46</v>
      </c>
      <c r="AB895" s="93" t="str">
        <f>IF(ABS(F895-AA895)&lt;0.01,"ok","err")</f>
        <v>ok</v>
      </c>
    </row>
    <row r="896" spans="1:36" s="60" customFormat="1" hidden="1">
      <c r="AH896" s="76"/>
      <c r="AI896" s="76"/>
      <c r="AJ896" s="152"/>
    </row>
    <row r="897" spans="1:28" s="60" customFormat="1" hidden="1"/>
    <row r="898" spans="1:28" s="60" customFormat="1" ht="15" hidden="1">
      <c r="A898" s="65" t="s">
        <v>1116</v>
      </c>
      <c r="F898" s="80"/>
    </row>
    <row r="899" spans="1:28" s="60" customFormat="1" hidden="1"/>
    <row r="900" spans="1:28" s="60" customFormat="1" hidden="1">
      <c r="A900" s="60" t="s">
        <v>1119</v>
      </c>
      <c r="F900" s="80">
        <f t="shared" ref="F900:Z900" si="404">F726</f>
        <v>904148189.24269807</v>
      </c>
      <c r="G900" s="80">
        <f t="shared" si="404"/>
        <v>372721995.42893672</v>
      </c>
      <c r="H900" s="80">
        <f t="shared" si="404"/>
        <v>119725786.46773888</v>
      </c>
      <c r="I900" s="80">
        <f t="shared" si="404"/>
        <v>0</v>
      </c>
      <c r="J900" s="80">
        <f t="shared" si="404"/>
        <v>10733031.328126846</v>
      </c>
      <c r="K900" s="80">
        <f t="shared" si="404"/>
        <v>134301383.34892192</v>
      </c>
      <c r="L900" s="80">
        <f t="shared" si="404"/>
        <v>0</v>
      </c>
      <c r="M900" s="80">
        <f t="shared" si="404"/>
        <v>0</v>
      </c>
      <c r="N900" s="80">
        <f t="shared" si="404"/>
        <v>113220697.46382819</v>
      </c>
      <c r="O900" s="80">
        <f t="shared" si="404"/>
        <v>64331240.389036208</v>
      </c>
      <c r="P900" s="80">
        <f t="shared" si="404"/>
        <v>64162435.572467119</v>
      </c>
      <c r="Q900" s="80">
        <f t="shared" si="404"/>
        <v>6505771.9677781062</v>
      </c>
      <c r="R900" s="80">
        <f t="shared" si="404"/>
        <v>3343411.1257372517</v>
      </c>
      <c r="S900" s="80">
        <f t="shared" si="404"/>
        <v>14656231.903749093</v>
      </c>
      <c r="T900" s="80">
        <f t="shared" si="404"/>
        <v>199175.56339998255</v>
      </c>
      <c r="U900" s="80">
        <f t="shared" si="404"/>
        <v>247028.68297776376</v>
      </c>
      <c r="V900" s="80">
        <f t="shared" si="404"/>
        <v>0</v>
      </c>
      <c r="W900" s="80">
        <f t="shared" si="404"/>
        <v>0</v>
      </c>
      <c r="X900" s="80">
        <f t="shared" si="404"/>
        <v>0</v>
      </c>
      <c r="Y900" s="80">
        <f t="shared" si="404"/>
        <v>0</v>
      </c>
      <c r="Z900" s="80">
        <f t="shared" si="404"/>
        <v>0</v>
      </c>
      <c r="AA900" s="80">
        <f>ROUND(SUM(G900:Z900),2)</f>
        <v>904148189.24000001</v>
      </c>
      <c r="AB900" s="93" t="str">
        <f>IF(ABS(F900-AA900)&lt;0.01,"ok","err")</f>
        <v>ok</v>
      </c>
    </row>
    <row r="901" spans="1:28" s="60" customFormat="1" hidden="1"/>
    <row r="902" spans="1:28" s="60" customFormat="1" hidden="1">
      <c r="A902" s="60" t="s">
        <v>710</v>
      </c>
      <c r="F902" s="112">
        <f t="shared" ref="F902:Z902" si="405">F819</f>
        <v>-4059414.1199999996</v>
      </c>
      <c r="G902" s="112">
        <f t="shared" si="405"/>
        <v>-543620.57590859686</v>
      </c>
      <c r="H902" s="112">
        <f t="shared" si="405"/>
        <v>-927030.60818927304</v>
      </c>
      <c r="I902" s="112">
        <f t="shared" si="405"/>
        <v>0</v>
      </c>
      <c r="J902" s="112">
        <f t="shared" si="405"/>
        <v>-58717.272899689371</v>
      </c>
      <c r="K902" s="112">
        <f t="shared" si="405"/>
        <v>-1089905.737037403</v>
      </c>
      <c r="L902" s="112">
        <f t="shared" si="405"/>
        <v>0</v>
      </c>
      <c r="M902" s="112">
        <f t="shared" si="405"/>
        <v>0</v>
      </c>
      <c r="N902" s="112">
        <f t="shared" si="405"/>
        <v>-391443.84013774648</v>
      </c>
      <c r="O902" s="112">
        <f t="shared" si="405"/>
        <v>-760983.00288166222</v>
      </c>
      <c r="P902" s="112">
        <f t="shared" si="405"/>
        <v>-142408.00468673278</v>
      </c>
      <c r="Q902" s="112">
        <f t="shared" si="405"/>
        <v>-1624.0629435925593</v>
      </c>
      <c r="R902" s="112">
        <f t="shared" si="405"/>
        <v>-3909.695886368535</v>
      </c>
      <c r="S902" s="112">
        <f t="shared" si="405"/>
        <v>-137056.65424554003</v>
      </c>
      <c r="T902" s="112">
        <f t="shared" si="405"/>
        <v>-1156.1886244914131</v>
      </c>
      <c r="U902" s="112">
        <f t="shared" si="405"/>
        <v>-1558.4765589040039</v>
      </c>
      <c r="V902" s="112">
        <f t="shared" si="405"/>
        <v>0</v>
      </c>
      <c r="W902" s="112">
        <f t="shared" si="405"/>
        <v>0</v>
      </c>
      <c r="X902" s="112">
        <f t="shared" si="405"/>
        <v>0</v>
      </c>
      <c r="Y902" s="112">
        <f t="shared" si="405"/>
        <v>0</v>
      </c>
      <c r="Z902" s="112">
        <f t="shared" si="405"/>
        <v>0</v>
      </c>
      <c r="AA902" s="80">
        <f>ROUND(SUM(G902:Z902),2)</f>
        <v>-4059414.12</v>
      </c>
      <c r="AB902" s="93" t="str">
        <f>IF(ABS(F902-AA902)&lt;0.01,"ok","err")</f>
        <v>ok</v>
      </c>
    </row>
    <row r="903" spans="1:28" s="60" customFormat="1" hidden="1">
      <c r="F903" s="112"/>
      <c r="G903" s="112"/>
      <c r="H903" s="112"/>
      <c r="I903" s="112"/>
      <c r="J903" s="112"/>
      <c r="K903" s="112"/>
      <c r="L903" s="112"/>
      <c r="M903" s="112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  <c r="X903" s="112"/>
      <c r="Y903" s="112"/>
      <c r="Z903" s="112"/>
      <c r="AA903" s="80"/>
      <c r="AB903" s="93"/>
    </row>
    <row r="904" spans="1:28" s="60" customFormat="1" hidden="1">
      <c r="A904" s="60" t="s">
        <v>711</v>
      </c>
      <c r="F904" s="112">
        <f>(F891+F893)*$E$868</f>
        <v>-8651.6645355700002</v>
      </c>
      <c r="G904" s="112">
        <f>(G891+G893)*$E$868</f>
        <v>-8050.1921385408814</v>
      </c>
      <c r="H904" s="112">
        <f t="shared" ref="H904:Z904" si="406">(H891+H893)*$E$868</f>
        <v>-520.77385746150856</v>
      </c>
      <c r="I904" s="112">
        <f t="shared" si="406"/>
        <v>0</v>
      </c>
      <c r="J904" s="112">
        <f t="shared" si="406"/>
        <v>-1.9420388657905483</v>
      </c>
      <c r="K904" s="112">
        <f t="shared" si="406"/>
        <v>-76.175575418566766</v>
      </c>
      <c r="L904" s="112">
        <f t="shared" si="406"/>
        <v>0</v>
      </c>
      <c r="M904" s="112">
        <f t="shared" si="406"/>
        <v>0</v>
      </c>
      <c r="N904" s="112">
        <f t="shared" si="406"/>
        <v>-0.2298097349293507</v>
      </c>
      <c r="O904" s="112">
        <f t="shared" si="406"/>
        <v>-0.60120840607109749</v>
      </c>
      <c r="P904" s="112">
        <f t="shared" si="406"/>
        <v>-2.8317787242479232E-2</v>
      </c>
      <c r="Q904" s="112">
        <f t="shared" si="406"/>
        <v>0</v>
      </c>
      <c r="R904" s="112">
        <f t="shared" si="406"/>
        <v>0</v>
      </c>
      <c r="S904" s="112">
        <f t="shared" si="406"/>
        <v>-1.7215893550076675</v>
      </c>
      <c r="T904" s="112">
        <f t="shared" si="406"/>
        <v>0</v>
      </c>
      <c r="U904" s="112">
        <f t="shared" si="406"/>
        <v>0</v>
      </c>
      <c r="V904" s="112">
        <f t="shared" si="406"/>
        <v>0</v>
      </c>
      <c r="W904" s="112">
        <f t="shared" si="406"/>
        <v>0</v>
      </c>
      <c r="X904" s="112">
        <f t="shared" si="406"/>
        <v>0</v>
      </c>
      <c r="Y904" s="112">
        <f t="shared" si="406"/>
        <v>0</v>
      </c>
      <c r="Z904" s="112">
        <f t="shared" si="406"/>
        <v>0</v>
      </c>
      <c r="AA904" s="80">
        <f>ROUND(SUM(G904:Z904),2)</f>
        <v>-8651.66</v>
      </c>
      <c r="AB904" s="93" t="str">
        <f>IF(ABS(F904-AA904)&lt;0.01,"ok","err")</f>
        <v>ok</v>
      </c>
    </row>
    <row r="905" spans="1:28" s="60" customFormat="1" hidden="1">
      <c r="A905" s="68"/>
      <c r="F905" s="79"/>
      <c r="G905" s="76"/>
      <c r="H905" s="76"/>
      <c r="I905" s="76"/>
      <c r="J905" s="76"/>
      <c r="K905" s="76"/>
      <c r="L905" s="76"/>
      <c r="M905" s="76"/>
      <c r="N905" s="76"/>
      <c r="O905" s="76"/>
      <c r="P905" s="76"/>
      <c r="Q905" s="76"/>
      <c r="R905" s="76"/>
      <c r="S905" s="76"/>
      <c r="T905" s="76"/>
      <c r="U905" s="76"/>
      <c r="V905" s="76"/>
      <c r="W905" s="76"/>
      <c r="X905" s="76"/>
      <c r="Y905" s="76"/>
      <c r="Z905" s="76"/>
      <c r="AA905" s="80"/>
      <c r="AB905" s="93"/>
    </row>
    <row r="906" spans="1:28" s="60" customFormat="1" hidden="1">
      <c r="A906" s="60" t="s">
        <v>137</v>
      </c>
      <c r="F906" s="80">
        <f t="shared" ref="F906:Z906" si="407">SUM(F900:F905)</f>
        <v>900080123.45816255</v>
      </c>
      <c r="G906" s="80">
        <f>SUM(G900:G905)</f>
        <v>372170324.66088957</v>
      </c>
      <c r="H906" s="80">
        <f t="shared" si="407"/>
        <v>118798235.08569215</v>
      </c>
      <c r="I906" s="80">
        <f t="shared" si="407"/>
        <v>0</v>
      </c>
      <c r="J906" s="80">
        <f t="shared" si="407"/>
        <v>10674312.113188291</v>
      </c>
      <c r="K906" s="80">
        <f t="shared" si="407"/>
        <v>133211401.4363091</v>
      </c>
      <c r="L906" s="80">
        <f t="shared" si="407"/>
        <v>0</v>
      </c>
      <c r="M906" s="80">
        <f t="shared" si="407"/>
        <v>0</v>
      </c>
      <c r="N906" s="80">
        <f t="shared" si="407"/>
        <v>112829253.39388071</v>
      </c>
      <c r="O906" s="80">
        <f>SUM(O900:O905)</f>
        <v>63570256.784946144</v>
      </c>
      <c r="P906" s="80">
        <f t="shared" si="407"/>
        <v>64020027.539462596</v>
      </c>
      <c r="Q906" s="80">
        <f t="shared" si="407"/>
        <v>6504147.9048345136</v>
      </c>
      <c r="R906" s="80">
        <f t="shared" si="407"/>
        <v>3339501.4298508833</v>
      </c>
      <c r="S906" s="80">
        <f t="shared" si="407"/>
        <v>14519173.527914198</v>
      </c>
      <c r="T906" s="80">
        <f t="shared" si="407"/>
        <v>198019.37477549113</v>
      </c>
      <c r="U906" s="80">
        <f t="shared" si="407"/>
        <v>245470.20641885974</v>
      </c>
      <c r="V906" s="80">
        <f t="shared" si="407"/>
        <v>0</v>
      </c>
      <c r="W906" s="80">
        <f t="shared" si="407"/>
        <v>0</v>
      </c>
      <c r="X906" s="80">
        <f t="shared" si="407"/>
        <v>0</v>
      </c>
      <c r="Y906" s="80">
        <f t="shared" si="407"/>
        <v>0</v>
      </c>
      <c r="Z906" s="80">
        <f t="shared" si="407"/>
        <v>0</v>
      </c>
      <c r="AA906" s="80">
        <f>ROUND(SUM(G906:Z906),2)</f>
        <v>900080123.46000004</v>
      </c>
      <c r="AB906" s="93" t="str">
        <f>IF(ABS(F906-AA906)&lt;0.01,"ok","err")</f>
        <v>ok</v>
      </c>
    </row>
    <row r="907" spans="1:28" s="60" customFormat="1" hidden="1"/>
    <row r="908" spans="1:28" s="60" customFormat="1" hidden="1">
      <c r="G908" s="80"/>
      <c r="H908" s="80"/>
      <c r="I908" s="80"/>
    </row>
    <row r="909" spans="1:28" s="60" customFormat="1" ht="15" hidden="1">
      <c r="A909" s="65" t="s">
        <v>894</v>
      </c>
      <c r="F909" s="80">
        <f t="shared" ref="F909:Z909" si="408">F895-F906</f>
        <v>117099138.00308633</v>
      </c>
      <c r="G909" s="80">
        <f>G895-G906</f>
        <v>30499998.582509875</v>
      </c>
      <c r="H909" s="80">
        <f t="shared" si="408"/>
        <v>22175434.393725917</v>
      </c>
      <c r="I909" s="80">
        <f t="shared" si="408"/>
        <v>0</v>
      </c>
      <c r="J909" s="80">
        <f t="shared" si="408"/>
        <v>1467686.9551611003</v>
      </c>
      <c r="K909" s="80">
        <f t="shared" si="408"/>
        <v>25651393.079489976</v>
      </c>
      <c r="L909" s="80">
        <f t="shared" si="408"/>
        <v>0</v>
      </c>
      <c r="M909" s="80">
        <f t="shared" si="408"/>
        <v>0</v>
      </c>
      <c r="N909" s="80">
        <f t="shared" si="408"/>
        <v>11059248.473436564</v>
      </c>
      <c r="O909" s="80">
        <f>O895-O906</f>
        <v>17108835.38429375</v>
      </c>
      <c r="P909" s="80">
        <f t="shared" si="408"/>
        <v>4426577.5976708233</v>
      </c>
      <c r="Q909" s="80">
        <f t="shared" si="408"/>
        <v>258737.62673586234</v>
      </c>
      <c r="R909" s="80">
        <f t="shared" si="408"/>
        <v>173773.6879473771</v>
      </c>
      <c r="S909" s="80">
        <f t="shared" si="408"/>
        <v>4216568.0497869384</v>
      </c>
      <c r="T909" s="80">
        <f t="shared" si="408"/>
        <v>24733.098501138156</v>
      </c>
      <c r="U909" s="80">
        <f t="shared" si="408"/>
        <v>36151.073827192507</v>
      </c>
      <c r="V909" s="80">
        <f t="shared" si="408"/>
        <v>0</v>
      </c>
      <c r="W909" s="80">
        <f t="shared" si="408"/>
        <v>0</v>
      </c>
      <c r="X909" s="80">
        <f t="shared" si="408"/>
        <v>0</v>
      </c>
      <c r="Y909" s="80">
        <f t="shared" si="408"/>
        <v>0</v>
      </c>
      <c r="Z909" s="80">
        <f t="shared" si="408"/>
        <v>0</v>
      </c>
      <c r="AA909" s="80">
        <f>ROUND(SUM(G909:Z909),2)</f>
        <v>117099138</v>
      </c>
      <c r="AB909" s="93" t="str">
        <f>IF(ABS(F909-AA909)&lt;0.01,"ok","err")</f>
        <v>ok</v>
      </c>
    </row>
    <row r="910" spans="1:28" s="60" customFormat="1" hidden="1"/>
    <row r="911" spans="1:28" s="60" customFormat="1" ht="15" hidden="1">
      <c r="A911" s="65" t="s">
        <v>1102</v>
      </c>
      <c r="F911" s="80">
        <f t="shared" ref="F911:Z911" si="409">F834</f>
        <v>2380933927.241509</v>
      </c>
      <c r="G911" s="80">
        <f t="shared" si="409"/>
        <v>1151746077.2153518</v>
      </c>
      <c r="H911" s="80">
        <f t="shared" si="409"/>
        <v>302071164.72748941</v>
      </c>
      <c r="I911" s="80">
        <f t="shared" si="409"/>
        <v>0</v>
      </c>
      <c r="J911" s="80">
        <f t="shared" si="409"/>
        <v>22598765.024464671</v>
      </c>
      <c r="K911" s="80">
        <f t="shared" si="409"/>
        <v>290318355.05589318</v>
      </c>
      <c r="L911" s="80">
        <f t="shared" si="409"/>
        <v>0</v>
      </c>
      <c r="M911" s="80">
        <f t="shared" si="409"/>
        <v>0</v>
      </c>
      <c r="N911" s="80">
        <f t="shared" si="409"/>
        <v>242194583.63978818</v>
      </c>
      <c r="O911" s="80">
        <f t="shared" si="409"/>
        <v>143524479.34195939</v>
      </c>
      <c r="P911" s="80">
        <f t="shared" si="409"/>
        <v>127237257.44781397</v>
      </c>
      <c r="Q911" s="80">
        <f t="shared" si="409"/>
        <v>15203335.994018935</v>
      </c>
      <c r="R911" s="80">
        <f t="shared" si="409"/>
        <v>7082689.0574253704</v>
      </c>
      <c r="S911" s="80">
        <f t="shared" si="409"/>
        <v>78174244.52773416</v>
      </c>
      <c r="T911" s="80">
        <f t="shared" si="409"/>
        <v>308732.70736411982</v>
      </c>
      <c r="U911" s="80">
        <f t="shared" si="409"/>
        <v>474242.50220579916</v>
      </c>
      <c r="V911" s="80">
        <f t="shared" si="409"/>
        <v>0</v>
      </c>
      <c r="W911" s="80">
        <f t="shared" si="409"/>
        <v>0</v>
      </c>
      <c r="X911" s="80">
        <f t="shared" si="409"/>
        <v>0</v>
      </c>
      <c r="Y911" s="80">
        <f t="shared" si="409"/>
        <v>0</v>
      </c>
      <c r="Z911" s="80">
        <f t="shared" si="409"/>
        <v>0</v>
      </c>
      <c r="AA911" s="80">
        <f>ROUND(SUM(G911:Z911),2)</f>
        <v>2380933927.2399998</v>
      </c>
      <c r="AB911" s="93" t="str">
        <f>IF(ABS(F911-AA911)&lt;0.01,"ok","err")</f>
        <v>ok</v>
      </c>
    </row>
    <row r="912" spans="1:28" s="60" customFormat="1" ht="15" hidden="1" thickBot="1"/>
    <row r="913" spans="1:28" s="60" customFormat="1" ht="15.75" hidden="1" thickBot="1">
      <c r="A913" s="282" t="s">
        <v>1120</v>
      </c>
      <c r="B913" s="150"/>
      <c r="C913" s="150"/>
      <c r="D913" s="150"/>
      <c r="E913" s="150"/>
      <c r="F913" s="151">
        <f t="shared" ref="F913:P913" si="410">F909/F911</f>
        <v>4.9182019149416084E-2</v>
      </c>
      <c r="G913" s="151">
        <f t="shared" si="410"/>
        <v>2.6481530248621831E-2</v>
      </c>
      <c r="H913" s="151">
        <f t="shared" si="410"/>
        <v>7.3411291719059885E-2</v>
      </c>
      <c r="I913" s="151" t="e">
        <f t="shared" si="410"/>
        <v>#DIV/0!</v>
      </c>
      <c r="J913" s="151">
        <f t="shared" si="410"/>
        <v>6.4945449610730108E-2</v>
      </c>
      <c r="K913" s="151">
        <f t="shared" si="410"/>
        <v>8.8356084390707829E-2</v>
      </c>
      <c r="L913" s="151" t="e">
        <f t="shared" si="410"/>
        <v>#DIV/0!</v>
      </c>
      <c r="M913" s="151" t="e">
        <f t="shared" si="410"/>
        <v>#DIV/0!</v>
      </c>
      <c r="N913" s="151">
        <f t="shared" si="410"/>
        <v>4.5662658128989349E-2</v>
      </c>
      <c r="O913" s="151">
        <f>O909/O911</f>
        <v>0.1192049987760658</v>
      </c>
      <c r="P913" s="151">
        <f t="shared" si="410"/>
        <v>3.4789948215336E-2</v>
      </c>
      <c r="Q913" s="151">
        <f>Q909/Q911</f>
        <v>1.7018477184063484E-2</v>
      </c>
      <c r="R913" s="151">
        <f t="shared" ref="R913:Z913" si="411">R909/R911</f>
        <v>2.4534987564531825E-2</v>
      </c>
      <c r="S913" s="151">
        <f t="shared" si="411"/>
        <v>5.3938072254615922E-2</v>
      </c>
      <c r="T913" s="151">
        <f t="shared" si="411"/>
        <v>8.0111688561613603E-2</v>
      </c>
      <c r="U913" s="151">
        <f t="shared" si="411"/>
        <v>7.6229088829125283E-2</v>
      </c>
      <c r="V913" s="151" t="e">
        <f t="shared" si="411"/>
        <v>#DIV/0!</v>
      </c>
      <c r="W913" s="151" t="e">
        <f t="shared" si="411"/>
        <v>#DIV/0!</v>
      </c>
      <c r="X913" s="151" t="e">
        <f t="shared" si="411"/>
        <v>#DIV/0!</v>
      </c>
      <c r="Y913" s="151" t="e">
        <f t="shared" si="411"/>
        <v>#DIV/0!</v>
      </c>
      <c r="Z913" s="151" t="e">
        <f t="shared" si="411"/>
        <v>#DIV/0!</v>
      </c>
      <c r="AA913" s="139"/>
      <c r="AB913" s="139"/>
    </row>
    <row r="914" spans="1:28" s="60" customFormat="1" hidden="1"/>
    <row r="915" spans="1:28" s="60" customFormat="1" hidden="1"/>
    <row r="916" spans="1:28" s="60" customFormat="1" ht="15" hidden="1">
      <c r="A916" s="65" t="s">
        <v>1315</v>
      </c>
    </row>
    <row r="917" spans="1:28" s="60" customFormat="1" hidden="1"/>
    <row r="918" spans="1:28" s="60" customFormat="1" ht="15" hidden="1">
      <c r="A918" s="65" t="s">
        <v>1112</v>
      </c>
    </row>
    <row r="919" spans="1:28" s="60" customFormat="1" hidden="1"/>
    <row r="920" spans="1:28" s="60" customFormat="1" hidden="1">
      <c r="A920" s="111" t="s">
        <v>1318</v>
      </c>
      <c r="F920" s="80">
        <f>F895</f>
        <v>1017179261.4612489</v>
      </c>
      <c r="G920" s="80">
        <f t="shared" ref="G920:Z920" si="412">G895</f>
        <v>402670323.24339944</v>
      </c>
      <c r="H920" s="80">
        <f t="shared" si="412"/>
        <v>140973669.47941807</v>
      </c>
      <c r="I920" s="80">
        <f t="shared" si="412"/>
        <v>0</v>
      </c>
      <c r="J920" s="80">
        <f t="shared" si="412"/>
        <v>12141999.068349391</v>
      </c>
      <c r="K920" s="80">
        <f t="shared" si="412"/>
        <v>158862794.51579908</v>
      </c>
      <c r="L920" s="80">
        <f t="shared" si="412"/>
        <v>0</v>
      </c>
      <c r="M920" s="80">
        <f t="shared" si="412"/>
        <v>0</v>
      </c>
      <c r="N920" s="80">
        <f t="shared" si="412"/>
        <v>123888501.86731727</v>
      </c>
      <c r="O920" s="80">
        <f t="shared" si="412"/>
        <v>80679092.169239894</v>
      </c>
      <c r="P920" s="80">
        <f t="shared" si="412"/>
        <v>68446605.13713342</v>
      </c>
      <c r="Q920" s="80">
        <f t="shared" si="412"/>
        <v>6762885.5315703759</v>
      </c>
      <c r="R920" s="80">
        <f t="shared" si="412"/>
        <v>3513275.1177982604</v>
      </c>
      <c r="S920" s="80">
        <f t="shared" si="412"/>
        <v>18735741.577701136</v>
      </c>
      <c r="T920" s="80">
        <f t="shared" si="412"/>
        <v>222752.47327662929</v>
      </c>
      <c r="U920" s="80">
        <f t="shared" si="412"/>
        <v>281621.28024605225</v>
      </c>
      <c r="V920" s="80">
        <f t="shared" si="412"/>
        <v>0</v>
      </c>
      <c r="W920" s="80">
        <f t="shared" si="412"/>
        <v>0</v>
      </c>
      <c r="X920" s="80">
        <f t="shared" si="412"/>
        <v>0</v>
      </c>
      <c r="Y920" s="80">
        <f t="shared" si="412"/>
        <v>0</v>
      </c>
      <c r="Z920" s="80">
        <f t="shared" si="412"/>
        <v>0</v>
      </c>
      <c r="AA920" s="80">
        <f>ROUND(SUM(G920:Z920),2)</f>
        <v>1017179261.46</v>
      </c>
      <c r="AB920" s="93" t="str">
        <f>IF(ABS(F920-AA920)&lt;0.01,"ok","err")</f>
        <v>ok</v>
      </c>
    </row>
    <row r="921" spans="1:28" s="60" customFormat="1" hidden="1"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93"/>
    </row>
    <row r="922" spans="1:28" s="60" customFormat="1" hidden="1">
      <c r="A922" s="60" t="s">
        <v>135</v>
      </c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93"/>
    </row>
    <row r="923" spans="1:28" s="60" customFormat="1" hidden="1">
      <c r="A923" s="60" t="s">
        <v>900</v>
      </c>
      <c r="F923" s="76">
        <f>($F$913*F911-F909)/(1-$E$935)-SUM(F893:F894)</f>
        <v>22391</v>
      </c>
      <c r="G923" s="255">
        <f>($F$913*G911-G909)/(1-$E$935)-SUM(G893:G894)</f>
        <v>42629674.737135231</v>
      </c>
      <c r="H923" s="255">
        <f t="shared" ref="H923:Z923" si="413">($F$913*H911-H909)/(1-$E$935)-SUM(H893:H894)</f>
        <v>-11926371.45291082</v>
      </c>
      <c r="I923" s="255">
        <f t="shared" si="413"/>
        <v>0</v>
      </c>
      <c r="J923" s="255">
        <f t="shared" si="413"/>
        <v>-580549.75253818976</v>
      </c>
      <c r="K923" s="255">
        <f t="shared" si="413"/>
        <v>-18534303.897946279</v>
      </c>
      <c r="L923" s="255">
        <f t="shared" si="413"/>
        <v>0</v>
      </c>
      <c r="M923" s="255">
        <f t="shared" si="413"/>
        <v>0</v>
      </c>
      <c r="N923" s="255">
        <f t="shared" si="413"/>
        <v>1389108.5820482129</v>
      </c>
      <c r="O923" s="255">
        <f t="shared" si="413"/>
        <v>-16378506.152655659</v>
      </c>
      <c r="P923" s="255">
        <f t="shared" si="413"/>
        <v>2984319.8210318554</v>
      </c>
      <c r="Q923" s="255">
        <f t="shared" si="413"/>
        <v>796912.29025488824</v>
      </c>
      <c r="R923" s="255">
        <f t="shared" si="413"/>
        <v>284492.32854289515</v>
      </c>
      <c r="S923" s="255">
        <f t="shared" si="413"/>
        <v>-605919.53854927723</v>
      </c>
      <c r="T923" s="255">
        <f t="shared" si="413"/>
        <v>-15562.009708524245</v>
      </c>
      <c r="U923" s="255">
        <f t="shared" si="413"/>
        <v>-20903.954704629428</v>
      </c>
      <c r="V923" s="255">
        <f t="shared" si="413"/>
        <v>0</v>
      </c>
      <c r="W923" s="255">
        <f t="shared" si="413"/>
        <v>0</v>
      </c>
      <c r="X923" s="255">
        <f t="shared" si="413"/>
        <v>0</v>
      </c>
      <c r="Y923" s="255">
        <f t="shared" si="413"/>
        <v>0</v>
      </c>
      <c r="Z923" s="255">
        <f t="shared" si="413"/>
        <v>0</v>
      </c>
      <c r="AA923" s="80">
        <f>SUM(G923:Z923)</f>
        <v>22390.999999706317</v>
      </c>
      <c r="AB923" s="93" t="str">
        <f>IF(ABS(F923-AA923)&lt;0.01,"ok","err")</f>
        <v>ok</v>
      </c>
    </row>
    <row r="924" spans="1:28" s="60" customFormat="1" hidden="1">
      <c r="A924" s="60" t="s">
        <v>896</v>
      </c>
      <c r="E924" s="60" t="s">
        <v>182</v>
      </c>
      <c r="F924" s="76">
        <f>F893</f>
        <v>-22391</v>
      </c>
      <c r="G924" s="76">
        <f>G893</f>
        <v>-20834.355219506127</v>
      </c>
      <c r="H924" s="76">
        <f t="shared" ref="H924:U924" si="414">H893</f>
        <v>-1347.7923692579229</v>
      </c>
      <c r="I924" s="76">
        <f t="shared" si="414"/>
        <v>0</v>
      </c>
      <c r="J924" s="76">
        <f t="shared" si="414"/>
        <v>-5.0261070647315949</v>
      </c>
      <c r="K924" s="76">
        <f t="shared" si="414"/>
        <v>-197.14672271267796</v>
      </c>
      <c r="L924" s="76">
        <f t="shared" si="414"/>
        <v>0</v>
      </c>
      <c r="M924" s="76">
        <f t="shared" si="414"/>
        <v>0</v>
      </c>
      <c r="N924" s="76">
        <f t="shared" si="414"/>
        <v>-0.59476066757413615</v>
      </c>
      <c r="O924" s="76">
        <f>O893</f>
        <v>-1.5559615568764129</v>
      </c>
      <c r="P924" s="76">
        <f t="shared" si="414"/>
        <v>-7.3288044345628148E-2</v>
      </c>
      <c r="Q924" s="76">
        <f t="shared" si="414"/>
        <v>0</v>
      </c>
      <c r="R924" s="76">
        <f t="shared" si="414"/>
        <v>0</v>
      </c>
      <c r="S924" s="76">
        <f t="shared" si="414"/>
        <v>-4.4555711897395023</v>
      </c>
      <c r="T924" s="76">
        <f t="shared" si="414"/>
        <v>0</v>
      </c>
      <c r="U924" s="76">
        <f t="shared" si="414"/>
        <v>0</v>
      </c>
      <c r="V924" s="76">
        <f>IF(VLOOKUP($E924,$D$6:$AN$1131,3,)=0,0,(VLOOKUP($E924,$D$6:$AN$1131,V$2,)/VLOOKUP($E924,$D$6:$AN$1131,3,))*$F924)</f>
        <v>0</v>
      </c>
      <c r="W924" s="76">
        <f>IF(VLOOKUP($E924,$D$6:$AN$1131,3,)=0,0,(VLOOKUP($E924,$D$6:$AN$1131,W$2,)/VLOOKUP($E924,$D$6:$AN$1131,3,))*$F924)</f>
        <v>0</v>
      </c>
      <c r="X924" s="79">
        <f>IF(VLOOKUP($E924,$D$6:$AN$1131,3,)=0,0,(VLOOKUP($E924,$D$6:$AN$1131,X$2,)/VLOOKUP($E924,$D$6:$AN$1131,3,))*$F924)</f>
        <v>0</v>
      </c>
      <c r="Y924" s="79">
        <f>IF(VLOOKUP($E924,$D$6:$AN$1131,3,)=0,0,(VLOOKUP($E924,$D$6:$AN$1131,Y$2,)/VLOOKUP($E924,$D$6:$AN$1131,3,))*$F924)</f>
        <v>0</v>
      </c>
      <c r="Z924" s="79">
        <f>IF(VLOOKUP($E924,$D$6:$AN$1131,3,)=0,0,(VLOOKUP($E924,$D$6:$AN$1131,Z$2,)/VLOOKUP($E924,$D$6:$AN$1131,3,))*$F924)</f>
        <v>0</v>
      </c>
      <c r="AA924" s="80">
        <f>SUM(G924:Z924)</f>
        <v>-22391</v>
      </c>
      <c r="AB924" s="93" t="str">
        <f>IF(ABS(F924-AA924)&lt;0.01,"ok","err")</f>
        <v>ok</v>
      </c>
    </row>
    <row r="925" spans="1:28" s="60" customFormat="1" hidden="1"/>
    <row r="926" spans="1:28" s="60" customFormat="1" hidden="1">
      <c r="A926" s="60" t="s">
        <v>136</v>
      </c>
      <c r="F926" s="80">
        <f>SUM(F920:F924)</f>
        <v>1017179261.4612489</v>
      </c>
      <c r="G926" s="80">
        <f t="shared" ref="G926:P926" si="415">SUM(G920:G924)</f>
        <v>445279163.62531519</v>
      </c>
      <c r="H926" s="80">
        <f t="shared" si="415"/>
        <v>129045950.23413798</v>
      </c>
      <c r="I926" s="80">
        <f t="shared" si="415"/>
        <v>0</v>
      </c>
      <c r="J926" s="80">
        <f t="shared" si="415"/>
        <v>11561444.289704137</v>
      </c>
      <c r="K926" s="80">
        <f t="shared" si="415"/>
        <v>140328293.4711301</v>
      </c>
      <c r="L926" s="80">
        <f t="shared" si="415"/>
        <v>0</v>
      </c>
      <c r="M926" s="80">
        <f t="shared" si="415"/>
        <v>0</v>
      </c>
      <c r="N926" s="80">
        <f t="shared" si="415"/>
        <v>125277609.85460481</v>
      </c>
      <c r="O926" s="80">
        <f>SUM(O920:O924)</f>
        <v>64300584.460622676</v>
      </c>
      <c r="P926" s="80">
        <f t="shared" si="415"/>
        <v>71430924.884877235</v>
      </c>
      <c r="Q926" s="80">
        <f>SUM(Q920:Q924)</f>
        <v>7559797.821825264</v>
      </c>
      <c r="R926" s="80">
        <f t="shared" ref="R926:Z926" si="416">SUM(R920:R924)</f>
        <v>3797767.4463411556</v>
      </c>
      <c r="S926" s="80">
        <f t="shared" si="416"/>
        <v>18129817.583580669</v>
      </c>
      <c r="T926" s="80">
        <f t="shared" si="416"/>
        <v>207190.46356810504</v>
      </c>
      <c r="U926" s="80">
        <f t="shared" si="416"/>
        <v>260717.32554142282</v>
      </c>
      <c r="V926" s="80">
        <f t="shared" si="416"/>
        <v>0</v>
      </c>
      <c r="W926" s="80">
        <f t="shared" si="416"/>
        <v>0</v>
      </c>
      <c r="X926" s="80">
        <f t="shared" si="416"/>
        <v>0</v>
      </c>
      <c r="Y926" s="80">
        <f t="shared" si="416"/>
        <v>0</v>
      </c>
      <c r="Z926" s="80">
        <f t="shared" si="416"/>
        <v>0</v>
      </c>
      <c r="AA926" s="80">
        <f>ROUND(SUM(G926:Z926),2)</f>
        <v>1017179261.46</v>
      </c>
      <c r="AB926" s="93" t="str">
        <f>IF(ABS(F926-AA926)&lt;0.01,"ok","err")</f>
        <v>ok</v>
      </c>
    </row>
    <row r="927" spans="1:28" s="60" customFormat="1" hidden="1"/>
    <row r="928" spans="1:28" s="60" customFormat="1" hidden="1"/>
    <row r="929" spans="1:28" s="60" customFormat="1" ht="15" hidden="1">
      <c r="A929" s="65" t="s">
        <v>1116</v>
      </c>
    </row>
    <row r="930" spans="1:28" s="60" customFormat="1" hidden="1"/>
    <row r="931" spans="1:28" s="60" customFormat="1" hidden="1">
      <c r="A931" s="60" t="s">
        <v>1119</v>
      </c>
      <c r="F931" s="80">
        <f>F900+F904</f>
        <v>904139537.57816255</v>
      </c>
      <c r="G931" s="80">
        <f t="shared" ref="G931:Z931" si="417">G900+G904</f>
        <v>372713945.23679817</v>
      </c>
      <c r="H931" s="80">
        <f t="shared" si="417"/>
        <v>119725265.69388142</v>
      </c>
      <c r="I931" s="80">
        <f t="shared" si="417"/>
        <v>0</v>
      </c>
      <c r="J931" s="80">
        <f t="shared" si="417"/>
        <v>10733029.38608798</v>
      </c>
      <c r="K931" s="80">
        <f t="shared" si="417"/>
        <v>134301307.17334652</v>
      </c>
      <c r="L931" s="80">
        <f t="shared" si="417"/>
        <v>0</v>
      </c>
      <c r="M931" s="80">
        <f t="shared" si="417"/>
        <v>0</v>
      </c>
      <c r="N931" s="80">
        <f t="shared" si="417"/>
        <v>113220697.23401846</v>
      </c>
      <c r="O931" s="80">
        <f t="shared" si="417"/>
        <v>64331239.787827805</v>
      </c>
      <c r="P931" s="80">
        <f t="shared" si="417"/>
        <v>64162435.544149332</v>
      </c>
      <c r="Q931" s="80">
        <f t="shared" si="417"/>
        <v>6505771.9677781062</v>
      </c>
      <c r="R931" s="80">
        <f t="shared" si="417"/>
        <v>3343411.1257372517</v>
      </c>
      <c r="S931" s="80">
        <f t="shared" si="417"/>
        <v>14656230.182159739</v>
      </c>
      <c r="T931" s="80">
        <f t="shared" si="417"/>
        <v>199175.56339998255</v>
      </c>
      <c r="U931" s="80">
        <f t="shared" si="417"/>
        <v>247028.68297776376</v>
      </c>
      <c r="V931" s="80">
        <f t="shared" si="417"/>
        <v>0</v>
      </c>
      <c r="W931" s="80">
        <f t="shared" si="417"/>
        <v>0</v>
      </c>
      <c r="X931" s="80">
        <f t="shared" si="417"/>
        <v>0</v>
      </c>
      <c r="Y931" s="80">
        <f t="shared" si="417"/>
        <v>0</v>
      </c>
      <c r="Z931" s="80">
        <f t="shared" si="417"/>
        <v>0</v>
      </c>
      <c r="AA931" s="80">
        <f>ROUND(SUM(G931:Z931),2)</f>
        <v>904139537.58000004</v>
      </c>
      <c r="AB931" s="93" t="str">
        <f>IF(ABS(F931-AA931)&lt;0.01,"ok","err")</f>
        <v>ok</v>
      </c>
    </row>
    <row r="932" spans="1:28" s="60" customFormat="1" hidden="1"/>
    <row r="933" spans="1:28" s="60" customFormat="1" hidden="1">
      <c r="A933" s="60" t="s">
        <v>710</v>
      </c>
      <c r="F933" s="112">
        <f>F902</f>
        <v>-4059414.1199999996</v>
      </c>
      <c r="G933" s="112">
        <f t="shared" ref="G933:Z933" si="418">G902</f>
        <v>-543620.57590859686</v>
      </c>
      <c r="H933" s="112">
        <f t="shared" si="418"/>
        <v>-927030.60818927304</v>
      </c>
      <c r="I933" s="112">
        <f t="shared" si="418"/>
        <v>0</v>
      </c>
      <c r="J933" s="112">
        <f t="shared" si="418"/>
        <v>-58717.272899689371</v>
      </c>
      <c r="K933" s="112">
        <f t="shared" si="418"/>
        <v>-1089905.737037403</v>
      </c>
      <c r="L933" s="112">
        <f t="shared" si="418"/>
        <v>0</v>
      </c>
      <c r="M933" s="112">
        <f t="shared" si="418"/>
        <v>0</v>
      </c>
      <c r="N933" s="112">
        <f t="shared" si="418"/>
        <v>-391443.84013774648</v>
      </c>
      <c r="O933" s="112">
        <f t="shared" si="418"/>
        <v>-760983.00288166222</v>
      </c>
      <c r="P933" s="112">
        <f t="shared" si="418"/>
        <v>-142408.00468673278</v>
      </c>
      <c r="Q933" s="112">
        <f t="shared" si="418"/>
        <v>-1624.0629435925593</v>
      </c>
      <c r="R933" s="112">
        <f t="shared" si="418"/>
        <v>-3909.695886368535</v>
      </c>
      <c r="S933" s="112">
        <f t="shared" si="418"/>
        <v>-137056.65424554003</v>
      </c>
      <c r="T933" s="112">
        <f t="shared" si="418"/>
        <v>-1156.1886244914131</v>
      </c>
      <c r="U933" s="112">
        <f t="shared" si="418"/>
        <v>-1558.4765589040039</v>
      </c>
      <c r="V933" s="112">
        <f t="shared" si="418"/>
        <v>0</v>
      </c>
      <c r="W933" s="112">
        <f t="shared" si="418"/>
        <v>0</v>
      </c>
      <c r="X933" s="112">
        <f t="shared" si="418"/>
        <v>0</v>
      </c>
      <c r="Y933" s="112">
        <f t="shared" si="418"/>
        <v>0</v>
      </c>
      <c r="Z933" s="112">
        <f t="shared" si="418"/>
        <v>0</v>
      </c>
      <c r="AA933" s="80">
        <f>ROUND(SUM(G933:Z933),2)</f>
        <v>-4059414.12</v>
      </c>
      <c r="AB933" s="93" t="str">
        <f>IF(ABS(F933-AA933)&lt;0.01,"ok","err")</f>
        <v>ok</v>
      </c>
    </row>
    <row r="934" spans="1:28" s="60" customFormat="1" hidden="1">
      <c r="F934" s="112"/>
      <c r="G934" s="112"/>
      <c r="H934" s="112"/>
      <c r="I934" s="112"/>
      <c r="J934" s="112"/>
      <c r="K934" s="112"/>
      <c r="L934" s="112"/>
      <c r="M934" s="112"/>
      <c r="N934" s="112"/>
      <c r="O934" s="112"/>
      <c r="P934" s="112"/>
      <c r="Q934" s="112"/>
      <c r="R934" s="112"/>
      <c r="S934" s="112"/>
      <c r="T934" s="112"/>
      <c r="U934" s="112"/>
      <c r="V934" s="112"/>
      <c r="W934" s="112"/>
      <c r="X934" s="112"/>
      <c r="Y934" s="112"/>
      <c r="Z934" s="112"/>
      <c r="AA934" s="80"/>
      <c r="AB934" s="93"/>
    </row>
    <row r="935" spans="1:28" s="60" customFormat="1" hidden="1">
      <c r="A935" s="60" t="s">
        <v>711</v>
      </c>
      <c r="E935" s="60">
        <f>E868</f>
        <v>0.38639026999999998</v>
      </c>
      <c r="F935" s="112">
        <f>(F923+F924)*$E$935</f>
        <v>0</v>
      </c>
      <c r="G935" s="112">
        <f>(G923+G924)*$E$935</f>
        <v>16463641.339555319</v>
      </c>
      <c r="H935" s="112">
        <f t="shared" ref="H935:Y935" si="419">(H923+H924)*$E$935</f>
        <v>-4608754.659667965</v>
      </c>
      <c r="I935" s="112">
        <f t="shared" si="419"/>
        <v>0</v>
      </c>
      <c r="J935" s="112">
        <f t="shared" si="419"/>
        <v>-224320.71767053008</v>
      </c>
      <c r="K935" s="112">
        <f t="shared" si="419"/>
        <v>-7161550.8629649328</v>
      </c>
      <c r="L935" s="112">
        <f t="shared" si="419"/>
        <v>0</v>
      </c>
      <c r="M935" s="112">
        <f t="shared" si="419"/>
        <v>0</v>
      </c>
      <c r="N935" s="112">
        <f t="shared" si="419"/>
        <v>536737.81026719115</v>
      </c>
      <c r="O935" s="112">
        <f t="shared" si="419"/>
        <v>-6328496.0157296872</v>
      </c>
      <c r="P935" s="112">
        <f t="shared" si="419"/>
        <v>1153112.113097063</v>
      </c>
      <c r="Q935" s="112">
        <f t="shared" si="419"/>
        <v>307919.15499790461</v>
      </c>
      <c r="R935" s="112">
        <f t="shared" si="419"/>
        <v>109925.06763861795</v>
      </c>
      <c r="S935" s="112">
        <f t="shared" si="419"/>
        <v>-234123.13568768563</v>
      </c>
      <c r="T935" s="112">
        <f t="shared" si="419"/>
        <v>-6013.0091330193045</v>
      </c>
      <c r="U935" s="112">
        <f t="shared" si="419"/>
        <v>-8077.0847023895349</v>
      </c>
      <c r="V935" s="112">
        <f t="shared" si="419"/>
        <v>0</v>
      </c>
      <c r="W935" s="112">
        <f t="shared" si="419"/>
        <v>0</v>
      </c>
      <c r="X935" s="112">
        <f t="shared" si="419"/>
        <v>0</v>
      </c>
      <c r="Y935" s="112">
        <f t="shared" si="419"/>
        <v>0</v>
      </c>
      <c r="Z935" s="112">
        <f>(Z923+Z924)*$E$935</f>
        <v>0</v>
      </c>
      <c r="AA935" s="80">
        <f>ROUND(SUM(G935:Z935),2)</f>
        <v>0</v>
      </c>
      <c r="AB935" s="93" t="str">
        <f>IF(ABS(F935-AA935)&lt;0.01,"ok","err")</f>
        <v>ok</v>
      </c>
    </row>
    <row r="936" spans="1:28" s="60" customFormat="1" hidden="1">
      <c r="A936" s="68"/>
      <c r="F936" s="79"/>
      <c r="G936" s="76"/>
      <c r="H936" s="76"/>
      <c r="I936" s="76"/>
      <c r="J936" s="76"/>
      <c r="K936" s="76"/>
      <c r="L936" s="76"/>
      <c r="M936" s="76"/>
      <c r="N936" s="76"/>
      <c r="O936" s="76"/>
      <c r="P936" s="76"/>
      <c r="Q936" s="76"/>
      <c r="R936" s="76"/>
      <c r="S936" s="76"/>
      <c r="T936" s="76"/>
      <c r="U936" s="76"/>
      <c r="V936" s="76"/>
      <c r="W936" s="76"/>
      <c r="X936" s="76"/>
      <c r="Y936" s="76"/>
      <c r="Z936" s="76"/>
      <c r="AA936" s="80"/>
      <c r="AB936" s="93"/>
    </row>
    <row r="937" spans="1:28" s="60" customFormat="1" hidden="1">
      <c r="A937" s="60" t="s">
        <v>137</v>
      </c>
      <c r="F937" s="80">
        <f t="shared" ref="F937:Z937" si="420">SUM(F931:F936)</f>
        <v>900080123.45816255</v>
      </c>
      <c r="G937" s="80">
        <f t="shared" si="420"/>
        <v>388633966.00044489</v>
      </c>
      <c r="H937" s="80">
        <f t="shared" si="420"/>
        <v>114189480.42602418</v>
      </c>
      <c r="I937" s="80">
        <f t="shared" si="420"/>
        <v>0</v>
      </c>
      <c r="J937" s="80">
        <f t="shared" si="420"/>
        <v>10449991.395517761</v>
      </c>
      <c r="K937" s="80">
        <f t="shared" si="420"/>
        <v>126049850.57334419</v>
      </c>
      <c r="L937" s="80">
        <f t="shared" si="420"/>
        <v>0</v>
      </c>
      <c r="M937" s="80">
        <f t="shared" si="420"/>
        <v>0</v>
      </c>
      <c r="N937" s="80">
        <f t="shared" si="420"/>
        <v>113365991.20414791</v>
      </c>
      <c r="O937" s="80">
        <f>SUM(O931:O936)</f>
        <v>57241760.769216456</v>
      </c>
      <c r="P937" s="80">
        <f t="shared" si="420"/>
        <v>65173139.65255966</v>
      </c>
      <c r="Q937" s="80">
        <f t="shared" si="420"/>
        <v>6812067.0598324183</v>
      </c>
      <c r="R937" s="80">
        <f t="shared" si="420"/>
        <v>3449426.4974895013</v>
      </c>
      <c r="S937" s="80">
        <f t="shared" si="420"/>
        <v>14285050.392226512</v>
      </c>
      <c r="T937" s="80">
        <f t="shared" si="420"/>
        <v>192006.36564247182</v>
      </c>
      <c r="U937" s="80">
        <f t="shared" si="420"/>
        <v>237393.1217164702</v>
      </c>
      <c r="V937" s="80">
        <f t="shared" si="420"/>
        <v>0</v>
      </c>
      <c r="W937" s="80">
        <f t="shared" si="420"/>
        <v>0</v>
      </c>
      <c r="X937" s="80">
        <f t="shared" si="420"/>
        <v>0</v>
      </c>
      <c r="Y937" s="80">
        <f t="shared" si="420"/>
        <v>0</v>
      </c>
      <c r="Z937" s="80">
        <f t="shared" si="420"/>
        <v>0</v>
      </c>
      <c r="AA937" s="80">
        <f>ROUND(SUM(G937:Z937),2)</f>
        <v>900080123.46000004</v>
      </c>
      <c r="AB937" s="93" t="str">
        <f>IF(ABS(F937-AA937)&lt;0.01,"ok","err")</f>
        <v>ok</v>
      </c>
    </row>
    <row r="938" spans="1:28" s="60" customFormat="1" hidden="1"/>
    <row r="939" spans="1:28" s="60" customFormat="1" hidden="1"/>
    <row r="940" spans="1:28" s="60" customFormat="1" ht="15" hidden="1">
      <c r="A940" s="65" t="s">
        <v>894</v>
      </c>
      <c r="F940" s="80">
        <f t="shared" ref="F940:Z940" si="421">F926-F937</f>
        <v>117099138.00308633</v>
      </c>
      <c r="G940" s="80">
        <f t="shared" si="421"/>
        <v>56645197.6248703</v>
      </c>
      <c r="H940" s="80">
        <f t="shared" si="421"/>
        <v>14856469.808113798</v>
      </c>
      <c r="I940" s="80">
        <f t="shared" si="421"/>
        <v>0</v>
      </c>
      <c r="J940" s="80">
        <f t="shared" si="421"/>
        <v>1111452.8941863757</v>
      </c>
      <c r="K940" s="80">
        <f t="shared" si="421"/>
        <v>14278442.897785917</v>
      </c>
      <c r="L940" s="80">
        <f t="shared" si="421"/>
        <v>0</v>
      </c>
      <c r="M940" s="80">
        <f t="shared" si="421"/>
        <v>0</v>
      </c>
      <c r="N940" s="80">
        <f t="shared" si="421"/>
        <v>11911618.650456905</v>
      </c>
      <c r="O940" s="80">
        <f>O926-O937</f>
        <v>7058823.6914062202</v>
      </c>
      <c r="P940" s="80">
        <f t="shared" si="421"/>
        <v>6257785.2323175743</v>
      </c>
      <c r="Q940" s="80">
        <f t="shared" si="421"/>
        <v>747730.76199284568</v>
      </c>
      <c r="R940" s="80">
        <f t="shared" si="421"/>
        <v>348340.94885165431</v>
      </c>
      <c r="S940" s="80">
        <f t="shared" si="421"/>
        <v>3844767.1913541574</v>
      </c>
      <c r="T940" s="80">
        <f t="shared" si="421"/>
        <v>15184.097925633221</v>
      </c>
      <c r="U940" s="80">
        <f t="shared" si="421"/>
        <v>23324.203824952623</v>
      </c>
      <c r="V940" s="80">
        <f t="shared" si="421"/>
        <v>0</v>
      </c>
      <c r="W940" s="80">
        <f t="shared" si="421"/>
        <v>0</v>
      </c>
      <c r="X940" s="80">
        <f t="shared" si="421"/>
        <v>0</v>
      </c>
      <c r="Y940" s="80">
        <f t="shared" si="421"/>
        <v>0</v>
      </c>
      <c r="Z940" s="80">
        <f t="shared" si="421"/>
        <v>0</v>
      </c>
      <c r="AA940" s="80">
        <f>ROUND(SUM(G940:Z940),2)</f>
        <v>117099138</v>
      </c>
      <c r="AB940" s="93" t="str">
        <f>IF(ABS(F940-AA940)&lt;0.01,"ok","err")</f>
        <v>ok</v>
      </c>
    </row>
    <row r="941" spans="1:28" s="60" customFormat="1" hidden="1"/>
    <row r="942" spans="1:28" s="60" customFormat="1" ht="15" hidden="1">
      <c r="A942" s="65" t="s">
        <v>1102</v>
      </c>
      <c r="F942" s="80">
        <f>F911</f>
        <v>2380933927.241509</v>
      </c>
      <c r="G942" s="80">
        <f t="shared" ref="G942:W942" si="422">G911</f>
        <v>1151746077.2153518</v>
      </c>
      <c r="H942" s="80">
        <f t="shared" si="422"/>
        <v>302071164.72748941</v>
      </c>
      <c r="I942" s="80">
        <f t="shared" si="422"/>
        <v>0</v>
      </c>
      <c r="J942" s="80">
        <f t="shared" si="422"/>
        <v>22598765.024464671</v>
      </c>
      <c r="K942" s="80">
        <f t="shared" si="422"/>
        <v>290318355.05589318</v>
      </c>
      <c r="L942" s="80">
        <f t="shared" si="422"/>
        <v>0</v>
      </c>
      <c r="M942" s="80">
        <f t="shared" si="422"/>
        <v>0</v>
      </c>
      <c r="N942" s="80">
        <f t="shared" si="422"/>
        <v>242194583.63978818</v>
      </c>
      <c r="O942" s="80">
        <f>O911</f>
        <v>143524479.34195939</v>
      </c>
      <c r="P942" s="80">
        <f t="shared" si="422"/>
        <v>127237257.44781397</v>
      </c>
      <c r="Q942" s="80">
        <f t="shared" si="422"/>
        <v>15203335.994018935</v>
      </c>
      <c r="R942" s="80">
        <f t="shared" si="422"/>
        <v>7082689.0574253704</v>
      </c>
      <c r="S942" s="80">
        <f t="shared" si="422"/>
        <v>78174244.52773416</v>
      </c>
      <c r="T942" s="80">
        <f t="shared" si="422"/>
        <v>308732.70736411982</v>
      </c>
      <c r="U942" s="80">
        <f t="shared" si="422"/>
        <v>474242.50220579916</v>
      </c>
      <c r="V942" s="80">
        <f t="shared" si="422"/>
        <v>0</v>
      </c>
      <c r="W942" s="80">
        <f t="shared" si="422"/>
        <v>0</v>
      </c>
      <c r="X942" s="80">
        <f>X788</f>
        <v>0</v>
      </c>
      <c r="Y942" s="80">
        <f>Y788</f>
        <v>0</v>
      </c>
      <c r="Z942" s="80">
        <f>Z788</f>
        <v>0</v>
      </c>
      <c r="AA942" s="80">
        <f>ROUND(SUM(G942:Z942),2)</f>
        <v>2380933927.2399998</v>
      </c>
      <c r="AB942" s="93" t="str">
        <f>IF(ABS(F942-AA942)&lt;0.01,"ok","err")</f>
        <v>ok</v>
      </c>
    </row>
    <row r="943" spans="1:28" s="60" customFormat="1" ht="15" hidden="1" thickBot="1"/>
    <row r="944" spans="1:28" s="60" customFormat="1" ht="15.75" hidden="1" thickBot="1">
      <c r="A944" s="282" t="s">
        <v>1120</v>
      </c>
      <c r="B944" s="150"/>
      <c r="C944" s="150"/>
      <c r="D944" s="150"/>
      <c r="E944" s="150"/>
      <c r="F944" s="151">
        <f t="shared" ref="F944:P944" si="423">F940/F942</f>
        <v>4.9182019149416084E-2</v>
      </c>
      <c r="G944" s="151">
        <f t="shared" si="423"/>
        <v>4.9182019149416091E-2</v>
      </c>
      <c r="H944" s="151">
        <f t="shared" si="423"/>
        <v>4.9182019149416063E-2</v>
      </c>
      <c r="I944" s="151" t="e">
        <f t="shared" si="423"/>
        <v>#DIV/0!</v>
      </c>
      <c r="J944" s="151">
        <f t="shared" si="423"/>
        <v>4.9182019149416077E-2</v>
      </c>
      <c r="K944" s="151">
        <f t="shared" si="423"/>
        <v>4.9182019149416084E-2</v>
      </c>
      <c r="L944" s="151" t="e">
        <f t="shared" si="423"/>
        <v>#DIV/0!</v>
      </c>
      <c r="M944" s="151" t="e">
        <f t="shared" si="423"/>
        <v>#DIV/0!</v>
      </c>
      <c r="N944" s="151">
        <f t="shared" si="423"/>
        <v>4.9182019149416036E-2</v>
      </c>
      <c r="O944" s="151">
        <f>O940/O942</f>
        <v>4.9182019149416084E-2</v>
      </c>
      <c r="P944" s="151">
        <f t="shared" si="423"/>
        <v>4.9182019149416112E-2</v>
      </c>
      <c r="Q944" s="151">
        <f>Q940/Q942</f>
        <v>4.9182019149416056E-2</v>
      </c>
      <c r="R944" s="151">
        <f t="shared" ref="R944:Z944" si="424">R940/R942</f>
        <v>4.9182019149416084E-2</v>
      </c>
      <c r="S944" s="151">
        <f t="shared" si="424"/>
        <v>4.9182019149416091E-2</v>
      </c>
      <c r="T944" s="151">
        <f t="shared" si="424"/>
        <v>4.9182019149416112E-2</v>
      </c>
      <c r="U944" s="151">
        <f t="shared" si="424"/>
        <v>4.9182019149416105E-2</v>
      </c>
      <c r="V944" s="151" t="e">
        <f t="shared" si="424"/>
        <v>#DIV/0!</v>
      </c>
      <c r="W944" s="151" t="e">
        <f t="shared" si="424"/>
        <v>#DIV/0!</v>
      </c>
      <c r="X944" s="151" t="e">
        <f t="shared" si="424"/>
        <v>#DIV/0!</v>
      </c>
      <c r="Y944" s="151" t="e">
        <f t="shared" si="424"/>
        <v>#DIV/0!</v>
      </c>
      <c r="Z944" s="151" t="e">
        <f t="shared" si="424"/>
        <v>#DIV/0!</v>
      </c>
      <c r="AA944" s="139"/>
      <c r="AB944" s="139"/>
    </row>
    <row r="945" spans="1:28" s="60" customFormat="1" hidden="1"/>
    <row r="946" spans="1:28" s="60" customFormat="1" hidden="1"/>
    <row r="947" spans="1:28" s="60" customFormat="1" hidden="1"/>
    <row r="948" spans="1:28" s="60" customFormat="1" ht="15" hidden="1">
      <c r="A948" s="65" t="s">
        <v>897</v>
      </c>
      <c r="B948" s="65"/>
      <c r="F948" s="76">
        <f>F926</f>
        <v>1017179261.4612489</v>
      </c>
      <c r="G948" s="76">
        <f t="shared" ref="G948:U948" si="425">G926</f>
        <v>445279163.62531519</v>
      </c>
      <c r="H948" s="76">
        <f t="shared" si="425"/>
        <v>129045950.23413798</v>
      </c>
      <c r="I948" s="76">
        <f t="shared" si="425"/>
        <v>0</v>
      </c>
      <c r="J948" s="76">
        <f t="shared" si="425"/>
        <v>11561444.289704137</v>
      </c>
      <c r="K948" s="76">
        <f t="shared" si="425"/>
        <v>140328293.4711301</v>
      </c>
      <c r="L948" s="76">
        <f t="shared" si="425"/>
        <v>0</v>
      </c>
      <c r="M948" s="76">
        <f t="shared" si="425"/>
        <v>0</v>
      </c>
      <c r="N948" s="76">
        <f t="shared" si="425"/>
        <v>125277609.85460481</v>
      </c>
      <c r="O948" s="76">
        <f t="shared" si="425"/>
        <v>64300584.460622676</v>
      </c>
      <c r="P948" s="76">
        <f t="shared" si="425"/>
        <v>71430924.884877235</v>
      </c>
      <c r="Q948" s="76">
        <f t="shared" si="425"/>
        <v>7559797.821825264</v>
      </c>
      <c r="R948" s="76">
        <f t="shared" si="425"/>
        <v>3797767.4463411556</v>
      </c>
      <c r="S948" s="76">
        <f t="shared" si="425"/>
        <v>18129817.583580669</v>
      </c>
      <c r="T948" s="76">
        <f t="shared" si="425"/>
        <v>207190.46356810504</v>
      </c>
      <c r="U948" s="76">
        <f t="shared" si="425"/>
        <v>260717.32554142282</v>
      </c>
      <c r="V948" s="60">
        <v>1</v>
      </c>
      <c r="W948" s="60">
        <v>1</v>
      </c>
      <c r="Z948" s="80">
        <f>ROUND(SUM(G949:Z949),2)</f>
        <v>0</v>
      </c>
      <c r="AA948" s="80"/>
      <c r="AB948" s="93"/>
    </row>
    <row r="949" spans="1:28" s="60" customFormat="1" ht="15" hidden="1">
      <c r="A949" s="65"/>
      <c r="B949" s="65"/>
    </row>
    <row r="950" spans="1:28" s="60" customFormat="1" ht="15" hidden="1">
      <c r="A950" s="65" t="s">
        <v>898</v>
      </c>
      <c r="B950" s="65"/>
      <c r="F950" s="80">
        <f>F923</f>
        <v>22391</v>
      </c>
      <c r="G950" s="80">
        <f>G923</f>
        <v>42629674.737135231</v>
      </c>
      <c r="H950" s="80">
        <f t="shared" ref="H950:Z950" si="426">H923</f>
        <v>-11926371.45291082</v>
      </c>
      <c r="I950" s="80">
        <f t="shared" si="426"/>
        <v>0</v>
      </c>
      <c r="J950" s="80">
        <f t="shared" si="426"/>
        <v>-580549.75253818976</v>
      </c>
      <c r="K950" s="80">
        <f t="shared" si="426"/>
        <v>-18534303.897946279</v>
      </c>
      <c r="L950" s="80">
        <f t="shared" si="426"/>
        <v>0</v>
      </c>
      <c r="M950" s="80">
        <f t="shared" si="426"/>
        <v>0</v>
      </c>
      <c r="N950" s="80">
        <f t="shared" si="426"/>
        <v>1389108.5820482129</v>
      </c>
      <c r="O950" s="80">
        <f>O923</f>
        <v>-16378506.152655659</v>
      </c>
      <c r="P950" s="80">
        <f t="shared" si="426"/>
        <v>2984319.8210318554</v>
      </c>
      <c r="Q950" s="80">
        <f t="shared" si="426"/>
        <v>796912.29025488824</v>
      </c>
      <c r="R950" s="80">
        <f t="shared" si="426"/>
        <v>284492.32854289515</v>
      </c>
      <c r="S950" s="80">
        <f t="shared" si="426"/>
        <v>-605919.53854927723</v>
      </c>
      <c r="T950" s="80">
        <f t="shared" si="426"/>
        <v>-15562.009708524245</v>
      </c>
      <c r="U950" s="80">
        <f t="shared" si="426"/>
        <v>-20903.954704629428</v>
      </c>
      <c r="V950" s="80">
        <f t="shared" si="426"/>
        <v>0</v>
      </c>
      <c r="W950" s="80">
        <f t="shared" si="426"/>
        <v>0</v>
      </c>
      <c r="X950" s="80">
        <f t="shared" si="426"/>
        <v>0</v>
      </c>
      <c r="Y950" s="80">
        <f t="shared" si="426"/>
        <v>0</v>
      </c>
      <c r="Z950" s="80">
        <f t="shared" si="426"/>
        <v>0</v>
      </c>
      <c r="AA950" s="80"/>
      <c r="AB950" s="93"/>
    </row>
    <row r="951" spans="1:28" s="60" customFormat="1" ht="15" hidden="1">
      <c r="A951" s="65"/>
      <c r="B951" s="65"/>
    </row>
    <row r="952" spans="1:28" s="60" customFormat="1" ht="15" hidden="1">
      <c r="A952" s="65" t="s">
        <v>899</v>
      </c>
      <c r="B952" s="65"/>
      <c r="F952" s="152">
        <f>F950/F948</f>
        <v>2.2012835739330519E-5</v>
      </c>
      <c r="G952" s="152">
        <f>G950/G926</f>
        <v>9.573696283037042E-2</v>
      </c>
      <c r="H952" s="152">
        <f t="shared" ref="H952:Z952" si="427">H950/H948</f>
        <v>-9.2419571720552929E-2</v>
      </c>
      <c r="I952" s="152" t="e">
        <f t="shared" si="427"/>
        <v>#DIV/0!</v>
      </c>
      <c r="J952" s="152">
        <f t="shared" si="427"/>
        <v>-5.0214293127303244E-2</v>
      </c>
      <c r="K952" s="152">
        <f t="shared" si="427"/>
        <v>-0.13207816784117996</v>
      </c>
      <c r="L952" s="152" t="e">
        <f t="shared" si="427"/>
        <v>#DIV/0!</v>
      </c>
      <c r="M952" s="152" t="e">
        <f t="shared" si="427"/>
        <v>#DIV/0!</v>
      </c>
      <c r="N952" s="152">
        <f t="shared" si="427"/>
        <v>1.1088243012142314E-2</v>
      </c>
      <c r="O952" s="152">
        <f>O950/O948</f>
        <v>-0.25471784261441305</v>
      </c>
      <c r="P952" s="152">
        <f t="shared" si="427"/>
        <v>4.1779100940406148E-2</v>
      </c>
      <c r="Q952" s="152">
        <f t="shared" si="427"/>
        <v>0.10541449772032117</v>
      </c>
      <c r="R952" s="152">
        <f t="shared" si="427"/>
        <v>7.4910413173660942E-2</v>
      </c>
      <c r="S952" s="152">
        <f t="shared" si="427"/>
        <v>-3.3421160238149901E-2</v>
      </c>
      <c r="T952" s="152">
        <f t="shared" si="427"/>
        <v>-7.5109681403888059E-2</v>
      </c>
      <c r="U952" s="152">
        <f t="shared" si="427"/>
        <v>-8.0178617440244501E-2</v>
      </c>
      <c r="V952" s="152">
        <f>V950/V948</f>
        <v>0</v>
      </c>
      <c r="W952" s="152">
        <f t="shared" si="427"/>
        <v>0</v>
      </c>
      <c r="X952" s="152" t="e">
        <f t="shared" si="427"/>
        <v>#DIV/0!</v>
      </c>
      <c r="Y952" s="152" t="e">
        <f t="shared" si="427"/>
        <v>#DIV/0!</v>
      </c>
      <c r="Z952" s="152" t="e">
        <f t="shared" si="427"/>
        <v>#DIV/0!</v>
      </c>
    </row>
    <row r="953" spans="1:28" s="60" customFormat="1" ht="15" hidden="1">
      <c r="A953" s="65"/>
      <c r="B953" s="65"/>
      <c r="F953" s="152"/>
      <c r="G953" s="152"/>
      <c r="H953" s="152"/>
      <c r="I953" s="152"/>
      <c r="J953" s="152"/>
      <c r="K953" s="152"/>
      <c r="L953" s="152"/>
      <c r="M953" s="152"/>
      <c r="N953" s="152"/>
      <c r="O953" s="152"/>
      <c r="P953" s="152"/>
      <c r="Q953" s="152"/>
      <c r="R953" s="152"/>
      <c r="S953" s="152"/>
      <c r="T953" s="152"/>
      <c r="U953" s="152"/>
      <c r="V953" s="152"/>
      <c r="W953" s="152"/>
      <c r="X953" s="152"/>
      <c r="Y953" s="152"/>
      <c r="Z953" s="152"/>
    </row>
    <row r="954" spans="1:28" s="60" customFormat="1" hidden="1">
      <c r="A954" s="32" t="s">
        <v>1316</v>
      </c>
      <c r="B954" s="248"/>
      <c r="C954" s="248"/>
      <c r="D954" s="248"/>
      <c r="E954" s="248"/>
      <c r="F954" s="250">
        <f>F923-F891</f>
        <v>22391</v>
      </c>
      <c r="G954" s="250">
        <f>G923-G891</f>
        <v>42629674.737135231</v>
      </c>
      <c r="H954" s="250">
        <f t="shared" ref="H954:U954" si="428">H923-H891</f>
        <v>-11926371.45291082</v>
      </c>
      <c r="I954" s="250">
        <f t="shared" si="428"/>
        <v>0</v>
      </c>
      <c r="J954" s="250">
        <f t="shared" si="428"/>
        <v>-580549.75253818976</v>
      </c>
      <c r="K954" s="250">
        <f t="shared" si="428"/>
        <v>-18534303.897946279</v>
      </c>
      <c r="L954" s="250">
        <f t="shared" si="428"/>
        <v>0</v>
      </c>
      <c r="M954" s="250">
        <f t="shared" si="428"/>
        <v>0</v>
      </c>
      <c r="N954" s="250">
        <f t="shared" si="428"/>
        <v>1389108.5820482129</v>
      </c>
      <c r="O954" s="250">
        <f t="shared" si="428"/>
        <v>-16378506.152655659</v>
      </c>
      <c r="P954" s="250">
        <f t="shared" si="428"/>
        <v>2984319.8210318554</v>
      </c>
      <c r="Q954" s="250">
        <f t="shared" si="428"/>
        <v>796912.29025488824</v>
      </c>
      <c r="R954" s="250">
        <f t="shared" si="428"/>
        <v>284492.32854289515</v>
      </c>
      <c r="S954" s="250">
        <f t="shared" si="428"/>
        <v>-605919.53854927723</v>
      </c>
      <c r="T954" s="250">
        <f t="shared" si="428"/>
        <v>-15562.009708524245</v>
      </c>
      <c r="U954" s="250">
        <f t="shared" si="428"/>
        <v>-20903.954704629428</v>
      </c>
      <c r="V954" s="250">
        <f>V922-V889</f>
        <v>0</v>
      </c>
      <c r="W954" s="249" t="str">
        <f>IF(ABS(F954-V954)&lt;0.01,"ok","err")</f>
        <v>err</v>
      </c>
      <c r="X954" s="152"/>
      <c r="Y954" s="152"/>
      <c r="Z954" s="152"/>
    </row>
    <row r="955" spans="1:28" s="60" customFormat="1" ht="15" hidden="1">
      <c r="A955" s="65"/>
      <c r="B955" s="65"/>
      <c r="F955" s="152"/>
      <c r="G955" s="152"/>
      <c r="H955" s="152"/>
      <c r="I955" s="152"/>
      <c r="J955" s="152"/>
      <c r="K955" s="152"/>
      <c r="L955" s="152"/>
      <c r="M955" s="152"/>
      <c r="N955" s="152"/>
      <c r="O955" s="152"/>
      <c r="P955" s="152"/>
      <c r="Q955" s="152"/>
      <c r="R955" s="152"/>
      <c r="S955" s="152"/>
      <c r="T955" s="152"/>
      <c r="U955" s="152"/>
      <c r="V955" s="152"/>
      <c r="W955" s="152"/>
      <c r="X955" s="152"/>
      <c r="Y955" s="152"/>
      <c r="Z955" s="152"/>
    </row>
    <row r="956" spans="1:28" s="154" customFormat="1" ht="15">
      <c r="A956" s="65"/>
      <c r="B956" s="65"/>
      <c r="C956" s="60"/>
      <c r="D956" s="60"/>
      <c r="E956" s="60"/>
      <c r="F956" s="152"/>
      <c r="G956" s="152"/>
      <c r="H956" s="152"/>
      <c r="I956" s="152"/>
      <c r="J956" s="152"/>
      <c r="K956" s="152"/>
      <c r="L956" s="152"/>
      <c r="M956" s="152"/>
      <c r="N956" s="152"/>
      <c r="O956" s="152"/>
      <c r="P956" s="152"/>
      <c r="Q956" s="152"/>
      <c r="R956" s="152"/>
      <c r="S956" s="152"/>
      <c r="T956" s="152"/>
      <c r="U956" s="152"/>
      <c r="V956" s="152"/>
      <c r="W956" s="152"/>
      <c r="X956" s="158"/>
      <c r="Y956" s="158"/>
      <c r="Z956" s="158"/>
    </row>
    <row r="957" spans="1:28" s="232" customFormat="1" ht="15">
      <c r="A957" s="65" t="s">
        <v>1248</v>
      </c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</row>
    <row r="958" spans="1:28" s="154" customForma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</row>
    <row r="959" spans="1:28" s="154" customFormat="1" ht="15">
      <c r="A959" s="65" t="s">
        <v>1112</v>
      </c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</row>
    <row r="960" spans="1:28" s="154" customForma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</row>
    <row r="961" spans="1:28" s="154" customFormat="1">
      <c r="A961" s="60" t="s">
        <v>134</v>
      </c>
      <c r="B961" s="60"/>
      <c r="C961" s="60"/>
      <c r="D961" s="60"/>
      <c r="E961" s="60"/>
      <c r="F961" s="80">
        <f>F888</f>
        <v>1017201652.4612489</v>
      </c>
      <c r="G961" s="80">
        <f t="shared" ref="G961:Z961" si="429">G888</f>
        <v>402691157.59861892</v>
      </c>
      <c r="H961" s="80">
        <f t="shared" si="429"/>
        <v>140975017.27178732</v>
      </c>
      <c r="I961" s="80">
        <f t="shared" si="429"/>
        <v>0</v>
      </c>
      <c r="J961" s="80">
        <f t="shared" si="429"/>
        <v>12142004.094456457</v>
      </c>
      <c r="K961" s="80">
        <f t="shared" si="429"/>
        <v>158862991.66252178</v>
      </c>
      <c r="L961" s="80">
        <f t="shared" si="429"/>
        <v>0</v>
      </c>
      <c r="M961" s="80">
        <f t="shared" si="429"/>
        <v>0</v>
      </c>
      <c r="N961" s="80">
        <f t="shared" si="429"/>
        <v>123888502.46207795</v>
      </c>
      <c r="O961" s="80">
        <f>O888</f>
        <v>80679093.725201458</v>
      </c>
      <c r="P961" s="80">
        <f t="shared" si="429"/>
        <v>68446605.210421458</v>
      </c>
      <c r="Q961" s="80">
        <f t="shared" si="429"/>
        <v>6762885.5315703759</v>
      </c>
      <c r="R961" s="80">
        <f t="shared" si="429"/>
        <v>3513275.1177982604</v>
      </c>
      <c r="S961" s="80">
        <f t="shared" si="429"/>
        <v>18735746.033272326</v>
      </c>
      <c r="T961" s="80">
        <f t="shared" si="429"/>
        <v>222752.47327662929</v>
      </c>
      <c r="U961" s="80">
        <f t="shared" si="429"/>
        <v>281621.28024605225</v>
      </c>
      <c r="V961" s="80">
        <f t="shared" si="429"/>
        <v>0</v>
      </c>
      <c r="W961" s="80">
        <f t="shared" si="429"/>
        <v>0</v>
      </c>
      <c r="X961" s="80">
        <f t="shared" si="429"/>
        <v>0</v>
      </c>
      <c r="Y961" s="80">
        <f t="shared" si="429"/>
        <v>0</v>
      </c>
      <c r="Z961" s="80">
        <f t="shared" si="429"/>
        <v>0</v>
      </c>
      <c r="AA961" s="155">
        <f>ROUND(SUM(G961:Z961),2)</f>
        <v>1017201652.46</v>
      </c>
      <c r="AB961" s="156" t="str">
        <f>IF(ABS(F961-AA961)&lt;0.01,"ok","err")</f>
        <v>ok</v>
      </c>
    </row>
    <row r="962" spans="1:28" s="154" customFormat="1">
      <c r="A962" s="60"/>
      <c r="B962" s="60"/>
      <c r="C962" s="60"/>
      <c r="D962" s="60"/>
      <c r="E962" s="6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155"/>
      <c r="Y962" s="155"/>
      <c r="Z962" s="155"/>
      <c r="AA962" s="155"/>
      <c r="AB962" s="156"/>
    </row>
    <row r="963" spans="1:28" s="154" customFormat="1">
      <c r="A963" s="60" t="s">
        <v>135</v>
      </c>
      <c r="B963" s="60"/>
      <c r="C963" s="60"/>
      <c r="D963" s="60"/>
      <c r="E963" s="6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155"/>
      <c r="Y963" s="155"/>
      <c r="Z963" s="155"/>
      <c r="AA963" s="155"/>
      <c r="AB963" s="156"/>
    </row>
    <row r="964" spans="1:28" s="60" customFormat="1">
      <c r="A964" s="60" t="s">
        <v>1251</v>
      </c>
      <c r="F964" s="76">
        <v>91719847</v>
      </c>
      <c r="G964" s="76">
        <v>87174229.077447191</v>
      </c>
      <c r="H964" s="76">
        <v>-325767.54843283398</v>
      </c>
      <c r="I964" s="76">
        <v>0</v>
      </c>
      <c r="J964" s="76">
        <v>284178.53549553693</v>
      </c>
      <c r="K964" s="76">
        <v>-7442955.341189744</v>
      </c>
      <c r="L964" s="76">
        <v>0</v>
      </c>
      <c r="M964" s="76">
        <v>0</v>
      </c>
      <c r="N964" s="76">
        <v>10654568.356106328</v>
      </c>
      <c r="O964" s="76">
        <v>-10903597.552298291</v>
      </c>
      <c r="P964" s="76">
        <v>7838139.9950658679</v>
      </c>
      <c r="Q964" s="76">
        <v>1377488.3556797297</v>
      </c>
      <c r="R964" s="76">
        <v>556204.38297406572</v>
      </c>
      <c r="S964" s="76">
        <v>2512696.5639958186</v>
      </c>
      <c r="T964" s="76">
        <v>-3324.477977715334</v>
      </c>
      <c r="U964" s="76">
        <v>-2013.3182989951047</v>
      </c>
      <c r="V964" s="76"/>
      <c r="W964" s="76"/>
      <c r="X964" s="76"/>
      <c r="Y964" s="76"/>
      <c r="Z964" s="76"/>
      <c r="AA964" s="80">
        <f>SUM(G964:Z964)</f>
        <v>91719847.028566971</v>
      </c>
      <c r="AB964" s="93" t="str">
        <f>IF(ABS(F964-AA964)&lt;0.01,"ok","err")</f>
        <v>err</v>
      </c>
    </row>
    <row r="965" spans="1:28" s="60" customFormat="1">
      <c r="A965" s="60" t="s">
        <v>1377</v>
      </c>
      <c r="E965" s="60" t="s">
        <v>701</v>
      </c>
      <c r="F965" s="76">
        <v>1920271</v>
      </c>
      <c r="G965" s="76">
        <f t="shared" ref="G965:Z965" si="430">IF(VLOOKUP($E965,$D$6:$AN$1131,3,)=0,0,(VLOOKUP($E965,$D$6:$AN$1131,G$2,)/VLOOKUP($E965,$D$6:$AN$1131,3,))*$F965)</f>
        <v>789146.3936782059</v>
      </c>
      <c r="H965" s="76">
        <f t="shared" si="430"/>
        <v>269796.6830387786</v>
      </c>
      <c r="I965" s="76">
        <f t="shared" si="430"/>
        <v>0</v>
      </c>
      <c r="J965" s="76">
        <f t="shared" si="430"/>
        <v>21556.8453974285</v>
      </c>
      <c r="K965" s="76">
        <f t="shared" si="430"/>
        <v>296726.73308636172</v>
      </c>
      <c r="L965" s="76">
        <f t="shared" si="430"/>
        <v>0</v>
      </c>
      <c r="M965" s="76">
        <f t="shared" si="430"/>
        <v>0</v>
      </c>
      <c r="N965" s="76">
        <f t="shared" si="430"/>
        <v>230593.40648593067</v>
      </c>
      <c r="O965" s="76">
        <f t="shared" si="430"/>
        <v>155157.19457053195</v>
      </c>
      <c r="P965" s="76">
        <f t="shared" si="430"/>
        <v>135793.31333566597</v>
      </c>
      <c r="Q965" s="76">
        <f t="shared" si="430"/>
        <v>15211.924961456916</v>
      </c>
      <c r="R965" s="76">
        <f t="shared" si="430"/>
        <v>5948.3930182986414</v>
      </c>
      <c r="S965" s="76">
        <f t="shared" si="430"/>
        <v>0</v>
      </c>
      <c r="T965" s="76">
        <f t="shared" si="430"/>
        <v>0</v>
      </c>
      <c r="U965" s="76">
        <f t="shared" si="430"/>
        <v>340.11242734114813</v>
      </c>
      <c r="V965" s="76">
        <f t="shared" si="430"/>
        <v>0</v>
      </c>
      <c r="W965" s="76">
        <f t="shared" si="430"/>
        <v>0</v>
      </c>
      <c r="X965" s="79">
        <f t="shared" si="430"/>
        <v>0</v>
      </c>
      <c r="Y965" s="79">
        <f t="shared" si="430"/>
        <v>0</v>
      </c>
      <c r="Z965" s="79">
        <f t="shared" si="430"/>
        <v>0</v>
      </c>
      <c r="AA965" s="80">
        <f>SUM(G965:Z965)</f>
        <v>1920271.0000000005</v>
      </c>
      <c r="AB965" s="93" t="str">
        <f>IF(ABS(F965-AA965)&lt;0.01,"ok","err")</f>
        <v>ok</v>
      </c>
    </row>
    <row r="966" spans="1:28" s="60" customFormat="1">
      <c r="A966" s="60" t="s">
        <v>1380</v>
      </c>
      <c r="E966" s="60" t="s">
        <v>182</v>
      </c>
      <c r="F966" s="76">
        <v>-22391</v>
      </c>
      <c r="G966" s="76">
        <f t="shared" ref="G966:U966" si="431">G893</f>
        <v>-20834.355219506127</v>
      </c>
      <c r="H966" s="76">
        <f t="shared" si="431"/>
        <v>-1347.7923692579229</v>
      </c>
      <c r="I966" s="76">
        <f t="shared" si="431"/>
        <v>0</v>
      </c>
      <c r="J966" s="76">
        <f t="shared" si="431"/>
        <v>-5.0261070647315949</v>
      </c>
      <c r="K966" s="76">
        <f t="shared" si="431"/>
        <v>-197.14672271267796</v>
      </c>
      <c r="L966" s="76">
        <f t="shared" si="431"/>
        <v>0</v>
      </c>
      <c r="M966" s="76">
        <f t="shared" si="431"/>
        <v>0</v>
      </c>
      <c r="N966" s="76">
        <f t="shared" si="431"/>
        <v>-0.59476066757413615</v>
      </c>
      <c r="O966" s="76">
        <f>O893</f>
        <v>-1.5559615568764129</v>
      </c>
      <c r="P966" s="76">
        <f t="shared" si="431"/>
        <v>-7.3288044345628148E-2</v>
      </c>
      <c r="Q966" s="76">
        <f t="shared" si="431"/>
        <v>0</v>
      </c>
      <c r="R966" s="76">
        <f t="shared" si="431"/>
        <v>0</v>
      </c>
      <c r="S966" s="76">
        <f t="shared" si="431"/>
        <v>-4.4555711897395023</v>
      </c>
      <c r="T966" s="76">
        <f t="shared" si="431"/>
        <v>0</v>
      </c>
      <c r="U966" s="76">
        <f t="shared" si="431"/>
        <v>0</v>
      </c>
      <c r="V966" s="76">
        <f>IF(VLOOKUP($E966,$D$6:$AN$1131,3,)=0,0,(VLOOKUP($E966,$D$6:$AN$1131,V$2,)/VLOOKUP($E966,$D$6:$AN$1131,3,))*$F966)</f>
        <v>0</v>
      </c>
      <c r="W966" s="76">
        <f>IF(VLOOKUP($E966,$D$6:$AN$1131,3,)=0,0,(VLOOKUP($E966,$D$6:$AN$1131,W$2,)/VLOOKUP($E966,$D$6:$AN$1131,3,))*$F966)</f>
        <v>0</v>
      </c>
      <c r="X966" s="79">
        <f>IF(VLOOKUP($E966,$D$6:$AN$1131,3,)=0,0,(VLOOKUP($E966,$D$6:$AN$1131,X$2,)/VLOOKUP($E966,$D$6:$AN$1131,3,))*$F966)</f>
        <v>0</v>
      </c>
      <c r="Y966" s="79">
        <f>IF(VLOOKUP($E966,$D$6:$AN$1131,3,)=0,0,(VLOOKUP($E966,$D$6:$AN$1131,Y$2,)/VLOOKUP($E966,$D$6:$AN$1131,3,))*$F966)</f>
        <v>0</v>
      </c>
      <c r="Z966" s="79">
        <f>IF(VLOOKUP($E966,$D$6:$AN$1131,3,)=0,0,(VLOOKUP($E966,$D$6:$AN$1131,Z$2,)/VLOOKUP($E966,$D$6:$AN$1131,3,))*$F966)</f>
        <v>0</v>
      </c>
      <c r="AA966" s="80">
        <f>SUM(G966:Z966)</f>
        <v>-22391</v>
      </c>
      <c r="AB966" s="93" t="str">
        <f>IF(ABS(F966-AA966)&lt;0.01,"ok","err")</f>
        <v>ok</v>
      </c>
    </row>
    <row r="967" spans="1:28" s="154" customFormat="1">
      <c r="A967" s="60"/>
      <c r="B967" s="60"/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</row>
    <row r="968" spans="1:28" s="154" customFormat="1">
      <c r="A968" s="60" t="s">
        <v>136</v>
      </c>
      <c r="B968" s="60"/>
      <c r="C968" s="60"/>
      <c r="D968" s="60"/>
      <c r="E968" s="60"/>
      <c r="F968" s="80">
        <f>SUM(F961:F966)</f>
        <v>1110819379.4612489</v>
      </c>
      <c r="G968" s="80">
        <f t="shared" ref="G968:P968" si="432">SUM(G961:G966)</f>
        <v>490633698.71452481</v>
      </c>
      <c r="H968" s="80">
        <f t="shared" si="432"/>
        <v>140917698.61402401</v>
      </c>
      <c r="I968" s="80">
        <f t="shared" si="432"/>
        <v>0</v>
      </c>
      <c r="J968" s="80">
        <f t="shared" si="432"/>
        <v>12447734.449242355</v>
      </c>
      <c r="K968" s="80">
        <f t="shared" si="432"/>
        <v>151716565.90769568</v>
      </c>
      <c r="L968" s="80">
        <f t="shared" si="432"/>
        <v>0</v>
      </c>
      <c r="M968" s="80">
        <f t="shared" si="432"/>
        <v>0</v>
      </c>
      <c r="N968" s="80">
        <f t="shared" si="432"/>
        <v>134773663.62990957</v>
      </c>
      <c r="O968" s="80">
        <f>SUM(O961:O966)</f>
        <v>69930651.811512128</v>
      </c>
      <c r="P968" s="80">
        <f t="shared" si="432"/>
        <v>76420538.445534959</v>
      </c>
      <c r="Q968" s="80">
        <f>SUM(Q961:Q966)</f>
        <v>8155585.8122115629</v>
      </c>
      <c r="R968" s="80">
        <f t="shared" ref="R968:Z968" si="433">SUM(R961:R966)</f>
        <v>4075427.893790625</v>
      </c>
      <c r="S968" s="80">
        <f t="shared" si="433"/>
        <v>21248438.141696956</v>
      </c>
      <c r="T968" s="80">
        <f t="shared" si="433"/>
        <v>219427.99529891394</v>
      </c>
      <c r="U968" s="80">
        <f t="shared" si="433"/>
        <v>279948.07437439833</v>
      </c>
      <c r="V968" s="80">
        <f t="shared" si="433"/>
        <v>0</v>
      </c>
      <c r="W968" s="80">
        <f t="shared" si="433"/>
        <v>0</v>
      </c>
      <c r="X968" s="155">
        <f t="shared" si="433"/>
        <v>0</v>
      </c>
      <c r="Y968" s="155">
        <f t="shared" si="433"/>
        <v>0</v>
      </c>
      <c r="Z968" s="155">
        <f t="shared" si="433"/>
        <v>0</v>
      </c>
      <c r="AA968" s="155">
        <f>ROUND(SUM(G968:Z968),2)</f>
        <v>1110819379.49</v>
      </c>
      <c r="AB968" s="156" t="str">
        <f>IF(ABS(F968-AA968)&lt;0.01,"ok","err")</f>
        <v>err</v>
      </c>
    </row>
    <row r="969" spans="1:28" s="154" customFormat="1">
      <c r="A969" s="60"/>
      <c r="B969" s="60"/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</row>
    <row r="970" spans="1:28" s="154" customFormat="1">
      <c r="A970" s="60"/>
      <c r="B970" s="60"/>
      <c r="C970" s="60"/>
      <c r="D970" s="60"/>
      <c r="E970" s="152">
        <f>(F964+F965+F966)/F961</f>
        <v>9.2034580138048327E-2</v>
      </c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</row>
    <row r="971" spans="1:28" s="154" customFormat="1" ht="15">
      <c r="A971" s="65" t="s">
        <v>1116</v>
      </c>
      <c r="B971" s="60"/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</row>
    <row r="972" spans="1:28" s="154" customFormat="1">
      <c r="A972" s="60"/>
      <c r="B972" s="60"/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</row>
    <row r="973" spans="1:28" s="154" customFormat="1">
      <c r="A973" s="60" t="s">
        <v>1119</v>
      </c>
      <c r="B973" s="60"/>
      <c r="C973" s="60"/>
      <c r="D973" s="60"/>
      <c r="E973" s="60"/>
      <c r="F973" s="80">
        <f>F900</f>
        <v>904148189.24269807</v>
      </c>
      <c r="G973" s="80">
        <f t="shared" ref="G973:Z973" si="434">G900</f>
        <v>372721995.42893672</v>
      </c>
      <c r="H973" s="80">
        <f t="shared" si="434"/>
        <v>119725786.46773888</v>
      </c>
      <c r="I973" s="80">
        <f t="shared" si="434"/>
        <v>0</v>
      </c>
      <c r="J973" s="80">
        <f t="shared" si="434"/>
        <v>10733031.328126846</v>
      </c>
      <c r="K973" s="80">
        <f t="shared" si="434"/>
        <v>134301383.34892192</v>
      </c>
      <c r="L973" s="80">
        <f t="shared" si="434"/>
        <v>0</v>
      </c>
      <c r="M973" s="80">
        <f t="shared" si="434"/>
        <v>0</v>
      </c>
      <c r="N973" s="80">
        <f t="shared" si="434"/>
        <v>113220697.46382819</v>
      </c>
      <c r="O973" s="80">
        <f>O900</f>
        <v>64331240.389036208</v>
      </c>
      <c r="P973" s="80">
        <f t="shared" si="434"/>
        <v>64162435.572467119</v>
      </c>
      <c r="Q973" s="80">
        <f t="shared" si="434"/>
        <v>6505771.9677781062</v>
      </c>
      <c r="R973" s="80">
        <f t="shared" si="434"/>
        <v>3343411.1257372517</v>
      </c>
      <c r="S973" s="80">
        <f t="shared" si="434"/>
        <v>14656231.903749093</v>
      </c>
      <c r="T973" s="80">
        <f t="shared" si="434"/>
        <v>199175.56339998255</v>
      </c>
      <c r="U973" s="80">
        <f t="shared" si="434"/>
        <v>247028.68297776376</v>
      </c>
      <c r="V973" s="80">
        <f t="shared" si="434"/>
        <v>0</v>
      </c>
      <c r="W973" s="80">
        <f t="shared" si="434"/>
        <v>0</v>
      </c>
      <c r="X973" s="80">
        <f t="shared" si="434"/>
        <v>0</v>
      </c>
      <c r="Y973" s="80">
        <f t="shared" si="434"/>
        <v>0</v>
      </c>
      <c r="Z973" s="80">
        <f t="shared" si="434"/>
        <v>0</v>
      </c>
      <c r="AA973" s="155">
        <f>ROUND(SUM(G973:Z973),2)</f>
        <v>904148189.24000001</v>
      </c>
      <c r="AB973" s="156" t="str">
        <f>IF(ABS(F973-AA973)&lt;0.01,"ok","err")</f>
        <v>ok</v>
      </c>
    </row>
    <row r="974" spans="1:28" s="154" customFormat="1">
      <c r="A974" s="60"/>
      <c r="B974" s="60"/>
      <c r="C974" s="60"/>
      <c r="D974" s="60"/>
      <c r="E974" s="6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155"/>
      <c r="AB974" s="156"/>
    </row>
    <row r="975" spans="1:28" s="60" customFormat="1">
      <c r="A975" s="60" t="s">
        <v>710</v>
      </c>
      <c r="F975" s="112">
        <f>F902</f>
        <v>-4059414.1199999996</v>
      </c>
      <c r="G975" s="112">
        <f t="shared" ref="G975:Z975" si="435">G902</f>
        <v>-543620.57590859686</v>
      </c>
      <c r="H975" s="112">
        <f t="shared" si="435"/>
        <v>-927030.60818927304</v>
      </c>
      <c r="I975" s="112">
        <f t="shared" si="435"/>
        <v>0</v>
      </c>
      <c r="J975" s="112">
        <f t="shared" si="435"/>
        <v>-58717.272899689371</v>
      </c>
      <c r="K975" s="112">
        <f t="shared" si="435"/>
        <v>-1089905.737037403</v>
      </c>
      <c r="L975" s="112">
        <f t="shared" si="435"/>
        <v>0</v>
      </c>
      <c r="M975" s="112">
        <f t="shared" si="435"/>
        <v>0</v>
      </c>
      <c r="N975" s="112">
        <f t="shared" si="435"/>
        <v>-391443.84013774648</v>
      </c>
      <c r="O975" s="112">
        <f>O902</f>
        <v>-760983.00288166222</v>
      </c>
      <c r="P975" s="112">
        <f t="shared" si="435"/>
        <v>-142408.00468673278</v>
      </c>
      <c r="Q975" s="112">
        <f t="shared" si="435"/>
        <v>-1624.0629435925593</v>
      </c>
      <c r="R975" s="112">
        <f t="shared" si="435"/>
        <v>-3909.695886368535</v>
      </c>
      <c r="S975" s="112">
        <f t="shared" si="435"/>
        <v>-137056.65424554003</v>
      </c>
      <c r="T975" s="112">
        <f t="shared" si="435"/>
        <v>-1156.1886244914131</v>
      </c>
      <c r="U975" s="112">
        <f t="shared" si="435"/>
        <v>-1558.4765589040039</v>
      </c>
      <c r="V975" s="112">
        <f t="shared" si="435"/>
        <v>0</v>
      </c>
      <c r="W975" s="112">
        <f t="shared" si="435"/>
        <v>0</v>
      </c>
      <c r="X975" s="112">
        <f t="shared" si="435"/>
        <v>0</v>
      </c>
      <c r="Y975" s="112">
        <f t="shared" si="435"/>
        <v>0</v>
      </c>
      <c r="Z975" s="112">
        <f t="shared" si="435"/>
        <v>0</v>
      </c>
      <c r="AA975" s="80">
        <f>ROUND(SUM(G975:Z975),2)</f>
        <v>-4059414.12</v>
      </c>
      <c r="AB975" s="93" t="str">
        <f>IF(ABS(F975-AA975)&lt;0.01,"ok","err")</f>
        <v>ok</v>
      </c>
    </row>
    <row r="976" spans="1:28" s="60" customFormat="1">
      <c r="A976" s="60" t="s">
        <v>1337</v>
      </c>
      <c r="E976" s="60" t="s">
        <v>131</v>
      </c>
      <c r="F976" s="79">
        <v>211582.96518572024</v>
      </c>
      <c r="G976" s="76">
        <f t="shared" ref="G976:P977" si="436">IF(VLOOKUP($E976,$D$6:$AN$1131,3,)=0,0,(VLOOKUP($E976,$D$6:$AN$1131,G$2,)/VLOOKUP($E976,$D$6:$AN$1131,3,))*$F976)</f>
        <v>154044.44775001862</v>
      </c>
      <c r="H976" s="76">
        <f t="shared" si="436"/>
        <v>19138.514821427434</v>
      </c>
      <c r="I976" s="76">
        <f t="shared" si="436"/>
        <v>0</v>
      </c>
      <c r="J976" s="76">
        <f t="shared" si="436"/>
        <v>30.461194755239635</v>
      </c>
      <c r="K976" s="76">
        <f t="shared" si="436"/>
        <v>1194.8262618692952</v>
      </c>
      <c r="L976" s="76">
        <f t="shared" si="436"/>
        <v>0</v>
      </c>
      <c r="M976" s="76">
        <f t="shared" si="436"/>
        <v>0</v>
      </c>
      <c r="N976" s="76">
        <f t="shared" si="436"/>
        <v>44.634111759413628</v>
      </c>
      <c r="O976" s="76">
        <f t="shared" si="436"/>
        <v>116.76791322841859</v>
      </c>
      <c r="P976" s="76">
        <f t="shared" si="436"/>
        <v>5.499937941918267</v>
      </c>
      <c r="Q976" s="76">
        <f t="shared" ref="Q976:Z977" si="437">IF(VLOOKUP($E976,$D$6:$AN$1131,3,)=0,0,(VLOOKUP($E976,$D$6:$AN$1131,Q$2,)/VLOOKUP($E976,$D$6:$AN$1131,3,))*$F976)</f>
        <v>0.42307214937832827</v>
      </c>
      <c r="R976" s="76">
        <f t="shared" si="437"/>
        <v>0.42307214937832827</v>
      </c>
      <c r="S976" s="76">
        <f t="shared" si="437"/>
        <v>36554.279850586317</v>
      </c>
      <c r="T976" s="76">
        <f t="shared" si="437"/>
        <v>69.806904647424162</v>
      </c>
      <c r="U976" s="76">
        <f t="shared" si="437"/>
        <v>382.88029518738705</v>
      </c>
      <c r="V976" s="76">
        <f t="shared" si="437"/>
        <v>0</v>
      </c>
      <c r="W976" s="76">
        <f t="shared" si="437"/>
        <v>0</v>
      </c>
      <c r="X976" s="79">
        <f t="shared" si="437"/>
        <v>0</v>
      </c>
      <c r="Y976" s="79">
        <f t="shared" si="437"/>
        <v>0</v>
      </c>
      <c r="Z976" s="79">
        <f t="shared" si="437"/>
        <v>0</v>
      </c>
      <c r="AA976" s="80">
        <f>SUM(G976:Z976)</f>
        <v>211582.96518572021</v>
      </c>
      <c r="AB976" s="93" t="str">
        <f>IF(ABS(F976-AA976)&lt;0.01,"ok","err")</f>
        <v>ok</v>
      </c>
    </row>
    <row r="977" spans="1:28" s="60" customFormat="1">
      <c r="A977" s="60" t="s">
        <v>1338</v>
      </c>
      <c r="E977" s="60" t="s">
        <v>130</v>
      </c>
      <c r="F977" s="79">
        <v>181717.9360289748</v>
      </c>
      <c r="G977" s="76">
        <f t="shared" si="436"/>
        <v>71391.591773061067</v>
      </c>
      <c r="H977" s="76">
        <f t="shared" si="436"/>
        <v>25571.78454065105</v>
      </c>
      <c r="I977" s="76">
        <f t="shared" si="436"/>
        <v>0</v>
      </c>
      <c r="J977" s="76">
        <f t="shared" si="436"/>
        <v>2168.4538533254099</v>
      </c>
      <c r="K977" s="76">
        <f t="shared" si="436"/>
        <v>28536.149811479849</v>
      </c>
      <c r="L977" s="76">
        <f t="shared" si="436"/>
        <v>0</v>
      </c>
      <c r="M977" s="76">
        <f t="shared" si="436"/>
        <v>0</v>
      </c>
      <c r="N977" s="76">
        <f t="shared" si="436"/>
        <v>22012.138707894865</v>
      </c>
      <c r="O977" s="76">
        <f t="shared" si="436"/>
        <v>14615.17334032319</v>
      </c>
      <c r="P977" s="76">
        <f t="shared" si="436"/>
        <v>12102.799596749619</v>
      </c>
      <c r="Q977" s="76">
        <f t="shared" si="437"/>
        <v>1193.954106500466</v>
      </c>
      <c r="R977" s="76">
        <f t="shared" si="437"/>
        <v>619.92477651724528</v>
      </c>
      <c r="S977" s="76">
        <f t="shared" si="437"/>
        <v>3415.4181456827005</v>
      </c>
      <c r="T977" s="76">
        <f t="shared" si="437"/>
        <v>39.690667427706323</v>
      </c>
      <c r="U977" s="76">
        <f t="shared" si="437"/>
        <v>50.856709361639389</v>
      </c>
      <c r="V977" s="76">
        <f t="shared" si="437"/>
        <v>0</v>
      </c>
      <c r="W977" s="76">
        <f t="shared" si="437"/>
        <v>0</v>
      </c>
      <c r="X977" s="79">
        <f t="shared" si="437"/>
        <v>0</v>
      </c>
      <c r="Y977" s="79">
        <f t="shared" si="437"/>
        <v>0</v>
      </c>
      <c r="Z977" s="79">
        <f t="shared" si="437"/>
        <v>0</v>
      </c>
      <c r="AA977" s="80">
        <f>SUM(G977:Z977)</f>
        <v>181717.93602897474</v>
      </c>
      <c r="AB977" s="93" t="str">
        <f>IF(ABS(F977-AA977)&lt;0.01,"ok","err")</f>
        <v>ok</v>
      </c>
    </row>
    <row r="978" spans="1:28" s="154" customFormat="1">
      <c r="A978" s="60"/>
      <c r="B978" s="60"/>
      <c r="C978" s="60"/>
      <c r="D978" s="60"/>
      <c r="E978" s="60"/>
      <c r="F978" s="112"/>
      <c r="G978" s="112"/>
      <c r="H978" s="112"/>
      <c r="I978" s="112"/>
      <c r="J978" s="112"/>
      <c r="K978" s="112"/>
      <c r="L978" s="112"/>
      <c r="M978" s="112"/>
      <c r="N978" s="112"/>
      <c r="O978" s="112"/>
      <c r="P978" s="112"/>
      <c r="Q978" s="112"/>
      <c r="R978" s="112"/>
      <c r="S978" s="112"/>
      <c r="T978" s="112"/>
      <c r="U978" s="112"/>
      <c r="V978" s="112"/>
      <c r="W978" s="112"/>
      <c r="X978" s="159"/>
      <c r="Y978" s="159"/>
      <c r="Z978" s="159"/>
      <c r="AA978" s="155"/>
      <c r="AB978" s="156"/>
    </row>
    <row r="979" spans="1:28" s="154" customFormat="1">
      <c r="A979" s="60" t="s">
        <v>711</v>
      </c>
      <c r="B979" s="60"/>
      <c r="C979" s="60"/>
      <c r="D979" s="60"/>
      <c r="E979" s="60"/>
      <c r="F979" s="112">
        <f>(F964+F965+F966)*$E$935</f>
        <v>36172978.812316291</v>
      </c>
      <c r="G979" s="112">
        <f t="shared" ref="G979:U979" si="438">(G964+G965+G966)*$E$935</f>
        <v>33980142.206260972</v>
      </c>
      <c r="H979" s="112">
        <f t="shared" si="438"/>
        <v>-22147.371649204219</v>
      </c>
      <c r="I979" s="112">
        <f t="shared" si="438"/>
        <v>0</v>
      </c>
      <c r="J979" s="112">
        <f t="shared" si="438"/>
        <v>118131.23433291995</v>
      </c>
      <c r="K979" s="112">
        <f t="shared" si="438"/>
        <v>-2761309.3769422085</v>
      </c>
      <c r="L979" s="112">
        <f t="shared" si="438"/>
        <v>0</v>
      </c>
      <c r="M979" s="112">
        <f t="shared" si="438"/>
        <v>0</v>
      </c>
      <c r="N979" s="112">
        <f t="shared" si="438"/>
        <v>4205920.3626319636</v>
      </c>
      <c r="O979" s="112">
        <f t="shared" si="438"/>
        <v>-4153093.3731097309</v>
      </c>
      <c r="P979" s="112">
        <f t="shared" si="438"/>
        <v>3081050.2156774751</v>
      </c>
      <c r="Q979" s="112">
        <f t="shared" si="438"/>
        <v>538125.83746602386</v>
      </c>
      <c r="R979" s="112">
        <f t="shared" si="438"/>
        <v>217210.36289693919</v>
      </c>
      <c r="S979" s="112">
        <f t="shared" si="438"/>
        <v>970879.78220106161</v>
      </c>
      <c r="T979" s="112">
        <f t="shared" si="438"/>
        <v>-1284.5459434184818</v>
      </c>
      <c r="U979" s="112">
        <f t="shared" si="438"/>
        <v>-646.51046851395756</v>
      </c>
      <c r="V979" s="112">
        <f>(V964+V966)*0.407634</f>
        <v>0</v>
      </c>
      <c r="W979" s="112">
        <f>(W964+W966)*0.407634</f>
        <v>0</v>
      </c>
      <c r="X979" s="159">
        <f>(X964+X966)*0.407634</f>
        <v>0</v>
      </c>
      <c r="Y979" s="159">
        <f>(Y964+Y966)*0.407634</f>
        <v>0</v>
      </c>
      <c r="Z979" s="159">
        <f>(Z964+Z966)*0.407634</f>
        <v>0</v>
      </c>
      <c r="AA979" s="155">
        <f>ROUND(SUM(G979:Z979),2)</f>
        <v>36172978.82</v>
      </c>
      <c r="AB979" s="156" t="str">
        <f>IF(ABS(F979-AA979)&lt;0.01,"ok","err")</f>
        <v>ok</v>
      </c>
    </row>
    <row r="980" spans="1:28" s="154" customFormat="1">
      <c r="A980" s="68"/>
      <c r="B980" s="60"/>
      <c r="C980" s="60"/>
      <c r="D980" s="60"/>
      <c r="E980" s="60"/>
      <c r="F980" s="79"/>
      <c r="G980" s="76"/>
      <c r="H980" s="76"/>
      <c r="I980" s="76"/>
      <c r="J980" s="76"/>
      <c r="K980" s="76"/>
      <c r="L980" s="76"/>
      <c r="M980" s="76"/>
      <c r="N980" s="76"/>
      <c r="O980" s="76"/>
      <c r="P980" s="76"/>
      <c r="Q980" s="76"/>
      <c r="R980" s="76"/>
      <c r="S980" s="76"/>
      <c r="T980" s="76"/>
      <c r="U980" s="76"/>
      <c r="V980" s="76"/>
      <c r="W980" s="76"/>
      <c r="X980" s="157"/>
      <c r="Y980" s="157"/>
      <c r="Z980" s="157"/>
      <c r="AA980" s="155"/>
      <c r="AB980" s="156"/>
    </row>
    <row r="981" spans="1:28" s="154" customFormat="1">
      <c r="A981" s="60" t="s">
        <v>137</v>
      </c>
      <c r="B981" s="60"/>
      <c r="C981" s="60"/>
      <c r="D981" s="60"/>
      <c r="E981" s="60"/>
      <c r="F981" s="80">
        <f t="shared" ref="F981:Z981" si="439">SUM(F973:F980)</f>
        <v>936655054.83622909</v>
      </c>
      <c r="G981" s="80">
        <f t="shared" si="439"/>
        <v>406383953.09881216</v>
      </c>
      <c r="H981" s="80">
        <f t="shared" si="439"/>
        <v>118821318.78726248</v>
      </c>
      <c r="I981" s="80">
        <f t="shared" si="439"/>
        <v>0</v>
      </c>
      <c r="J981" s="80">
        <f t="shared" si="439"/>
        <v>10794644.204608157</v>
      </c>
      <c r="K981" s="80">
        <f t="shared" si="439"/>
        <v>130479899.21101566</v>
      </c>
      <c r="L981" s="80">
        <f t="shared" si="439"/>
        <v>0</v>
      </c>
      <c r="M981" s="80">
        <f t="shared" si="439"/>
        <v>0</v>
      </c>
      <c r="N981" s="80">
        <f t="shared" si="439"/>
        <v>117057230.75914206</v>
      </c>
      <c r="O981" s="80">
        <f>SUM(O973:O980)</f>
        <v>59431895.95429837</v>
      </c>
      <c r="P981" s="80">
        <f t="shared" si="439"/>
        <v>67113186.082992554</v>
      </c>
      <c r="Q981" s="80">
        <f t="shared" si="439"/>
        <v>7043468.1194791868</v>
      </c>
      <c r="R981" s="80">
        <f t="shared" si="439"/>
        <v>3557332.1405964894</v>
      </c>
      <c r="S981" s="80">
        <f t="shared" si="439"/>
        <v>15530024.729700884</v>
      </c>
      <c r="T981" s="80">
        <f t="shared" si="439"/>
        <v>196844.32640414775</v>
      </c>
      <c r="U981" s="80">
        <f t="shared" si="439"/>
        <v>245257.43295489479</v>
      </c>
      <c r="V981" s="80">
        <f t="shared" si="439"/>
        <v>0</v>
      </c>
      <c r="W981" s="80">
        <f t="shared" si="439"/>
        <v>0</v>
      </c>
      <c r="X981" s="155">
        <f t="shared" si="439"/>
        <v>0</v>
      </c>
      <c r="Y981" s="155">
        <f t="shared" si="439"/>
        <v>0</v>
      </c>
      <c r="Z981" s="155">
        <f t="shared" si="439"/>
        <v>0</v>
      </c>
      <c r="AA981" s="155">
        <f>ROUND(SUM(G981:Z981),2)</f>
        <v>936655054.85000002</v>
      </c>
      <c r="AB981" s="156" t="str">
        <f>IF(ABS(F981-AA981)&lt;0.01,"ok","err")</f>
        <v>err</v>
      </c>
    </row>
    <row r="982" spans="1:28" s="154" customForma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</row>
    <row r="983" spans="1:28" s="154" customFormat="1">
      <c r="A983" s="60"/>
      <c r="B983" s="60"/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</row>
    <row r="984" spans="1:28" s="154" customFormat="1" ht="15">
      <c r="A984" s="65" t="s">
        <v>894</v>
      </c>
      <c r="B984" s="60"/>
      <c r="C984" s="60"/>
      <c r="D984" s="60"/>
      <c r="E984" s="60"/>
      <c r="F984" s="80">
        <f t="shared" ref="F984:Z984" si="440">F968-F981</f>
        <v>174164324.62501979</v>
      </c>
      <c r="G984" s="80">
        <f t="shared" si="440"/>
        <v>84249745.615712643</v>
      </c>
      <c r="H984" s="80">
        <f t="shared" si="440"/>
        <v>22096379.826761529</v>
      </c>
      <c r="I984" s="80">
        <f t="shared" si="440"/>
        <v>0</v>
      </c>
      <c r="J984" s="80">
        <f t="shared" si="440"/>
        <v>1653090.244634198</v>
      </c>
      <c r="K984" s="80">
        <f t="shared" si="440"/>
        <v>21236666.696680024</v>
      </c>
      <c r="L984" s="80">
        <f t="shared" si="440"/>
        <v>0</v>
      </c>
      <c r="M984" s="80">
        <f t="shared" si="440"/>
        <v>0</v>
      </c>
      <c r="N984" s="80">
        <f t="shared" si="440"/>
        <v>17716432.870767519</v>
      </c>
      <c r="O984" s="80">
        <f t="shared" si="440"/>
        <v>10498755.857213758</v>
      </c>
      <c r="P984" s="80">
        <f t="shared" si="440"/>
        <v>9307352.3625424057</v>
      </c>
      <c r="Q984" s="80">
        <f t="shared" si="440"/>
        <v>1112117.692732376</v>
      </c>
      <c r="R984" s="80">
        <f t="shared" si="440"/>
        <v>518095.75319413561</v>
      </c>
      <c r="S984" s="80">
        <f t="shared" si="440"/>
        <v>5718413.4119960722</v>
      </c>
      <c r="T984" s="80">
        <f t="shared" si="440"/>
        <v>22583.66889476619</v>
      </c>
      <c r="U984" s="80">
        <f t="shared" si="440"/>
        <v>34690.641419503547</v>
      </c>
      <c r="V984" s="80">
        <f t="shared" si="440"/>
        <v>0</v>
      </c>
      <c r="W984" s="80">
        <f t="shared" si="440"/>
        <v>0</v>
      </c>
      <c r="X984" s="155">
        <f t="shared" si="440"/>
        <v>0</v>
      </c>
      <c r="Y984" s="155">
        <f t="shared" si="440"/>
        <v>0</v>
      </c>
      <c r="Z984" s="155">
        <f t="shared" si="440"/>
        <v>0</v>
      </c>
      <c r="AA984" s="155">
        <f>ROUND(SUM(G984:Z984),2)</f>
        <v>174164324.63999999</v>
      </c>
      <c r="AB984" s="156" t="str">
        <f>IF(ABS(F984-AA984)&lt;0.01,"ok","err")</f>
        <v>err</v>
      </c>
    </row>
    <row r="985" spans="1:28" s="154" customFormat="1">
      <c r="A985" s="60"/>
      <c r="B985" s="60"/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</row>
    <row r="986" spans="1:28" s="154" customFormat="1" ht="15">
      <c r="A986" s="65" t="s">
        <v>1102</v>
      </c>
      <c r="B986" s="60"/>
      <c r="C986" s="60"/>
      <c r="D986" s="60"/>
      <c r="E986" s="60"/>
      <c r="F986" s="80">
        <f>F911</f>
        <v>2380933927.241509</v>
      </c>
      <c r="G986" s="80">
        <f t="shared" ref="G986:Z986" si="441">G911</f>
        <v>1151746077.2153518</v>
      </c>
      <c r="H986" s="80">
        <f t="shared" si="441"/>
        <v>302071164.72748941</v>
      </c>
      <c r="I986" s="80">
        <f t="shared" si="441"/>
        <v>0</v>
      </c>
      <c r="J986" s="80">
        <f t="shared" si="441"/>
        <v>22598765.024464671</v>
      </c>
      <c r="K986" s="80">
        <f t="shared" si="441"/>
        <v>290318355.05589318</v>
      </c>
      <c r="L986" s="80">
        <f t="shared" si="441"/>
        <v>0</v>
      </c>
      <c r="M986" s="80">
        <f t="shared" si="441"/>
        <v>0</v>
      </c>
      <c r="N986" s="80">
        <f t="shared" si="441"/>
        <v>242194583.63978818</v>
      </c>
      <c r="O986" s="80">
        <f>O911</f>
        <v>143524479.34195939</v>
      </c>
      <c r="P986" s="80">
        <f t="shared" si="441"/>
        <v>127237257.44781397</v>
      </c>
      <c r="Q986" s="80">
        <f t="shared" si="441"/>
        <v>15203335.994018935</v>
      </c>
      <c r="R986" s="80">
        <f t="shared" si="441"/>
        <v>7082689.0574253704</v>
      </c>
      <c r="S986" s="80">
        <f t="shared" si="441"/>
        <v>78174244.52773416</v>
      </c>
      <c r="T986" s="80">
        <f t="shared" si="441"/>
        <v>308732.70736411982</v>
      </c>
      <c r="U986" s="80">
        <f t="shared" si="441"/>
        <v>474242.50220579916</v>
      </c>
      <c r="V986" s="80">
        <f t="shared" si="441"/>
        <v>0</v>
      </c>
      <c r="W986" s="80">
        <f t="shared" si="441"/>
        <v>0</v>
      </c>
      <c r="X986" s="80">
        <f t="shared" si="441"/>
        <v>0</v>
      </c>
      <c r="Y986" s="80">
        <f t="shared" si="441"/>
        <v>0</v>
      </c>
      <c r="Z986" s="80">
        <f t="shared" si="441"/>
        <v>0</v>
      </c>
      <c r="AA986" s="155">
        <f>ROUND(SUM(G986:Z986),2)</f>
        <v>2380933927.2399998</v>
      </c>
      <c r="AB986" s="156" t="str">
        <f>IF(ABS(F986-AA986)&lt;0.01,"ok","err")</f>
        <v>ok</v>
      </c>
    </row>
    <row r="987" spans="1:28" s="154" customFormat="1" ht="15" thickBot="1">
      <c r="A987" s="60"/>
      <c r="B987" s="60"/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</row>
    <row r="988" spans="1:28" s="154" customFormat="1" ht="15.75" thickBot="1">
      <c r="A988" s="282" t="s">
        <v>1120</v>
      </c>
      <c r="B988" s="150"/>
      <c r="C988" s="150"/>
      <c r="D988" s="150"/>
      <c r="E988" s="150"/>
      <c r="F988" s="151">
        <f t="shared" ref="F988:P988" si="442">F984/F986</f>
        <v>7.314958329263771E-2</v>
      </c>
      <c r="G988" s="151">
        <f t="shared" si="442"/>
        <v>7.3149583300000029E-2</v>
      </c>
      <c r="H988" s="151">
        <f t="shared" si="442"/>
        <v>7.3149583300000071E-2</v>
      </c>
      <c r="I988" s="151" t="e">
        <f t="shared" si="442"/>
        <v>#DIV/0!</v>
      </c>
      <c r="J988" s="151">
        <f t="shared" si="442"/>
        <v>7.3149583299999696E-2</v>
      </c>
      <c r="K988" s="151">
        <f t="shared" si="442"/>
        <v>7.314958329999996E-2</v>
      </c>
      <c r="L988" s="151" t="e">
        <f t="shared" si="442"/>
        <v>#DIV/0!</v>
      </c>
      <c r="M988" s="151" t="e">
        <f t="shared" si="442"/>
        <v>#DIV/0!</v>
      </c>
      <c r="N988" s="151">
        <f t="shared" si="442"/>
        <v>7.3149583300000071E-2</v>
      </c>
      <c r="O988" s="151">
        <f>O984/O986</f>
        <v>7.3149583299999793E-2</v>
      </c>
      <c r="P988" s="151">
        <f t="shared" si="442"/>
        <v>7.3149583299999932E-2</v>
      </c>
      <c r="Q988" s="151">
        <f>Q984/Q986</f>
        <v>7.3149583299999973E-2</v>
      </c>
      <c r="R988" s="151">
        <f t="shared" ref="R988:Z988" si="443">R984/R986</f>
        <v>7.3149583300000001E-2</v>
      </c>
      <c r="S988" s="151">
        <f t="shared" si="443"/>
        <v>7.3149583300000168E-2</v>
      </c>
      <c r="T988" s="151">
        <f t="shared" si="443"/>
        <v>7.3149583299999946E-2</v>
      </c>
      <c r="U988" s="151">
        <f t="shared" si="443"/>
        <v>7.3149583300000015E-2</v>
      </c>
      <c r="V988" s="151" t="e">
        <f t="shared" si="443"/>
        <v>#DIV/0!</v>
      </c>
      <c r="W988" s="151" t="e">
        <f t="shared" si="443"/>
        <v>#DIV/0!</v>
      </c>
      <c r="X988" s="160" t="e">
        <f t="shared" si="443"/>
        <v>#DIV/0!</v>
      </c>
      <c r="Y988" s="160" t="e">
        <f t="shared" si="443"/>
        <v>#DIV/0!</v>
      </c>
      <c r="Z988" s="160" t="e">
        <f t="shared" si="443"/>
        <v>#DIV/0!</v>
      </c>
      <c r="AA988" s="161"/>
      <c r="AB988" s="161"/>
    </row>
    <row r="989" spans="1:28" s="154" customFormat="1" ht="15">
      <c r="A989" s="65"/>
      <c r="B989" s="65"/>
      <c r="C989" s="60"/>
      <c r="D989" s="60"/>
      <c r="E989" s="60"/>
      <c r="F989" s="152"/>
      <c r="G989" s="384">
        <v>7.314958329263771E-2</v>
      </c>
      <c r="H989" s="384">
        <v>7.314958329263771E-2</v>
      </c>
      <c r="I989" s="384">
        <v>7.314958329263771E-2</v>
      </c>
      <c r="J989" s="384">
        <v>7.314958329263771E-2</v>
      </c>
      <c r="K989" s="384">
        <v>7.314958329263771E-2</v>
      </c>
      <c r="L989" s="384">
        <v>7.314958329263771E-2</v>
      </c>
      <c r="M989" s="384">
        <v>7.314958329263771E-2</v>
      </c>
      <c r="N989" s="384">
        <v>7.314958329263771E-2</v>
      </c>
      <c r="O989" s="384">
        <v>7.314958329263771E-2</v>
      </c>
      <c r="P989" s="384">
        <v>7.314958329263771E-2</v>
      </c>
      <c r="Q989" s="384">
        <v>7.314958329263771E-2</v>
      </c>
      <c r="R989" s="384">
        <v>7.314958329263771E-2</v>
      </c>
      <c r="S989" s="384">
        <v>7.314958329263771E-2</v>
      </c>
      <c r="T989" s="384">
        <v>7.314958329263771E-2</v>
      </c>
      <c r="U989" s="384">
        <v>7.314958329263771E-2</v>
      </c>
      <c r="V989" s="152"/>
      <c r="W989" s="152"/>
      <c r="X989" s="158"/>
      <c r="Y989" s="158"/>
      <c r="Z989" s="158"/>
    </row>
    <row r="991" spans="1:28" s="174" customFormat="1">
      <c r="A991" s="60"/>
      <c r="B991" s="60"/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</row>
    <row r="992" spans="1:28" s="174" customFormat="1" ht="15">
      <c r="A992" s="65" t="s">
        <v>133</v>
      </c>
      <c r="B992" s="60"/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</row>
    <row r="993" spans="1:29" s="174" customFormat="1">
      <c r="A993" s="60"/>
      <c r="B993" s="60"/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</row>
    <row r="994" spans="1:29" s="174" customFormat="1" ht="15">
      <c r="A994" s="65" t="s">
        <v>1121</v>
      </c>
      <c r="B994" s="60"/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</row>
    <row r="995" spans="1:29" s="174" customFormat="1">
      <c r="A995" s="60" t="s">
        <v>1122</v>
      </c>
      <c r="B995" s="60"/>
      <c r="C995" s="60"/>
      <c r="D995" s="60" t="s">
        <v>1091</v>
      </c>
      <c r="E995" s="60" t="s">
        <v>930</v>
      </c>
      <c r="F995" s="110">
        <v>1</v>
      </c>
      <c r="G995" s="110">
        <f t="shared" ref="G995:Z995" si="444">IF(VLOOKUP($E995,$D$6:$AN$1131,3,)=0,0,(VLOOKUP($E995,$D$6:$AN$1131,G$2,)/VLOOKUP($E995,$D$6:$AN$1131,3,))*$F995)</f>
        <v>0.36177803168986861</v>
      </c>
      <c r="H995" s="110">
        <f t="shared" si="444"/>
        <v>0.11756490848167744</v>
      </c>
      <c r="I995" s="110">
        <f t="shared" si="444"/>
        <v>0</v>
      </c>
      <c r="J995" s="110">
        <f t="shared" si="444"/>
        <v>1.4002177535100569E-2</v>
      </c>
      <c r="K995" s="110">
        <f t="shared" si="444"/>
        <v>0.1622334243029889</v>
      </c>
      <c r="L995" s="110">
        <f t="shared" si="444"/>
        <v>0</v>
      </c>
      <c r="M995" s="110">
        <f t="shared" si="444"/>
        <v>0</v>
      </c>
      <c r="N995" s="110">
        <f t="shared" si="444"/>
        <v>0.15660029232902192</v>
      </c>
      <c r="O995" s="110">
        <f t="shared" si="444"/>
        <v>6.8874940193074427E-2</v>
      </c>
      <c r="P995" s="110">
        <f t="shared" si="444"/>
        <v>9.5357587036196872E-2</v>
      </c>
      <c r="Q995" s="110">
        <f t="shared" si="444"/>
        <v>9.3073843413242867E-3</v>
      </c>
      <c r="R995" s="110">
        <f t="shared" si="444"/>
        <v>4.9170564448175174E-3</v>
      </c>
      <c r="S995" s="110">
        <f t="shared" si="444"/>
        <v>8.8080331239970347E-3</v>
      </c>
      <c r="T995" s="110">
        <f t="shared" si="444"/>
        <v>2.8711184968096344E-4</v>
      </c>
      <c r="U995" s="110">
        <f t="shared" si="444"/>
        <v>2.6905267225138226E-4</v>
      </c>
      <c r="V995" s="110">
        <f t="shared" si="444"/>
        <v>0</v>
      </c>
      <c r="W995" s="110">
        <f t="shared" si="444"/>
        <v>0</v>
      </c>
      <c r="X995" s="175">
        <f t="shared" si="444"/>
        <v>0</v>
      </c>
      <c r="Y995" s="175">
        <f t="shared" si="444"/>
        <v>0</v>
      </c>
      <c r="Z995" s="175">
        <f t="shared" si="444"/>
        <v>0</v>
      </c>
      <c r="AA995" s="180">
        <f>SUM(G995:Z995)</f>
        <v>1</v>
      </c>
      <c r="AB995" s="176" t="str">
        <f>IF(ABS(F995-AA995)&lt;0.01,"ok","err")</f>
        <v>ok</v>
      </c>
    </row>
    <row r="996" spans="1:29" s="174" customFormat="1">
      <c r="A996" s="60"/>
      <c r="B996" s="60"/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</row>
    <row r="997" spans="1:29" s="174" customFormat="1" ht="15">
      <c r="A997" s="65" t="s">
        <v>1123</v>
      </c>
      <c r="B997" s="60"/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</row>
    <row r="998" spans="1:29" s="174" customFormat="1">
      <c r="A998" s="60" t="s">
        <v>1124</v>
      </c>
      <c r="B998" s="60"/>
      <c r="C998" s="60"/>
      <c r="D998" s="60" t="s">
        <v>1094</v>
      </c>
      <c r="E998" s="60" t="s">
        <v>698</v>
      </c>
      <c r="F998" s="81">
        <v>1</v>
      </c>
      <c r="G998" s="83">
        <f t="shared" ref="G998:Z998" si="445">IF(VLOOKUP($E998,$D$6:$AN$1131,3,)=0,0,(VLOOKUP($E998,$D$6:$AN$1131,G$2,)/VLOOKUP($E998,$D$6:$AN$1131,3,))*$F998)</f>
        <v>0.86211323577133958</v>
      </c>
      <c r="H998" s="83">
        <f t="shared" si="445"/>
        <v>0.10710913104335856</v>
      </c>
      <c r="I998" s="83">
        <f t="shared" si="445"/>
        <v>0</v>
      </c>
      <c r="J998" s="83">
        <f t="shared" si="445"/>
        <v>1.7047676537174916E-4</v>
      </c>
      <c r="K998" s="83">
        <f t="shared" si="445"/>
        <v>6.6868721972784479E-3</v>
      </c>
      <c r="L998" s="83">
        <f t="shared" si="445"/>
        <v>0</v>
      </c>
      <c r="M998" s="83">
        <f t="shared" si="445"/>
        <v>0</v>
      </c>
      <c r="N998" s="83">
        <f t="shared" si="445"/>
        <v>2.4979581592666025E-4</v>
      </c>
      <c r="O998" s="83">
        <f t="shared" si="445"/>
        <v>6.5349426725837181E-4</v>
      </c>
      <c r="P998" s="83">
        <f t="shared" si="445"/>
        <v>0</v>
      </c>
      <c r="Q998" s="83">
        <f t="shared" si="445"/>
        <v>2.367732852385405E-6</v>
      </c>
      <c r="R998" s="83">
        <f t="shared" si="445"/>
        <v>2.367732852385405E-6</v>
      </c>
      <c r="S998" s="83">
        <f t="shared" si="445"/>
        <v>2.2730761545755974E-2</v>
      </c>
      <c r="T998" s="83">
        <f t="shared" si="445"/>
        <v>4.3408435627065753E-5</v>
      </c>
      <c r="U998" s="83">
        <f t="shared" si="445"/>
        <v>2.3808869237875463E-4</v>
      </c>
      <c r="V998" s="83">
        <f t="shared" si="445"/>
        <v>0</v>
      </c>
      <c r="W998" s="83">
        <f t="shared" si="445"/>
        <v>0</v>
      </c>
      <c r="X998" s="175">
        <f t="shared" si="445"/>
        <v>0</v>
      </c>
      <c r="Y998" s="175">
        <f t="shared" si="445"/>
        <v>0</v>
      </c>
      <c r="Z998" s="175">
        <f t="shared" si="445"/>
        <v>0</v>
      </c>
      <c r="AA998" s="181">
        <f t="shared" ref="AA998:AA1003" si="446">SUM(G998:Z998)</f>
        <v>0.99999999999999989</v>
      </c>
      <c r="AB998" s="176" t="str">
        <f t="shared" ref="AB998:AB1003" si="447">IF(ABS(F998-AA998)&lt;0.01,"ok","err")</f>
        <v>ok</v>
      </c>
    </row>
    <row r="999" spans="1:29" s="174" customFormat="1">
      <c r="A999" s="60" t="s">
        <v>193</v>
      </c>
      <c r="B999" s="60"/>
      <c r="C999" s="60"/>
      <c r="D999" s="60" t="s">
        <v>1095</v>
      </c>
      <c r="E999" s="60"/>
      <c r="F999" s="81">
        <v>1</v>
      </c>
      <c r="G999" s="83">
        <f>Services!F10</f>
        <v>0.76861640064540004</v>
      </c>
      <c r="H999" s="83">
        <f>Services!F12</f>
        <v>0.19343635385547825</v>
      </c>
      <c r="I999" s="83">
        <v>0</v>
      </c>
      <c r="J999" s="83">
        <f>Services!F14</f>
        <v>0</v>
      </c>
      <c r="K999" s="83">
        <f>Services!F16</f>
        <v>3.3746211341601155E-2</v>
      </c>
      <c r="L999" s="83">
        <v>0</v>
      </c>
      <c r="M999" s="83"/>
      <c r="N999" s="83">
        <f>Services!F18</f>
        <v>0</v>
      </c>
      <c r="O999" s="83">
        <f>Services!F20</f>
        <v>4.2010341575204205E-3</v>
      </c>
      <c r="P999" s="83">
        <f>Services!F22</f>
        <v>0</v>
      </c>
      <c r="Q999" s="83">
        <f>Services!F24</f>
        <v>0</v>
      </c>
      <c r="R999" s="83">
        <f>Services!F26</f>
        <v>0</v>
      </c>
      <c r="S999" s="83">
        <f>Services!F28</f>
        <v>0</v>
      </c>
      <c r="T999" s="83">
        <f>Services!F30</f>
        <v>0</v>
      </c>
      <c r="U999" s="83">
        <f>Services!$F$32</f>
        <v>0</v>
      </c>
      <c r="V999" s="83">
        <v>0</v>
      </c>
      <c r="W999" s="83">
        <v>0</v>
      </c>
      <c r="X999" s="83">
        <v>0</v>
      </c>
      <c r="Y999" s="83">
        <v>0</v>
      </c>
      <c r="Z999" s="83">
        <v>0</v>
      </c>
      <c r="AA999" s="181">
        <f t="shared" si="446"/>
        <v>0.99999999999999989</v>
      </c>
      <c r="AB999" s="176" t="str">
        <f t="shared" si="447"/>
        <v>ok</v>
      </c>
    </row>
    <row r="1000" spans="1:29" s="174" customFormat="1">
      <c r="A1000" s="60" t="s">
        <v>1125</v>
      </c>
      <c r="B1000" s="60"/>
      <c r="C1000" s="60"/>
      <c r="D1000" s="60" t="s">
        <v>1096</v>
      </c>
      <c r="E1000" s="60"/>
      <c r="F1000" s="81">
        <v>1</v>
      </c>
      <c r="G1000" s="83">
        <f>Meters!$F$10</f>
        <v>0.69991996222812491</v>
      </c>
      <c r="H1000" s="83">
        <f>Meters!$F$12</f>
        <v>0.20578048643990582</v>
      </c>
      <c r="I1000" s="83">
        <v>0</v>
      </c>
      <c r="J1000" s="83">
        <f>Meters!$F$14</f>
        <v>8.0106991556218293E-3</v>
      </c>
      <c r="K1000" s="83">
        <f>Meters!$F$16</f>
        <v>5.535691265576969E-2</v>
      </c>
      <c r="L1000" s="83">
        <v>0</v>
      </c>
      <c r="M1000" s="83">
        <v>0</v>
      </c>
      <c r="N1000" s="83">
        <f>Meters!$F$18</f>
        <v>1.2543994366524883E-2</v>
      </c>
      <c r="O1000" s="83">
        <f>Meters!$F$20</f>
        <v>5.8318104447573722E-3</v>
      </c>
      <c r="P1000" s="83">
        <f>Meters!$F$22</f>
        <v>1.0261493700094724E-2</v>
      </c>
      <c r="Q1000" s="83">
        <f>Meters!$F$24</f>
        <v>1.1890042053578088E-4</v>
      </c>
      <c r="R1000" s="83">
        <f>Meters!$F$26</f>
        <v>1.1890042053578088E-4</v>
      </c>
      <c r="S1000" s="83">
        <f>Meters!$F$28</f>
        <v>0</v>
      </c>
      <c r="T1000" s="83">
        <f>Meters!$F$30</f>
        <v>3.1717628760872705E-4</v>
      </c>
      <c r="U1000" s="83">
        <f>Meters!$F$32</f>
        <v>1.739663880520594E-3</v>
      </c>
      <c r="V1000" s="83">
        <v>0</v>
      </c>
      <c r="W1000" s="83">
        <v>0</v>
      </c>
      <c r="X1000" s="181">
        <v>0</v>
      </c>
      <c r="Y1000" s="181">
        <v>0</v>
      </c>
      <c r="Z1000" s="181">
        <v>0</v>
      </c>
      <c r="AA1000" s="181">
        <f>SUM(G1000:Z1000)</f>
        <v>1</v>
      </c>
      <c r="AB1000" s="176" t="str">
        <f t="shared" si="447"/>
        <v>ok</v>
      </c>
    </row>
    <row r="1001" spans="1:29" s="174" customFormat="1">
      <c r="A1001" s="60" t="s">
        <v>1126</v>
      </c>
      <c r="B1001" s="60"/>
      <c r="C1001" s="60"/>
      <c r="D1001" s="60" t="s">
        <v>1097</v>
      </c>
      <c r="E1001" s="60" t="s">
        <v>132</v>
      </c>
      <c r="F1001" s="81">
        <v>1</v>
      </c>
      <c r="G1001" s="83">
        <f t="shared" ref="G1001:R1003" si="448">IF(VLOOKUP($E1001,$D$6:$AN$1131,3,)=0,0,(VLOOKUP($E1001,$D$6:$AN$1131,G$2,)/VLOOKUP($E1001,$D$6:$AN$1131,3,))*$F1001)</f>
        <v>0</v>
      </c>
      <c r="H1001" s="83">
        <f t="shared" si="448"/>
        <v>0</v>
      </c>
      <c r="I1001" s="83">
        <f t="shared" si="448"/>
        <v>0</v>
      </c>
      <c r="J1001" s="83">
        <f t="shared" si="448"/>
        <v>0</v>
      </c>
      <c r="K1001" s="83">
        <f t="shared" si="448"/>
        <v>0</v>
      </c>
      <c r="L1001" s="83">
        <f t="shared" si="448"/>
        <v>0</v>
      </c>
      <c r="M1001" s="83">
        <f t="shared" si="448"/>
        <v>0</v>
      </c>
      <c r="N1001" s="83">
        <f t="shared" si="448"/>
        <v>0</v>
      </c>
      <c r="O1001" s="83">
        <f t="shared" si="448"/>
        <v>0</v>
      </c>
      <c r="P1001" s="83">
        <f t="shared" si="448"/>
        <v>0</v>
      </c>
      <c r="Q1001" s="83">
        <f t="shared" si="448"/>
        <v>0</v>
      </c>
      <c r="R1001" s="83">
        <f t="shared" si="448"/>
        <v>0</v>
      </c>
      <c r="S1001" s="83">
        <v>1</v>
      </c>
      <c r="T1001" s="83">
        <v>0</v>
      </c>
      <c r="U1001" s="83">
        <v>0</v>
      </c>
      <c r="V1001" s="83">
        <f t="shared" ref="V1001:Z1003" si="449">IF(VLOOKUP($E1001,$D$6:$AN$1131,3,)=0,0,(VLOOKUP($E1001,$D$6:$AN$1131,V$2,)/VLOOKUP($E1001,$D$6:$AN$1131,3,))*$F1001)</f>
        <v>0</v>
      </c>
      <c r="W1001" s="83">
        <f t="shared" si="449"/>
        <v>0</v>
      </c>
      <c r="X1001" s="175">
        <f t="shared" si="449"/>
        <v>0</v>
      </c>
      <c r="Y1001" s="175">
        <f t="shared" si="449"/>
        <v>0</v>
      </c>
      <c r="Z1001" s="175">
        <f t="shared" si="449"/>
        <v>0</v>
      </c>
      <c r="AA1001" s="181">
        <f t="shared" si="446"/>
        <v>1</v>
      </c>
      <c r="AB1001" s="176" t="str">
        <f t="shared" si="447"/>
        <v>ok</v>
      </c>
    </row>
    <row r="1002" spans="1:29" s="174" customFormat="1">
      <c r="A1002" s="60" t="s">
        <v>1127</v>
      </c>
      <c r="B1002" s="60"/>
      <c r="C1002" s="60"/>
      <c r="D1002" s="60" t="s">
        <v>1098</v>
      </c>
      <c r="E1002" s="60" t="s">
        <v>156</v>
      </c>
      <c r="F1002" s="81">
        <v>1</v>
      </c>
      <c r="G1002" s="83">
        <f t="shared" si="448"/>
        <v>0.74512429283018111</v>
      </c>
      <c r="H1002" s="83">
        <f t="shared" si="448"/>
        <v>0.1851487999785352</v>
      </c>
      <c r="I1002" s="83">
        <f t="shared" si="448"/>
        <v>0</v>
      </c>
      <c r="J1002" s="83">
        <f t="shared" si="448"/>
        <v>7.3671516670283923E-4</v>
      </c>
      <c r="K1002" s="83">
        <f t="shared" si="448"/>
        <v>2.889731134208243E-2</v>
      </c>
      <c r="L1002" s="83">
        <f t="shared" si="448"/>
        <v>0</v>
      </c>
      <c r="M1002" s="83">
        <f t="shared" si="448"/>
        <v>0</v>
      </c>
      <c r="N1002" s="83">
        <f t="shared" si="448"/>
        <v>5.3974618116076067E-3</v>
      </c>
      <c r="O1002" s="83">
        <f t="shared" si="448"/>
        <v>1.4120374028471085E-2</v>
      </c>
      <c r="P1002" s="83">
        <f t="shared" si="448"/>
        <v>6.6509008105117425E-4</v>
      </c>
      <c r="Q1002" s="83">
        <f t="shared" si="448"/>
        <v>1.0232155093094989E-5</v>
      </c>
      <c r="R1002" s="83">
        <f t="shared" si="448"/>
        <v>1.0232155093094989E-5</v>
      </c>
      <c r="S1002" s="83">
        <f t="shared" ref="S1002:U1003" si="450">IF(VLOOKUP($E1002,$D$6:$AN$1131,3,)=0,0,(VLOOKUP($E1002,$D$6:$AN$1131,S$2,)/VLOOKUP($E1002,$D$6:$AN$1131,3,))*$F1002)</f>
        <v>1.9646192541190956E-2</v>
      </c>
      <c r="T1002" s="83">
        <f t="shared" si="450"/>
        <v>3.7517902008014959E-5</v>
      </c>
      <c r="U1002" s="83">
        <f t="shared" si="450"/>
        <v>2.0578000798335475E-4</v>
      </c>
      <c r="V1002" s="83">
        <f t="shared" si="449"/>
        <v>0</v>
      </c>
      <c r="W1002" s="83">
        <f t="shared" si="449"/>
        <v>0</v>
      </c>
      <c r="X1002" s="175">
        <f t="shared" si="449"/>
        <v>0</v>
      </c>
      <c r="Y1002" s="175">
        <f t="shared" si="449"/>
        <v>0</v>
      </c>
      <c r="Z1002" s="175">
        <f t="shared" si="449"/>
        <v>0</v>
      </c>
      <c r="AA1002" s="181">
        <f t="shared" si="446"/>
        <v>0.99999999999999989</v>
      </c>
      <c r="AB1002" s="176" t="str">
        <f t="shared" si="447"/>
        <v>ok</v>
      </c>
    </row>
    <row r="1003" spans="1:29" s="174" customFormat="1">
      <c r="A1003" s="60" t="s">
        <v>173</v>
      </c>
      <c r="B1003" s="60"/>
      <c r="C1003" s="60"/>
      <c r="D1003" s="60" t="s">
        <v>1099</v>
      </c>
      <c r="E1003" s="60" t="s">
        <v>157</v>
      </c>
      <c r="F1003" s="81">
        <v>1</v>
      </c>
      <c r="G1003" s="83">
        <f t="shared" si="448"/>
        <v>0.86208670028831513</v>
      </c>
      <c r="H1003" s="83">
        <f t="shared" si="448"/>
        <v>0.10710583426932631</v>
      </c>
      <c r="I1003" s="83">
        <f t="shared" si="448"/>
        <v>0</v>
      </c>
      <c r="J1003" s="83">
        <f t="shared" si="448"/>
        <v>1.7047151816856763E-4</v>
      </c>
      <c r="K1003" s="83">
        <f t="shared" si="448"/>
        <v>6.6866663781629133E-3</v>
      </c>
      <c r="L1003" s="83">
        <f t="shared" si="448"/>
        <v>0</v>
      </c>
      <c r="M1003" s="83">
        <f t="shared" si="448"/>
        <v>0</v>
      </c>
      <c r="N1003" s="83">
        <f t="shared" si="448"/>
        <v>2.4978812731644284E-4</v>
      </c>
      <c r="O1003" s="83">
        <f t="shared" si="448"/>
        <v>6.5347415297950929E-4</v>
      </c>
      <c r="P1003" s="83">
        <f t="shared" si="448"/>
        <v>3.0779579669324712E-5</v>
      </c>
      <c r="Q1003" s="83">
        <f t="shared" si="448"/>
        <v>2.3676599745634392E-6</v>
      </c>
      <c r="R1003" s="83">
        <f t="shared" si="448"/>
        <v>2.3676599745634392E-6</v>
      </c>
      <c r="S1003" s="83">
        <f t="shared" si="450"/>
        <v>2.2730061902470032E-2</v>
      </c>
      <c r="T1003" s="83">
        <f t="shared" si="450"/>
        <v>4.340709953366305E-5</v>
      </c>
      <c r="U1003" s="83">
        <f t="shared" si="450"/>
        <v>2.3808136410887918E-4</v>
      </c>
      <c r="V1003" s="83">
        <f t="shared" si="449"/>
        <v>0</v>
      </c>
      <c r="W1003" s="83">
        <f t="shared" si="449"/>
        <v>0</v>
      </c>
      <c r="X1003" s="175">
        <f t="shared" si="449"/>
        <v>0</v>
      </c>
      <c r="Y1003" s="175">
        <f t="shared" si="449"/>
        <v>0</v>
      </c>
      <c r="Z1003" s="175">
        <f t="shared" si="449"/>
        <v>0</v>
      </c>
      <c r="AA1003" s="181">
        <f t="shared" si="446"/>
        <v>0.99999999999999989</v>
      </c>
      <c r="AB1003" s="176" t="str">
        <f t="shared" si="447"/>
        <v>ok</v>
      </c>
    </row>
    <row r="1004" spans="1:29" s="174" customFormat="1">
      <c r="A1004" s="60"/>
      <c r="B1004" s="60"/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</row>
    <row r="1005" spans="1:29" s="60" customFormat="1">
      <c r="A1005" s="60" t="s">
        <v>1317</v>
      </c>
      <c r="D1005" s="60" t="s">
        <v>130</v>
      </c>
      <c r="F1005" s="79">
        <v>965204065.29999995</v>
      </c>
      <c r="G1005" s="79">
        <f>'Billing Det'!$F$8</f>
        <v>379200073</v>
      </c>
      <c r="H1005" s="79">
        <f>'Billing Det'!$F10</f>
        <v>135825835</v>
      </c>
      <c r="I1005" s="79">
        <v>0</v>
      </c>
      <c r="J1005" s="79">
        <f>'Billing Det'!$F$12</f>
        <v>11517853</v>
      </c>
      <c r="K1005" s="79">
        <f>'Billing Det'!$F$14</f>
        <v>151571212</v>
      </c>
      <c r="L1005" s="79">
        <v>0</v>
      </c>
      <c r="M1005" s="79">
        <v>0</v>
      </c>
      <c r="N1005" s="79">
        <f>'Billing Det'!$F$16</f>
        <v>116918595</v>
      </c>
      <c r="O1005" s="79">
        <f>'Billing Det'!$F$18</f>
        <v>77629237</v>
      </c>
      <c r="P1005" s="79">
        <f>'Billing Det'!$F$20</f>
        <v>64284636</v>
      </c>
      <c r="Q1005" s="79">
        <f>'Billing Det'!$F$22</f>
        <v>6341748</v>
      </c>
      <c r="R1005" s="79">
        <f>'Billing Det'!$F$24</f>
        <v>3292762</v>
      </c>
      <c r="S1005" s="79">
        <f>'Billing Det'!$F$26</f>
        <v>18141167.300000001</v>
      </c>
      <c r="T1005" s="79">
        <f>'Billing Det'!$F$28</f>
        <v>210819</v>
      </c>
      <c r="U1005" s="79">
        <f>'Billing Det'!$F$30</f>
        <v>270128</v>
      </c>
      <c r="V1005" s="79">
        <v>0</v>
      </c>
      <c r="W1005" s="79">
        <v>0</v>
      </c>
      <c r="X1005" s="79">
        <v>0</v>
      </c>
      <c r="Y1005" s="79">
        <v>0</v>
      </c>
      <c r="Z1005" s="79">
        <v>0</v>
      </c>
      <c r="AA1005" s="79">
        <f>SUM(G1005:Z1005)</f>
        <v>965204065.29999995</v>
      </c>
      <c r="AB1005" s="93" t="str">
        <f>IF(ABS(F1005-AA1005)&lt;0.01,"ok","err")</f>
        <v>ok</v>
      </c>
      <c r="AC1005" s="112">
        <f>+AA1005-F1005</f>
        <v>0</v>
      </c>
    </row>
    <row r="1006" spans="1:29" s="174" customFormat="1">
      <c r="A1006" s="60" t="s">
        <v>930</v>
      </c>
      <c r="B1006" s="60"/>
      <c r="C1006" s="60"/>
      <c r="D1006" s="60"/>
      <c r="E1006" s="60"/>
      <c r="F1006" s="79">
        <v>11646473901.123848</v>
      </c>
      <c r="G1006" s="79">
        <f>'Billing Det'!C8</f>
        <v>4180088831</v>
      </c>
      <c r="H1006" s="79">
        <f>'Billing Det'!$C10</f>
        <v>1358379221</v>
      </c>
      <c r="I1006" s="79">
        <v>0</v>
      </c>
      <c r="J1006" s="79">
        <f>'Billing Det'!C12</f>
        <v>165297553</v>
      </c>
      <c r="K1006" s="79">
        <f>'Billing Det'!C14</f>
        <v>1874492273</v>
      </c>
      <c r="L1006" s="79">
        <v>0</v>
      </c>
      <c r="M1006" s="79">
        <v>0</v>
      </c>
      <c r="N1006" s="79">
        <f>'Billing Det'!C16</f>
        <v>1848687110</v>
      </c>
      <c r="O1006" s="79">
        <f>'Billing Det'!C18</f>
        <v>795801135</v>
      </c>
      <c r="P1006" s="79">
        <f>'Billing Det'!C20</f>
        <v>1147609709</v>
      </c>
      <c r="Q1006" s="79">
        <f>'Billing Det'!C22</f>
        <v>109874900</v>
      </c>
      <c r="R1006" s="79">
        <f>'Billing Det'!C24</f>
        <v>58046500</v>
      </c>
      <c r="S1006" s="79">
        <f>'Billing Det'!C26</f>
        <v>101770582.1238485</v>
      </c>
      <c r="T1006" s="79">
        <f>'Billing Det'!C28</f>
        <v>3317374</v>
      </c>
      <c r="U1006" s="79">
        <f>'Billing Det'!C30</f>
        <v>3108713</v>
      </c>
      <c r="V1006" s="79">
        <v>0</v>
      </c>
      <c r="W1006" s="79">
        <v>0</v>
      </c>
      <c r="X1006" s="175">
        <v>0</v>
      </c>
      <c r="Y1006" s="175">
        <v>0</v>
      </c>
      <c r="Z1006" s="175">
        <v>0</v>
      </c>
      <c r="AA1006" s="175">
        <f t="shared" ref="AA1006:AA1016" si="451">SUM(G1006:Z1006)</f>
        <v>11646473901.123848</v>
      </c>
      <c r="AB1006" s="176" t="str">
        <f>IF(ABS(F1006-AA1006)&lt;0.01,"ok","err")</f>
        <v>ok</v>
      </c>
    </row>
    <row r="1007" spans="1:29" s="60" customFormat="1">
      <c r="A1007" s="60" t="s">
        <v>709</v>
      </c>
      <c r="D1007" s="60" t="s">
        <v>930</v>
      </c>
      <c r="F1007" s="79">
        <v>12308166695.031103</v>
      </c>
      <c r="G1007" s="79">
        <f>G1006/0.93875</f>
        <v>4452824320.6391478</v>
      </c>
      <c r="H1007" s="79">
        <f>H1006/0.93875</f>
        <v>1447008491.078562</v>
      </c>
      <c r="I1007" s="79">
        <f>I1006/0.93875</f>
        <v>0</v>
      </c>
      <c r="J1007" s="79">
        <f>J1006/0.95913</f>
        <v>172341135.19543752</v>
      </c>
      <c r="K1007" s="79">
        <f>K1006/0.93875</f>
        <v>1996796029.8268976</v>
      </c>
      <c r="L1007" s="79">
        <f>L1006/0.95913</f>
        <v>0</v>
      </c>
      <c r="M1007" s="79">
        <f>M1006/(1-0.061646)</f>
        <v>0</v>
      </c>
      <c r="N1007" s="79">
        <f>N1006/0.95913</f>
        <v>1927462502.4762022</v>
      </c>
      <c r="O1007" s="79">
        <f>O1006/0.93875</f>
        <v>847724245.00665784</v>
      </c>
      <c r="P1007" s="79">
        <f>P1006/0.97779</f>
        <v>1173677076.8774481</v>
      </c>
      <c r="Q1007" s="79">
        <f>Q1006/0.95913</f>
        <v>114556837.96774159</v>
      </c>
      <c r="R1007" s="79">
        <f>R1006/0.95913</f>
        <v>60519950.371691011</v>
      </c>
      <c r="S1007" s="79">
        <f>S1006/0.93875</f>
        <v>108410739.94551106</v>
      </c>
      <c r="T1007" s="79">
        <f>T1006/0.93875</f>
        <v>3533820.5059920107</v>
      </c>
      <c r="U1007" s="79">
        <f>U1006/0.93875</f>
        <v>3311545.1398135819</v>
      </c>
      <c r="V1007" s="79">
        <f>V1006/(1-0.041817)</f>
        <v>0</v>
      </c>
      <c r="W1007" s="79">
        <f>W1006/(1-0.061646)</f>
        <v>0</v>
      </c>
      <c r="X1007" s="79">
        <v>0</v>
      </c>
      <c r="Y1007" s="79">
        <v>0</v>
      </c>
      <c r="Z1007" s="79">
        <v>0</v>
      </c>
      <c r="AA1007" s="79">
        <f>SUM(G1007:Z1007)</f>
        <v>12308166695.031103</v>
      </c>
      <c r="AB1007" s="93" t="str">
        <f>IF(ABS(F1007-AA1007)&lt;0.01,"ok","err")</f>
        <v>ok</v>
      </c>
      <c r="AC1007" s="112">
        <f>+AA1007-F1007</f>
        <v>0</v>
      </c>
    </row>
    <row r="1008" spans="1:29" s="174" customFormat="1">
      <c r="A1008" s="60"/>
      <c r="B1008" s="60"/>
      <c r="C1008" s="60"/>
      <c r="D1008" s="60"/>
      <c r="E1008" s="60"/>
      <c r="F1008" s="79"/>
      <c r="G1008" s="79"/>
      <c r="H1008" s="79"/>
      <c r="I1008" s="79"/>
      <c r="J1008" s="79"/>
      <c r="K1008" s="79"/>
      <c r="L1008" s="79"/>
      <c r="M1008" s="79"/>
      <c r="N1008" s="79"/>
      <c r="O1008" s="110"/>
      <c r="P1008" s="110"/>
      <c r="Q1008" s="79"/>
      <c r="R1008" s="79"/>
      <c r="S1008" s="79"/>
      <c r="T1008" s="79"/>
      <c r="U1008" s="79"/>
      <c r="V1008" s="79"/>
      <c r="W1008" s="79"/>
      <c r="X1008" s="175"/>
      <c r="Y1008" s="175"/>
      <c r="Z1008" s="175"/>
      <c r="AA1008" s="175"/>
      <c r="AB1008" s="176"/>
    </row>
    <row r="1009" spans="1:28" s="174" customFormat="1" ht="15">
      <c r="A1009" s="65" t="s">
        <v>888</v>
      </c>
      <c r="B1009" s="60"/>
      <c r="C1009" s="60"/>
      <c r="D1009" s="60"/>
      <c r="E1009" s="60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  <c r="V1009" s="79"/>
      <c r="W1009" s="79"/>
      <c r="X1009" s="175"/>
      <c r="Y1009" s="175"/>
      <c r="Z1009" s="175"/>
      <c r="AA1009" s="175"/>
      <c r="AB1009" s="176"/>
    </row>
    <row r="1010" spans="1:28" s="174" customFormat="1">
      <c r="A1010" s="60" t="s">
        <v>127</v>
      </c>
      <c r="B1010" s="60"/>
      <c r="C1010" s="60"/>
      <c r="D1010" s="60"/>
      <c r="E1010" s="60"/>
      <c r="F1010" s="79">
        <v>6001330</v>
      </c>
      <c r="G1010" s="79">
        <f>'Billing Det'!B8*12</f>
        <v>4369310</v>
      </c>
      <c r="H1010" s="79">
        <f>('Billing Det'!B10*12)</f>
        <v>542844</v>
      </c>
      <c r="I1010" s="79">
        <v>0</v>
      </c>
      <c r="J1010" s="79">
        <f>'Billing Det'!B12*12</f>
        <v>864</v>
      </c>
      <c r="K1010" s="79">
        <f>'Billing Det'!B14*12</f>
        <v>33890</v>
      </c>
      <c r="L1010" s="79">
        <v>0</v>
      </c>
      <c r="M1010" s="79">
        <v>0</v>
      </c>
      <c r="N1010" s="79">
        <f>('Billing Det'!B16)*12</f>
        <v>1266</v>
      </c>
      <c r="O1010" s="79">
        <f>'Billing Det'!B18*12</f>
        <v>3312</v>
      </c>
      <c r="P1010" s="79">
        <f>'Billing Det'!B20*12</f>
        <v>156</v>
      </c>
      <c r="Q1010" s="79">
        <f>'Billing Det'!B22*12</f>
        <v>12</v>
      </c>
      <c r="R1010" s="79">
        <f>'Billing Det'!B24*12</f>
        <v>12</v>
      </c>
      <c r="S1010" s="79">
        <f>'Billing Det'!B26*12</f>
        <v>1036824</v>
      </c>
      <c r="T1010" s="79">
        <f>'Billing Det'!B28*12</f>
        <v>1980</v>
      </c>
      <c r="U1010" s="79">
        <f>'Billing Det'!B30*12</f>
        <v>10860</v>
      </c>
      <c r="V1010" s="79">
        <v>0</v>
      </c>
      <c r="W1010" s="79">
        <v>0</v>
      </c>
      <c r="X1010" s="175">
        <v>0</v>
      </c>
      <c r="Y1010" s="175">
        <v>0</v>
      </c>
      <c r="Z1010" s="175">
        <v>0</v>
      </c>
      <c r="AA1010" s="175">
        <f t="shared" si="451"/>
        <v>6001330</v>
      </c>
      <c r="AB1010" s="176" t="str">
        <f t="shared" ref="AB1010:AB1018" si="452">IF(ABS(F1010-AA1010)&lt;0.01,"ok","err")</f>
        <v>ok</v>
      </c>
    </row>
    <row r="1011" spans="1:28" s="174" customFormat="1">
      <c r="A1011" s="60" t="s">
        <v>128</v>
      </c>
      <c r="B1011" s="60"/>
      <c r="C1011" s="60"/>
      <c r="D1011" s="60"/>
      <c r="E1011" s="60"/>
      <c r="F1011" s="79">
        <v>500110.83333333337</v>
      </c>
      <c r="G1011" s="79">
        <f>G1010/12</f>
        <v>364109.16666666669</v>
      </c>
      <c r="H1011" s="79">
        <f t="shared" ref="H1011:P1011" si="453">H1010/12</f>
        <v>45237</v>
      </c>
      <c r="I1011" s="79">
        <f t="shared" si="453"/>
        <v>0</v>
      </c>
      <c r="J1011" s="79">
        <f t="shared" si="453"/>
        <v>72</v>
      </c>
      <c r="K1011" s="79">
        <f t="shared" si="453"/>
        <v>2824.1666666666665</v>
      </c>
      <c r="L1011" s="79">
        <f t="shared" si="453"/>
        <v>0</v>
      </c>
      <c r="M1011" s="79">
        <f t="shared" si="453"/>
        <v>0</v>
      </c>
      <c r="N1011" s="79">
        <f t="shared" si="453"/>
        <v>105.5</v>
      </c>
      <c r="O1011" s="79">
        <f>O1010/12</f>
        <v>276</v>
      </c>
      <c r="P1011" s="79">
        <f t="shared" si="453"/>
        <v>13</v>
      </c>
      <c r="Q1011" s="79">
        <f>Q1010/12</f>
        <v>1</v>
      </c>
      <c r="R1011" s="79">
        <f>R1010/12</f>
        <v>1</v>
      </c>
      <c r="S1011" s="79">
        <f>S1010/12</f>
        <v>86402</v>
      </c>
      <c r="T1011" s="79">
        <f>T1010/12</f>
        <v>165</v>
      </c>
      <c r="U1011" s="79">
        <f t="shared" ref="U1011:Z1011" si="454">U1010/12</f>
        <v>905</v>
      </c>
      <c r="V1011" s="79">
        <f t="shared" si="454"/>
        <v>0</v>
      </c>
      <c r="W1011" s="79">
        <f t="shared" si="454"/>
        <v>0</v>
      </c>
      <c r="X1011" s="175">
        <f t="shared" si="454"/>
        <v>0</v>
      </c>
      <c r="Y1011" s="175">
        <f t="shared" si="454"/>
        <v>0</v>
      </c>
      <c r="Z1011" s="175">
        <f t="shared" si="454"/>
        <v>0</v>
      </c>
      <c r="AA1011" s="175">
        <f t="shared" si="451"/>
        <v>500110.83333333337</v>
      </c>
      <c r="AB1011" s="176" t="str">
        <f t="shared" si="452"/>
        <v>ok</v>
      </c>
    </row>
    <row r="1012" spans="1:28" s="174" customFormat="1">
      <c r="A1012" s="60" t="s">
        <v>129</v>
      </c>
      <c r="B1012" s="60"/>
      <c r="C1012" s="60"/>
      <c r="D1012" s="60"/>
      <c r="E1012" s="60"/>
      <c r="F1012" s="79">
        <v>500110.83333333337</v>
      </c>
      <c r="G1012" s="112">
        <f>G1011</f>
        <v>364109.16666666669</v>
      </c>
      <c r="H1012" s="112">
        <f t="shared" ref="H1012:M1012" si="455">H1011</f>
        <v>45237</v>
      </c>
      <c r="I1012" s="112">
        <f t="shared" si="455"/>
        <v>0</v>
      </c>
      <c r="J1012" s="112">
        <f t="shared" si="455"/>
        <v>72</v>
      </c>
      <c r="K1012" s="112">
        <f t="shared" si="455"/>
        <v>2824.1666666666665</v>
      </c>
      <c r="L1012" s="112">
        <f t="shared" si="455"/>
        <v>0</v>
      </c>
      <c r="M1012" s="112">
        <f t="shared" si="455"/>
        <v>0</v>
      </c>
      <c r="N1012" s="112">
        <f t="shared" ref="N1012:T1012" si="456">N1011</f>
        <v>105.5</v>
      </c>
      <c r="O1012" s="112">
        <f>O1011</f>
        <v>276</v>
      </c>
      <c r="P1012" s="112">
        <f t="shared" si="456"/>
        <v>13</v>
      </c>
      <c r="Q1012" s="112">
        <f t="shared" si="456"/>
        <v>1</v>
      </c>
      <c r="R1012" s="112">
        <f t="shared" si="456"/>
        <v>1</v>
      </c>
      <c r="S1012" s="112">
        <f t="shared" si="456"/>
        <v>86402</v>
      </c>
      <c r="T1012" s="112">
        <f t="shared" si="456"/>
        <v>165</v>
      </c>
      <c r="U1012" s="112">
        <f t="shared" ref="U1012:Z1013" si="457">U1011</f>
        <v>905</v>
      </c>
      <c r="V1012" s="112">
        <f t="shared" si="457"/>
        <v>0</v>
      </c>
      <c r="W1012" s="112">
        <f t="shared" si="457"/>
        <v>0</v>
      </c>
      <c r="X1012" s="179">
        <f t="shared" si="457"/>
        <v>0</v>
      </c>
      <c r="Y1012" s="179">
        <f t="shared" si="457"/>
        <v>0</v>
      </c>
      <c r="Z1012" s="179">
        <f t="shared" si="457"/>
        <v>0</v>
      </c>
      <c r="AA1012" s="175">
        <f t="shared" si="451"/>
        <v>500110.83333333337</v>
      </c>
      <c r="AB1012" s="176" t="str">
        <f t="shared" si="452"/>
        <v>ok</v>
      </c>
    </row>
    <row r="1013" spans="1:28" s="174" customFormat="1">
      <c r="A1013" s="60" t="s">
        <v>1327</v>
      </c>
      <c r="B1013" s="60"/>
      <c r="C1013" s="60"/>
      <c r="D1013" s="60" t="s">
        <v>156</v>
      </c>
      <c r="E1013" s="60"/>
      <c r="F1013" s="79">
        <v>488655.61111111112</v>
      </c>
      <c r="G1013" s="112">
        <f>G1012</f>
        <v>364109.16666666669</v>
      </c>
      <c r="H1013" s="112">
        <f>H1012*2</f>
        <v>90474</v>
      </c>
      <c r="I1013" s="112">
        <f>I1012*2</f>
        <v>0</v>
      </c>
      <c r="J1013" s="112">
        <f>J1012*5</f>
        <v>360</v>
      </c>
      <c r="K1013" s="112">
        <f>K1012*5</f>
        <v>14120.833333333332</v>
      </c>
      <c r="L1013" s="112">
        <f>L1012*25</f>
        <v>0</v>
      </c>
      <c r="M1013" s="112">
        <f>M1012*25</f>
        <v>0</v>
      </c>
      <c r="N1013" s="112">
        <f>N1012*25</f>
        <v>2637.5</v>
      </c>
      <c r="O1013" s="112">
        <f>O1012*25</f>
        <v>6900</v>
      </c>
      <c r="P1013" s="112">
        <f>P1012*25</f>
        <v>325</v>
      </c>
      <c r="Q1013" s="112">
        <f>Q1012*5</f>
        <v>5</v>
      </c>
      <c r="R1013" s="112">
        <f>R1012*5</f>
        <v>5</v>
      </c>
      <c r="S1013" s="112">
        <f>S1012*(1/9)</f>
        <v>9600.2222222222208</v>
      </c>
      <c r="T1013" s="112">
        <f>T1012*(1/9)</f>
        <v>18.333333333333332</v>
      </c>
      <c r="U1013" s="112">
        <f>U1012*(1/9)</f>
        <v>100.55555555555554</v>
      </c>
      <c r="V1013" s="112">
        <f t="shared" si="457"/>
        <v>0</v>
      </c>
      <c r="W1013" s="112">
        <f t="shared" si="457"/>
        <v>0</v>
      </c>
      <c r="X1013" s="179">
        <f t="shared" si="457"/>
        <v>0</v>
      </c>
      <c r="Y1013" s="179">
        <f t="shared" si="457"/>
        <v>0</v>
      </c>
      <c r="Z1013" s="179">
        <f t="shared" si="457"/>
        <v>0</v>
      </c>
      <c r="AA1013" s="175">
        <f t="shared" si="451"/>
        <v>488655.61111111112</v>
      </c>
      <c r="AB1013" s="176" t="str">
        <f t="shared" si="452"/>
        <v>ok</v>
      </c>
    </row>
    <row r="1014" spans="1:28" s="174" customFormat="1">
      <c r="A1014" s="60" t="s">
        <v>1086</v>
      </c>
      <c r="B1014" s="60"/>
      <c r="C1014" s="60"/>
      <c r="D1014" s="60" t="s">
        <v>132</v>
      </c>
      <c r="E1014" s="60"/>
      <c r="F1014" s="79">
        <v>86402</v>
      </c>
      <c r="G1014" s="60"/>
      <c r="H1014" s="60"/>
      <c r="I1014" s="60"/>
      <c r="J1014" s="60"/>
      <c r="K1014" s="112"/>
      <c r="L1014" s="79">
        <v>0</v>
      </c>
      <c r="M1014" s="60"/>
      <c r="N1014" s="112">
        <v>0</v>
      </c>
      <c r="O1014" s="112">
        <v>0</v>
      </c>
      <c r="P1014" s="112">
        <v>0</v>
      </c>
      <c r="Q1014" s="112">
        <v>0</v>
      </c>
      <c r="R1014" s="112">
        <v>0</v>
      </c>
      <c r="S1014" s="112">
        <f>S1011</f>
        <v>86402</v>
      </c>
      <c r="T1014" s="112"/>
      <c r="U1014" s="112"/>
      <c r="V1014" s="112"/>
      <c r="W1014" s="112"/>
      <c r="X1014" s="179"/>
      <c r="Y1014" s="179"/>
      <c r="Z1014" s="179"/>
      <c r="AA1014" s="175">
        <f t="shared" si="451"/>
        <v>86402</v>
      </c>
      <c r="AB1014" s="176" t="str">
        <f t="shared" si="452"/>
        <v>ok</v>
      </c>
    </row>
    <row r="1015" spans="1:28" s="174" customFormat="1">
      <c r="A1015" s="60" t="s">
        <v>155</v>
      </c>
      <c r="B1015" s="60"/>
      <c r="C1015" s="60"/>
      <c r="D1015" s="60" t="s">
        <v>131</v>
      </c>
      <c r="E1015" s="60"/>
      <c r="F1015" s="79">
        <v>500110.83333333337</v>
      </c>
      <c r="G1015" s="112">
        <f>G1012</f>
        <v>364109.16666666669</v>
      </c>
      <c r="H1015" s="112">
        <f>H1012</f>
        <v>45237</v>
      </c>
      <c r="I1015" s="112">
        <f>I1012</f>
        <v>0</v>
      </c>
      <c r="J1015" s="112">
        <f>J1012</f>
        <v>72</v>
      </c>
      <c r="K1015" s="112">
        <f t="shared" ref="K1015:W1015" si="458">K1012</f>
        <v>2824.1666666666665</v>
      </c>
      <c r="L1015" s="112">
        <f t="shared" si="458"/>
        <v>0</v>
      </c>
      <c r="M1015" s="112">
        <f t="shared" si="458"/>
        <v>0</v>
      </c>
      <c r="N1015" s="112">
        <f t="shared" si="458"/>
        <v>105.5</v>
      </c>
      <c r="O1015" s="112">
        <f>O1012</f>
        <v>276</v>
      </c>
      <c r="P1015" s="112">
        <f t="shared" si="458"/>
        <v>13</v>
      </c>
      <c r="Q1015" s="112">
        <f t="shared" si="458"/>
        <v>1</v>
      </c>
      <c r="R1015" s="112">
        <f t="shared" si="458"/>
        <v>1</v>
      </c>
      <c r="S1015" s="112">
        <f t="shared" si="458"/>
        <v>86402</v>
      </c>
      <c r="T1015" s="112">
        <f t="shared" si="458"/>
        <v>165</v>
      </c>
      <c r="U1015" s="112">
        <f t="shared" si="458"/>
        <v>905</v>
      </c>
      <c r="V1015" s="112">
        <f t="shared" si="458"/>
        <v>0</v>
      </c>
      <c r="W1015" s="112">
        <f t="shared" si="458"/>
        <v>0</v>
      </c>
      <c r="X1015" s="179">
        <f>X1013</f>
        <v>0</v>
      </c>
      <c r="Y1015" s="179">
        <f>Y1013</f>
        <v>0</v>
      </c>
      <c r="Z1015" s="179">
        <f>Z1013</f>
        <v>0</v>
      </c>
      <c r="AA1015" s="175">
        <f t="shared" si="451"/>
        <v>500110.83333333337</v>
      </c>
      <c r="AB1015" s="176" t="str">
        <f t="shared" si="452"/>
        <v>ok</v>
      </c>
    </row>
    <row r="1016" spans="1:28" s="174" customFormat="1">
      <c r="A1016" s="60" t="s">
        <v>1328</v>
      </c>
      <c r="B1016" s="60"/>
      <c r="C1016" s="60"/>
      <c r="D1016" s="60" t="s">
        <v>157</v>
      </c>
      <c r="E1016" s="60"/>
      <c r="F1016" s="79">
        <v>422357.9444444445</v>
      </c>
      <c r="G1016" s="112">
        <f>G1012</f>
        <v>364109.16666666669</v>
      </c>
      <c r="H1016" s="112">
        <f t="shared" ref="H1016:N1016" si="459">H1012</f>
        <v>45237</v>
      </c>
      <c r="I1016" s="112">
        <f t="shared" si="459"/>
        <v>0</v>
      </c>
      <c r="J1016" s="112">
        <f t="shared" si="459"/>
        <v>72</v>
      </c>
      <c r="K1016" s="112">
        <f t="shared" si="459"/>
        <v>2824.1666666666665</v>
      </c>
      <c r="L1016" s="112">
        <f t="shared" si="459"/>
        <v>0</v>
      </c>
      <c r="M1016" s="112">
        <f t="shared" si="459"/>
        <v>0</v>
      </c>
      <c r="N1016" s="112">
        <f t="shared" si="459"/>
        <v>105.5</v>
      </c>
      <c r="O1016" s="112">
        <f>O1015</f>
        <v>276</v>
      </c>
      <c r="P1016" s="112">
        <f>P1015</f>
        <v>13</v>
      </c>
      <c r="Q1016" s="112">
        <f t="shared" ref="Q1016:W1016" si="460">Q1015</f>
        <v>1</v>
      </c>
      <c r="R1016" s="112">
        <f t="shared" si="460"/>
        <v>1</v>
      </c>
      <c r="S1016" s="112">
        <f>S1015/9</f>
        <v>9600.2222222222226</v>
      </c>
      <c r="T1016" s="112">
        <f>T1015/9</f>
        <v>18.333333333333332</v>
      </c>
      <c r="U1016" s="112">
        <f>U1015/9</f>
        <v>100.55555555555556</v>
      </c>
      <c r="V1016" s="112">
        <f t="shared" si="460"/>
        <v>0</v>
      </c>
      <c r="W1016" s="112">
        <f t="shared" si="460"/>
        <v>0</v>
      </c>
      <c r="X1016" s="179"/>
      <c r="Y1016" s="179"/>
      <c r="Z1016" s="179"/>
      <c r="AA1016" s="175">
        <f t="shared" si="451"/>
        <v>422357.9444444445</v>
      </c>
      <c r="AB1016" s="176" t="str">
        <f t="shared" si="452"/>
        <v>ok</v>
      </c>
    </row>
    <row r="1017" spans="1:28" s="174" customFormat="1">
      <c r="A1017" s="60" t="s">
        <v>877</v>
      </c>
      <c r="B1017" s="60"/>
      <c r="C1017" s="60"/>
      <c r="D1017" s="60" t="s">
        <v>697</v>
      </c>
      <c r="E1017" s="60"/>
      <c r="F1017" s="79">
        <v>419065.27777777781</v>
      </c>
      <c r="G1017" s="112">
        <f>G1016</f>
        <v>364109.16666666669</v>
      </c>
      <c r="H1017" s="112">
        <f>H1016</f>
        <v>45237</v>
      </c>
      <c r="I1017" s="112">
        <f>I1016</f>
        <v>0</v>
      </c>
      <c r="J1017" s="112">
        <v>0</v>
      </c>
      <c r="K1017" s="112">
        <v>0</v>
      </c>
      <c r="L1017" s="112">
        <v>0</v>
      </c>
      <c r="M1017" s="112">
        <v>0</v>
      </c>
      <c r="N1017" s="112">
        <v>0</v>
      </c>
      <c r="O1017" s="112">
        <v>0</v>
      </c>
      <c r="P1017" s="112">
        <v>0</v>
      </c>
      <c r="Q1017" s="112">
        <v>0</v>
      </c>
      <c r="R1017" s="112">
        <v>0</v>
      </c>
      <c r="S1017" s="112">
        <f>S1015/9</f>
        <v>9600.2222222222226</v>
      </c>
      <c r="T1017" s="112">
        <f>T1015/9</f>
        <v>18.333333333333332</v>
      </c>
      <c r="U1017" s="112">
        <f>U1015/9</f>
        <v>100.55555555555556</v>
      </c>
      <c r="V1017" s="112">
        <v>0</v>
      </c>
      <c r="W1017" s="112">
        <f>W1016</f>
        <v>0</v>
      </c>
      <c r="X1017" s="179"/>
      <c r="Y1017" s="179"/>
      <c r="Z1017" s="179"/>
      <c r="AA1017" s="175">
        <f>SUM(G1017:Z1017)</f>
        <v>419065.27777777781</v>
      </c>
      <c r="AB1017" s="176" t="str">
        <f t="shared" si="452"/>
        <v>ok</v>
      </c>
    </row>
    <row r="1018" spans="1:28" s="174" customFormat="1">
      <c r="A1018" s="60" t="s">
        <v>878</v>
      </c>
      <c r="B1018" s="60"/>
      <c r="C1018" s="60"/>
      <c r="D1018" s="60" t="s">
        <v>698</v>
      </c>
      <c r="E1018" s="60"/>
      <c r="F1018" s="79">
        <v>422344.9444444445</v>
      </c>
      <c r="G1018" s="112">
        <f>G1015</f>
        <v>364109.16666666669</v>
      </c>
      <c r="H1018" s="112">
        <f t="shared" ref="H1018:R1018" si="461">H1015</f>
        <v>45237</v>
      </c>
      <c r="I1018" s="112">
        <f t="shared" si="461"/>
        <v>0</v>
      </c>
      <c r="J1018" s="112">
        <f t="shared" si="461"/>
        <v>72</v>
      </c>
      <c r="K1018" s="112">
        <f t="shared" si="461"/>
        <v>2824.1666666666665</v>
      </c>
      <c r="L1018" s="112">
        <f t="shared" si="461"/>
        <v>0</v>
      </c>
      <c r="M1018" s="112">
        <f t="shared" si="461"/>
        <v>0</v>
      </c>
      <c r="N1018" s="112">
        <f t="shared" si="461"/>
        <v>105.5</v>
      </c>
      <c r="O1018" s="112">
        <f t="shared" si="461"/>
        <v>276</v>
      </c>
      <c r="P1018" s="112">
        <v>0</v>
      </c>
      <c r="Q1018" s="112">
        <f t="shared" si="461"/>
        <v>1</v>
      </c>
      <c r="R1018" s="112">
        <f t="shared" si="461"/>
        <v>1</v>
      </c>
      <c r="S1018" s="112">
        <f>S1015/9</f>
        <v>9600.2222222222226</v>
      </c>
      <c r="T1018" s="112">
        <f>T1015/9</f>
        <v>18.333333333333332</v>
      </c>
      <c r="U1018" s="112">
        <f>U1015/9</f>
        <v>100.55555555555556</v>
      </c>
      <c r="V1018" s="112">
        <f>V1015</f>
        <v>0</v>
      </c>
      <c r="W1018" s="112">
        <f>W1015</f>
        <v>0</v>
      </c>
      <c r="X1018" s="179">
        <f>X1017</f>
        <v>0</v>
      </c>
      <c r="Y1018" s="179">
        <f>Y1017</f>
        <v>0</v>
      </c>
      <c r="Z1018" s="179">
        <f>Z1017</f>
        <v>0</v>
      </c>
      <c r="AA1018" s="175">
        <f>SUM(G1018:Z1018)</f>
        <v>422344.9444444445</v>
      </c>
      <c r="AB1018" s="176" t="str">
        <f t="shared" si="452"/>
        <v>ok</v>
      </c>
    </row>
    <row r="1019" spans="1:28" s="174" customFormat="1">
      <c r="A1019" s="60" t="s">
        <v>1333</v>
      </c>
      <c r="B1019" s="60"/>
      <c r="C1019" s="60"/>
      <c r="D1019" s="60" t="s">
        <v>1334</v>
      </c>
      <c r="E1019" s="60"/>
      <c r="F1019" s="79">
        <v>422165.4444444445</v>
      </c>
      <c r="G1019" s="112">
        <f>G1018</f>
        <v>364109.16666666669</v>
      </c>
      <c r="H1019" s="112">
        <f>H1018</f>
        <v>45237</v>
      </c>
      <c r="I1019" s="112">
        <f>I1018</f>
        <v>0</v>
      </c>
      <c r="J1019" s="112"/>
      <c r="K1019" s="112">
        <f>K1018</f>
        <v>2824.1666666666665</v>
      </c>
      <c r="L1019" s="112"/>
      <c r="M1019" s="112"/>
      <c r="N1019" s="112"/>
      <c r="O1019" s="112">
        <f>O1018</f>
        <v>276</v>
      </c>
      <c r="P1019" s="112"/>
      <c r="Q1019" s="112"/>
      <c r="R1019" s="112"/>
      <c r="S1019" s="112">
        <f>S1018</f>
        <v>9600.2222222222226</v>
      </c>
      <c r="T1019" s="112">
        <f>T1018</f>
        <v>18.333333333333332</v>
      </c>
      <c r="U1019" s="112">
        <f>U1018</f>
        <v>100.55555555555556</v>
      </c>
      <c r="V1019" s="112"/>
      <c r="W1019" s="112"/>
      <c r="X1019" s="179"/>
      <c r="Y1019" s="179"/>
      <c r="Z1019" s="179"/>
      <c r="AA1019" s="175">
        <f>SUM(G1019:Z1019)</f>
        <v>422165.4444444445</v>
      </c>
      <c r="AB1019" s="176" t="str">
        <f>IF(ABS(F1019-AA1019)&lt;0.01,"ok","err")</f>
        <v>ok</v>
      </c>
    </row>
    <row r="1020" spans="1:28" s="174" customFormat="1">
      <c r="A1020" s="60"/>
      <c r="B1020" s="60"/>
      <c r="C1020" s="60"/>
      <c r="D1020" s="60"/>
      <c r="E1020" s="60"/>
      <c r="F1020" s="79"/>
      <c r="G1020" s="112"/>
      <c r="H1020" s="112"/>
      <c r="I1020" s="112"/>
      <c r="J1020" s="112"/>
      <c r="K1020" s="112"/>
      <c r="L1020" s="112"/>
      <c r="M1020" s="112"/>
      <c r="N1020" s="112"/>
      <c r="O1020" s="112"/>
      <c r="P1020" s="112"/>
      <c r="Q1020" s="112"/>
      <c r="R1020" s="112"/>
      <c r="S1020" s="112"/>
      <c r="T1020" s="112"/>
      <c r="U1020" s="112"/>
      <c r="V1020" s="112"/>
      <c r="W1020" s="112"/>
      <c r="X1020" s="179"/>
      <c r="Y1020" s="179"/>
      <c r="Z1020" s="179"/>
      <c r="AA1020" s="175"/>
      <c r="AB1020" s="176"/>
    </row>
    <row r="1021" spans="1:28" s="174" customFormat="1" ht="15">
      <c r="A1021" s="65" t="s">
        <v>889</v>
      </c>
      <c r="B1021" s="60"/>
      <c r="C1021" s="60"/>
      <c r="D1021" s="60"/>
      <c r="E1021" s="60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  <c r="V1021" s="79"/>
      <c r="W1021" s="79"/>
      <c r="X1021" s="175"/>
      <c r="Y1021" s="175"/>
      <c r="Z1021" s="175"/>
      <c r="AA1021" s="175"/>
      <c r="AB1021" s="176"/>
    </row>
    <row r="1022" spans="1:28" s="174" customFormat="1">
      <c r="A1022" s="60" t="s">
        <v>1331</v>
      </c>
      <c r="B1022" s="60"/>
      <c r="C1022" s="60"/>
      <c r="D1022" s="60"/>
      <c r="E1022" s="60"/>
      <c r="F1022" s="79">
        <v>500110.83333333337</v>
      </c>
      <c r="G1022" s="79">
        <f>G1011</f>
        <v>364109.16666666669</v>
      </c>
      <c r="H1022" s="79">
        <f t="shared" ref="H1022:R1022" si="462">H1011</f>
        <v>45237</v>
      </c>
      <c r="I1022" s="79">
        <f t="shared" si="462"/>
        <v>0</v>
      </c>
      <c r="J1022" s="79">
        <f t="shared" si="462"/>
        <v>72</v>
      </c>
      <c r="K1022" s="79">
        <f t="shared" si="462"/>
        <v>2824.1666666666665</v>
      </c>
      <c r="L1022" s="79">
        <f t="shared" si="462"/>
        <v>0</v>
      </c>
      <c r="M1022" s="79">
        <f t="shared" si="462"/>
        <v>0</v>
      </c>
      <c r="N1022" s="79">
        <f t="shared" si="462"/>
        <v>105.5</v>
      </c>
      <c r="O1022" s="79">
        <f t="shared" si="462"/>
        <v>276</v>
      </c>
      <c r="P1022" s="79">
        <f t="shared" si="462"/>
        <v>13</v>
      </c>
      <c r="Q1022" s="79">
        <f t="shared" si="462"/>
        <v>1</v>
      </c>
      <c r="R1022" s="79">
        <f t="shared" si="462"/>
        <v>1</v>
      </c>
      <c r="S1022" s="79">
        <f>S1011</f>
        <v>86402</v>
      </c>
      <c r="T1022" s="79">
        <f>T1011</f>
        <v>165</v>
      </c>
      <c r="U1022" s="79">
        <f>U1011</f>
        <v>905</v>
      </c>
      <c r="V1022" s="79">
        <v>0</v>
      </c>
      <c r="W1022" s="79">
        <v>0</v>
      </c>
      <c r="X1022" s="175">
        <v>0</v>
      </c>
      <c r="Y1022" s="175">
        <v>0</v>
      </c>
      <c r="Z1022" s="175">
        <v>0</v>
      </c>
      <c r="AA1022" s="175">
        <f t="shared" ref="AA1022:AA1027" si="463">SUM(G1022:Z1022)</f>
        <v>500110.83333333337</v>
      </c>
      <c r="AB1022" s="176" t="str">
        <f t="shared" ref="AB1022:AB1029" si="464">IF(ABS(F1022-AA1022)&lt;0.01,"ok","err")</f>
        <v>ok</v>
      </c>
    </row>
    <row r="1023" spans="1:28" s="174" customFormat="1">
      <c r="A1023" s="60" t="s">
        <v>1353</v>
      </c>
      <c r="B1023" s="60"/>
      <c r="C1023" s="60"/>
      <c r="D1023" s="60"/>
      <c r="E1023" s="60"/>
      <c r="F1023" s="79">
        <v>422349.03333333338</v>
      </c>
      <c r="G1023" s="112">
        <f>G1022</f>
        <v>364109.16666666669</v>
      </c>
      <c r="H1023" s="112">
        <f t="shared" ref="H1023:U1023" si="465">H1022</f>
        <v>45237</v>
      </c>
      <c r="I1023" s="112">
        <f t="shared" si="465"/>
        <v>0</v>
      </c>
      <c r="J1023" s="112">
        <f t="shared" si="465"/>
        <v>72</v>
      </c>
      <c r="K1023" s="112">
        <f t="shared" si="465"/>
        <v>2824.1666666666665</v>
      </c>
      <c r="L1023" s="112">
        <f t="shared" si="465"/>
        <v>0</v>
      </c>
      <c r="M1023" s="112">
        <f t="shared" si="465"/>
        <v>0</v>
      </c>
      <c r="N1023" s="112">
        <f t="shared" si="465"/>
        <v>105.5</v>
      </c>
      <c r="O1023" s="112">
        <f t="shared" si="465"/>
        <v>276</v>
      </c>
      <c r="P1023" s="112">
        <f t="shared" si="465"/>
        <v>13</v>
      </c>
      <c r="Q1023" s="112">
        <f t="shared" si="465"/>
        <v>1</v>
      </c>
      <c r="R1023" s="112">
        <f t="shared" si="465"/>
        <v>1</v>
      </c>
      <c r="S1023" s="112">
        <f>S1022/10</f>
        <v>8640.2000000000007</v>
      </c>
      <c r="T1023" s="112">
        <f t="shared" si="465"/>
        <v>165</v>
      </c>
      <c r="U1023" s="112">
        <f t="shared" si="465"/>
        <v>905</v>
      </c>
      <c r="V1023" s="112">
        <f t="shared" ref="V1023:Z1024" si="466">V1022</f>
        <v>0</v>
      </c>
      <c r="W1023" s="112">
        <f t="shared" si="466"/>
        <v>0</v>
      </c>
      <c r="X1023" s="179">
        <f t="shared" si="466"/>
        <v>0</v>
      </c>
      <c r="Y1023" s="179">
        <f t="shared" si="466"/>
        <v>0</v>
      </c>
      <c r="Z1023" s="179">
        <f t="shared" si="466"/>
        <v>0</v>
      </c>
      <c r="AA1023" s="175">
        <f t="shared" si="463"/>
        <v>422349.03333333338</v>
      </c>
      <c r="AB1023" s="176" t="str">
        <f t="shared" si="464"/>
        <v>ok</v>
      </c>
    </row>
    <row r="1024" spans="1:28" s="174" customFormat="1">
      <c r="A1024" s="60" t="s">
        <v>1332</v>
      </c>
      <c r="B1024" s="60"/>
      <c r="C1024" s="60"/>
      <c r="D1024" s="60"/>
      <c r="E1024" s="60"/>
      <c r="F1024" s="79">
        <v>487695.58888888889</v>
      </c>
      <c r="G1024" s="112">
        <f>G1013</f>
        <v>364109.16666666669</v>
      </c>
      <c r="H1024" s="112">
        <f>H1023*2</f>
        <v>90474</v>
      </c>
      <c r="I1024" s="112">
        <f>I1023*2</f>
        <v>0</v>
      </c>
      <c r="J1024" s="112">
        <f>J1023*5</f>
        <v>360</v>
      </c>
      <c r="K1024" s="112">
        <f>K1023*5</f>
        <v>14120.833333333332</v>
      </c>
      <c r="L1024" s="112">
        <f>L1023*25</f>
        <v>0</v>
      </c>
      <c r="M1024" s="112">
        <f>M1023*25</f>
        <v>0</v>
      </c>
      <c r="N1024" s="112">
        <f>N1023*25</f>
        <v>2637.5</v>
      </c>
      <c r="O1024" s="112">
        <f>O1023*25</f>
        <v>6900</v>
      </c>
      <c r="P1024" s="112">
        <f>P1023*25</f>
        <v>325</v>
      </c>
      <c r="Q1024" s="112">
        <f>Q1023*5</f>
        <v>5</v>
      </c>
      <c r="R1024" s="112">
        <f>R1023*5</f>
        <v>5</v>
      </c>
      <c r="S1024" s="112">
        <f>S1023</f>
        <v>8640.2000000000007</v>
      </c>
      <c r="T1024" s="112">
        <f>T1023*1/9</f>
        <v>18.333333333333332</v>
      </c>
      <c r="U1024" s="112">
        <f>U1023*1/9</f>
        <v>100.55555555555556</v>
      </c>
      <c r="V1024" s="112">
        <f t="shared" si="466"/>
        <v>0</v>
      </c>
      <c r="W1024" s="112">
        <f t="shared" si="466"/>
        <v>0</v>
      </c>
      <c r="X1024" s="179">
        <f t="shared" si="466"/>
        <v>0</v>
      </c>
      <c r="Y1024" s="179">
        <f t="shared" si="466"/>
        <v>0</v>
      </c>
      <c r="Z1024" s="179">
        <f t="shared" si="466"/>
        <v>0</v>
      </c>
      <c r="AA1024" s="175">
        <f t="shared" si="463"/>
        <v>487695.58888888889</v>
      </c>
      <c r="AB1024" s="176" t="str">
        <f t="shared" si="464"/>
        <v>ok</v>
      </c>
    </row>
    <row r="1025" spans="1:29" s="174" customFormat="1">
      <c r="A1025" s="111" t="s">
        <v>629</v>
      </c>
      <c r="B1025" s="60"/>
      <c r="C1025" s="60"/>
      <c r="D1025" s="60"/>
      <c r="E1025" s="60"/>
      <c r="F1025" s="112">
        <v>99670957.681538463</v>
      </c>
      <c r="G1025" s="60"/>
      <c r="H1025" s="60"/>
      <c r="I1025" s="60"/>
      <c r="J1025" s="60"/>
      <c r="K1025" s="112"/>
      <c r="L1025" s="79">
        <v>0</v>
      </c>
      <c r="M1025" s="60"/>
      <c r="N1025" s="112">
        <v>0</v>
      </c>
      <c r="O1025" s="112">
        <v>0</v>
      </c>
      <c r="P1025" s="112">
        <v>0</v>
      </c>
      <c r="Q1025" s="112">
        <v>0</v>
      </c>
      <c r="R1025" s="112">
        <v>0</v>
      </c>
      <c r="S1025" s="112">
        <f>F1025</f>
        <v>99670957.681538463</v>
      </c>
      <c r="T1025" s="112">
        <v>0</v>
      </c>
      <c r="U1025" s="112">
        <v>0</v>
      </c>
      <c r="V1025" s="112">
        <v>0</v>
      </c>
      <c r="W1025" s="112">
        <v>0</v>
      </c>
      <c r="X1025" s="179"/>
      <c r="Y1025" s="179"/>
      <c r="Z1025" s="179"/>
      <c r="AA1025" s="175">
        <f t="shared" si="463"/>
        <v>99670957.681538463</v>
      </c>
      <c r="AB1025" s="176" t="str">
        <f t="shared" si="464"/>
        <v>ok</v>
      </c>
    </row>
    <row r="1026" spans="1:29" s="174" customFormat="1">
      <c r="A1026" s="60" t="s">
        <v>155</v>
      </c>
      <c r="B1026" s="60"/>
      <c r="C1026" s="60"/>
      <c r="D1026" s="60"/>
      <c r="E1026" s="60"/>
      <c r="F1026" s="79">
        <v>500110.83333333337</v>
      </c>
      <c r="G1026" s="112">
        <f>G1022</f>
        <v>364109.16666666669</v>
      </c>
      <c r="H1026" s="112">
        <f>H1023</f>
        <v>45237</v>
      </c>
      <c r="I1026" s="112">
        <f>I1023</f>
        <v>0</v>
      </c>
      <c r="J1026" s="112">
        <f>J1023</f>
        <v>72</v>
      </c>
      <c r="K1026" s="112">
        <f t="shared" ref="K1026:W1026" si="467">K1023</f>
        <v>2824.1666666666665</v>
      </c>
      <c r="L1026" s="112">
        <f t="shared" si="467"/>
        <v>0</v>
      </c>
      <c r="M1026" s="112">
        <f t="shared" si="467"/>
        <v>0</v>
      </c>
      <c r="N1026" s="112">
        <f t="shared" si="467"/>
        <v>105.5</v>
      </c>
      <c r="O1026" s="112">
        <f>O1023</f>
        <v>276</v>
      </c>
      <c r="P1026" s="112">
        <f t="shared" si="467"/>
        <v>13</v>
      </c>
      <c r="Q1026" s="112">
        <f t="shared" si="467"/>
        <v>1</v>
      </c>
      <c r="R1026" s="112">
        <f t="shared" si="467"/>
        <v>1</v>
      </c>
      <c r="S1026" s="112">
        <f>S1022</f>
        <v>86402</v>
      </c>
      <c r="T1026" s="112">
        <f t="shared" si="467"/>
        <v>165</v>
      </c>
      <c r="U1026" s="112">
        <f t="shared" si="467"/>
        <v>905</v>
      </c>
      <c r="V1026" s="112">
        <f t="shared" si="467"/>
        <v>0</v>
      </c>
      <c r="W1026" s="112">
        <f t="shared" si="467"/>
        <v>0</v>
      </c>
      <c r="X1026" s="179">
        <f>X1024</f>
        <v>0</v>
      </c>
      <c r="Y1026" s="179">
        <f>Y1024</f>
        <v>0</v>
      </c>
      <c r="Z1026" s="179">
        <f>Z1024</f>
        <v>0</v>
      </c>
      <c r="AA1026" s="175">
        <f t="shared" si="463"/>
        <v>500110.83333333337</v>
      </c>
      <c r="AB1026" s="176" t="str">
        <f t="shared" si="464"/>
        <v>ok</v>
      </c>
    </row>
    <row r="1027" spans="1:29" s="174" customFormat="1">
      <c r="A1027" s="60" t="s">
        <v>1354</v>
      </c>
      <c r="B1027" s="60"/>
      <c r="C1027" s="60"/>
      <c r="D1027" s="60"/>
      <c r="E1027" s="60"/>
      <c r="F1027" s="79">
        <v>421397.92222222226</v>
      </c>
      <c r="G1027" s="112">
        <f>G1023</f>
        <v>364109.16666666669</v>
      </c>
      <c r="H1027" s="112">
        <f t="shared" ref="H1027:N1027" si="468">H1023</f>
        <v>45237</v>
      </c>
      <c r="I1027" s="112">
        <f t="shared" si="468"/>
        <v>0</v>
      </c>
      <c r="J1027" s="112">
        <f t="shared" si="468"/>
        <v>72</v>
      </c>
      <c r="K1027" s="112">
        <f t="shared" si="468"/>
        <v>2824.1666666666665</v>
      </c>
      <c r="L1027" s="112">
        <f t="shared" si="468"/>
        <v>0</v>
      </c>
      <c r="M1027" s="112">
        <f t="shared" si="468"/>
        <v>0</v>
      </c>
      <c r="N1027" s="112">
        <f t="shared" si="468"/>
        <v>105.5</v>
      </c>
      <c r="O1027" s="112">
        <f>O1026</f>
        <v>276</v>
      </c>
      <c r="P1027" s="112">
        <f>P1026</f>
        <v>13</v>
      </c>
      <c r="Q1027" s="112">
        <f>Q1026</f>
        <v>1</v>
      </c>
      <c r="R1027" s="112">
        <f>R1026</f>
        <v>1</v>
      </c>
      <c r="S1027" s="112">
        <f>S1026/10</f>
        <v>8640.2000000000007</v>
      </c>
      <c r="T1027" s="112">
        <f>T1026/9</f>
        <v>18.333333333333332</v>
      </c>
      <c r="U1027" s="112">
        <f>U1026/9</f>
        <v>100.55555555555556</v>
      </c>
      <c r="V1027" s="112">
        <f>V1026</f>
        <v>0</v>
      </c>
      <c r="W1027" s="112">
        <f>W1026</f>
        <v>0</v>
      </c>
      <c r="X1027" s="179"/>
      <c r="Y1027" s="179"/>
      <c r="Z1027" s="179"/>
      <c r="AA1027" s="175">
        <f t="shared" si="463"/>
        <v>421397.92222222226</v>
      </c>
      <c r="AB1027" s="176" t="str">
        <f t="shared" si="464"/>
        <v>ok</v>
      </c>
    </row>
    <row r="1028" spans="1:29" s="174" customFormat="1">
      <c r="A1028" s="60" t="s">
        <v>877</v>
      </c>
      <c r="B1028" s="60"/>
      <c r="C1028" s="60"/>
      <c r="D1028" s="60"/>
      <c r="E1028" s="60"/>
      <c r="F1028" s="79">
        <v>421205.42222222226</v>
      </c>
      <c r="G1028" s="112">
        <f>G1027</f>
        <v>364109.16666666669</v>
      </c>
      <c r="H1028" s="112">
        <f>H1027</f>
        <v>45237</v>
      </c>
      <c r="I1028" s="112">
        <f>I1027</f>
        <v>0</v>
      </c>
      <c r="J1028" s="112">
        <v>0</v>
      </c>
      <c r="K1028" s="112">
        <f>K1027</f>
        <v>2824.1666666666665</v>
      </c>
      <c r="L1028" s="112">
        <v>0</v>
      </c>
      <c r="M1028" s="112">
        <v>0</v>
      </c>
      <c r="N1028" s="112">
        <v>0</v>
      </c>
      <c r="O1028" s="112">
        <f>O1027</f>
        <v>276</v>
      </c>
      <c r="P1028" s="112">
        <v>0</v>
      </c>
      <c r="Q1028" s="112">
        <v>0</v>
      </c>
      <c r="R1028" s="112">
        <v>0</v>
      </c>
      <c r="S1028" s="112">
        <f>S1027</f>
        <v>8640.2000000000007</v>
      </c>
      <c r="T1028" s="112">
        <f>T1026/9</f>
        <v>18.333333333333332</v>
      </c>
      <c r="U1028" s="112">
        <f>U1026/9</f>
        <v>100.55555555555556</v>
      </c>
      <c r="V1028" s="112">
        <v>0</v>
      </c>
      <c r="W1028" s="112">
        <f>W1027</f>
        <v>0</v>
      </c>
      <c r="X1028" s="179"/>
      <c r="Y1028" s="179"/>
      <c r="Z1028" s="179"/>
      <c r="AA1028" s="175">
        <f>SUM(G1028:Z1028)</f>
        <v>421205.42222222226</v>
      </c>
      <c r="AB1028" s="176" t="str">
        <f t="shared" si="464"/>
        <v>ok</v>
      </c>
    </row>
    <row r="1029" spans="1:29" s="174" customFormat="1">
      <c r="A1029" s="60" t="s">
        <v>878</v>
      </c>
      <c r="B1029" s="60"/>
      <c r="C1029" s="60"/>
      <c r="D1029" s="60"/>
      <c r="E1029" s="60"/>
      <c r="F1029" s="79">
        <v>421384.92222222226</v>
      </c>
      <c r="G1029" s="112">
        <f>G1027</f>
        <v>364109.16666666669</v>
      </c>
      <c r="H1029" s="112">
        <f t="shared" ref="H1029:Z1029" si="469">+H1022</f>
        <v>45237</v>
      </c>
      <c r="I1029" s="112">
        <f t="shared" si="469"/>
        <v>0</v>
      </c>
      <c r="J1029" s="112">
        <f t="shared" si="469"/>
        <v>72</v>
      </c>
      <c r="K1029" s="112">
        <f t="shared" si="469"/>
        <v>2824.1666666666665</v>
      </c>
      <c r="L1029" s="112">
        <f t="shared" si="469"/>
        <v>0</v>
      </c>
      <c r="M1029" s="112">
        <f t="shared" si="469"/>
        <v>0</v>
      </c>
      <c r="N1029" s="112">
        <f t="shared" si="469"/>
        <v>105.5</v>
      </c>
      <c r="O1029" s="112">
        <f t="shared" si="469"/>
        <v>276</v>
      </c>
      <c r="P1029" s="112">
        <v>0</v>
      </c>
      <c r="Q1029" s="112">
        <f t="shared" si="469"/>
        <v>1</v>
      </c>
      <c r="R1029" s="112">
        <f t="shared" si="469"/>
        <v>1</v>
      </c>
      <c r="S1029" s="112">
        <f>+S1022/10</f>
        <v>8640.2000000000007</v>
      </c>
      <c r="T1029" s="112">
        <f>+T1022/9</f>
        <v>18.333333333333332</v>
      </c>
      <c r="U1029" s="112">
        <f>+U1022/9</f>
        <v>100.55555555555556</v>
      </c>
      <c r="V1029" s="112">
        <f t="shared" si="469"/>
        <v>0</v>
      </c>
      <c r="W1029" s="112">
        <f t="shared" si="469"/>
        <v>0</v>
      </c>
      <c r="X1029" s="179">
        <f t="shared" si="469"/>
        <v>0</v>
      </c>
      <c r="Y1029" s="179">
        <f t="shared" si="469"/>
        <v>0</v>
      </c>
      <c r="Z1029" s="179">
        <f t="shared" si="469"/>
        <v>0</v>
      </c>
      <c r="AA1029" s="175">
        <f>SUM(G1029:Z1029)</f>
        <v>421384.92222222226</v>
      </c>
      <c r="AB1029" s="176" t="str">
        <f t="shared" si="464"/>
        <v>ok</v>
      </c>
    </row>
    <row r="1030" spans="1:29" s="174" customFormat="1">
      <c r="A1030" s="60" t="s">
        <v>1333</v>
      </c>
      <c r="B1030" s="60"/>
      <c r="C1030" s="60"/>
      <c r="D1030" s="60"/>
      <c r="E1030" s="60"/>
      <c r="F1030" s="79">
        <v>422165.4444444445</v>
      </c>
      <c r="G1030" s="112">
        <f>G1019</f>
        <v>364109.16666666669</v>
      </c>
      <c r="H1030" s="112">
        <f t="shared" ref="H1030:U1030" si="470">H1019</f>
        <v>45237</v>
      </c>
      <c r="I1030" s="112">
        <f t="shared" si="470"/>
        <v>0</v>
      </c>
      <c r="J1030" s="112">
        <f t="shared" si="470"/>
        <v>0</v>
      </c>
      <c r="K1030" s="112">
        <f t="shared" si="470"/>
        <v>2824.1666666666665</v>
      </c>
      <c r="L1030" s="112">
        <f t="shared" si="470"/>
        <v>0</v>
      </c>
      <c r="M1030" s="112">
        <f t="shared" si="470"/>
        <v>0</v>
      </c>
      <c r="N1030" s="112">
        <f t="shared" si="470"/>
        <v>0</v>
      </c>
      <c r="O1030" s="112">
        <f t="shared" si="470"/>
        <v>276</v>
      </c>
      <c r="P1030" s="112">
        <f t="shared" si="470"/>
        <v>0</v>
      </c>
      <c r="Q1030" s="112">
        <f t="shared" si="470"/>
        <v>0</v>
      </c>
      <c r="R1030" s="112">
        <f t="shared" si="470"/>
        <v>0</v>
      </c>
      <c r="S1030" s="112">
        <f t="shared" si="470"/>
        <v>9600.2222222222226</v>
      </c>
      <c r="T1030" s="112">
        <f t="shared" si="470"/>
        <v>18.333333333333332</v>
      </c>
      <c r="U1030" s="112">
        <f t="shared" si="470"/>
        <v>100.55555555555556</v>
      </c>
      <c r="V1030" s="112"/>
      <c r="W1030" s="112"/>
      <c r="X1030" s="179"/>
      <c r="Y1030" s="179"/>
      <c r="Z1030" s="179"/>
      <c r="AA1030" s="175">
        <f>SUM(G1030:Z1030)</f>
        <v>422165.4444444445</v>
      </c>
      <c r="AB1030" s="176" t="str">
        <f>IF(ABS(F1030-AA1030)&lt;0.01,"ok","err")</f>
        <v>ok</v>
      </c>
    </row>
    <row r="1031" spans="1:29" s="174" customFormat="1">
      <c r="A1031" s="60"/>
      <c r="B1031" s="60"/>
      <c r="C1031" s="60"/>
      <c r="D1031" s="60"/>
      <c r="E1031" s="60"/>
      <c r="F1031" s="79"/>
      <c r="G1031" s="112"/>
      <c r="H1031" s="112"/>
      <c r="I1031" s="112"/>
      <c r="J1031" s="112"/>
      <c r="K1031" s="112"/>
      <c r="L1031" s="112"/>
      <c r="M1031" s="112"/>
      <c r="N1031" s="112"/>
      <c r="O1031" s="112"/>
      <c r="P1031" s="112"/>
      <c r="Q1031" s="112"/>
      <c r="R1031" s="112"/>
      <c r="S1031" s="112"/>
      <c r="T1031" s="112"/>
      <c r="U1031" s="112"/>
      <c r="V1031" s="112"/>
      <c r="W1031" s="112"/>
      <c r="X1031" s="179"/>
      <c r="Y1031" s="179"/>
      <c r="Z1031" s="179"/>
      <c r="AA1031" s="175"/>
      <c r="AB1031" s="176"/>
    </row>
    <row r="1032" spans="1:29" s="174" customFormat="1" ht="15">
      <c r="A1032" s="59" t="s">
        <v>879</v>
      </c>
      <c r="B1032" s="60"/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</row>
    <row r="1033" spans="1:29" s="174" customFormat="1">
      <c r="A1033" s="60" t="s">
        <v>1365</v>
      </c>
      <c r="B1033" s="60"/>
      <c r="C1033" s="60"/>
      <c r="D1033" s="60" t="s">
        <v>1367</v>
      </c>
      <c r="E1033" s="60"/>
      <c r="F1033" s="79">
        <v>3508847.3591729756</v>
      </c>
      <c r="G1033" s="79">
        <f>'Billing Det'!G8</f>
        <v>1559289.3204656634</v>
      </c>
      <c r="H1033" s="79">
        <f>'Billing Det'!G10</f>
        <v>448837.09044295392</v>
      </c>
      <c r="I1033" s="79">
        <v>0</v>
      </c>
      <c r="J1033" s="79">
        <f>'Billing Det'!G12</f>
        <v>39879.56851315892</v>
      </c>
      <c r="K1033" s="79">
        <f>'Billing Det'!G14</f>
        <v>462866.52612677042</v>
      </c>
      <c r="L1033" s="79">
        <v>0</v>
      </c>
      <c r="M1033" s="79">
        <v>0</v>
      </c>
      <c r="N1033" s="79">
        <f>'Billing Det'!G16</f>
        <v>421067.29567910882</v>
      </c>
      <c r="O1033" s="79">
        <f>'Billing Det'!G18</f>
        <v>250007.66146166611</v>
      </c>
      <c r="P1033" s="79">
        <f>'Billing Det'!G20</f>
        <v>258962.35245895264</v>
      </c>
      <c r="Q1033" s="79">
        <f>'Billing Det'!G22</f>
        <v>26104.545320274483</v>
      </c>
      <c r="R1033" s="79">
        <f>'Billing Det'!G24</f>
        <v>13663.49459080668</v>
      </c>
      <c r="S1033" s="79">
        <f>'Billing Det'!G26</f>
        <v>26916.48368426325</v>
      </c>
      <c r="T1033" s="79">
        <f>'Billing Det'!G28</f>
        <v>860.86684661971549</v>
      </c>
      <c r="U1033" s="79">
        <f>'Billing Det'!G30</f>
        <v>392.15358273782084</v>
      </c>
      <c r="V1033" s="79">
        <v>0</v>
      </c>
      <c r="W1033" s="79">
        <v>0</v>
      </c>
      <c r="X1033" s="175">
        <v>0</v>
      </c>
      <c r="Y1033" s="175">
        <v>0</v>
      </c>
      <c r="Z1033" s="175">
        <v>0</v>
      </c>
      <c r="AA1033" s="175">
        <f>SUM(G1033:Z1033)</f>
        <v>3508847.3591729756</v>
      </c>
      <c r="AB1033" s="176" t="str">
        <f>IF(ABS(F1033-AA1033)&lt;0.01,"ok","err")</f>
        <v>ok</v>
      </c>
      <c r="AC1033" s="179"/>
    </row>
    <row r="1034" spans="1:29" s="174" customFormat="1">
      <c r="A1034" s="60" t="s">
        <v>1366</v>
      </c>
      <c r="B1034" s="60"/>
      <c r="C1034" s="60"/>
      <c r="D1034" s="60" t="s">
        <v>1368</v>
      </c>
      <c r="E1034" s="60"/>
      <c r="F1034" s="79">
        <v>3249885.0067140232</v>
      </c>
      <c r="G1034" s="79">
        <f>'Billing Det'!G8</f>
        <v>1559289.3204656634</v>
      </c>
      <c r="H1034" s="79">
        <f>'Billing Det'!G10</f>
        <v>448837.09044295392</v>
      </c>
      <c r="I1034" s="79">
        <v>0</v>
      </c>
      <c r="J1034" s="79">
        <f>'Billing Det'!G12</f>
        <v>39879.56851315892</v>
      </c>
      <c r="K1034" s="79">
        <f>'Billing Det'!G14</f>
        <v>462866.52612677042</v>
      </c>
      <c r="L1034" s="79">
        <v>0</v>
      </c>
      <c r="M1034" s="79">
        <v>0</v>
      </c>
      <c r="N1034" s="79">
        <f>'Billing Det'!G16</f>
        <v>421067.29567910882</v>
      </c>
      <c r="O1034" s="79">
        <f>'Billing Det'!G18</f>
        <v>250007.66146166611</v>
      </c>
      <c r="P1034" s="79">
        <v>0</v>
      </c>
      <c r="Q1034" s="79">
        <f>'Billing Det'!G22</f>
        <v>26104.545320274483</v>
      </c>
      <c r="R1034" s="79">
        <f>'Billing Det'!G24</f>
        <v>13663.49459080668</v>
      </c>
      <c r="S1034" s="79">
        <f>'Billing Det'!G26</f>
        <v>26916.48368426325</v>
      </c>
      <c r="T1034" s="79">
        <f>'Billing Det'!G28</f>
        <v>860.86684661971549</v>
      </c>
      <c r="U1034" s="79">
        <f>'Billing Det'!G30</f>
        <v>392.15358273782084</v>
      </c>
      <c r="V1034" s="79">
        <v>0</v>
      </c>
      <c r="W1034" s="79">
        <v>0</v>
      </c>
      <c r="X1034" s="175">
        <v>0</v>
      </c>
      <c r="Y1034" s="175">
        <v>0</v>
      </c>
      <c r="Z1034" s="175">
        <v>0</v>
      </c>
      <c r="AA1034" s="175">
        <f>SUM(G1034:Z1034)</f>
        <v>3249885.0067140232</v>
      </c>
      <c r="AB1034" s="176" t="str">
        <f>IF(ABS(F1034-AA1034)&lt;0.01,"ok","err")</f>
        <v>ok</v>
      </c>
      <c r="AC1034" s="179"/>
    </row>
    <row r="1035" spans="1:29" s="168" customFormat="1">
      <c r="A1035" s="60" t="s">
        <v>1335</v>
      </c>
      <c r="B1035" s="60"/>
      <c r="C1035" s="60"/>
      <c r="D1035" s="60" t="s">
        <v>1336</v>
      </c>
      <c r="E1035" s="60"/>
      <c r="F1035" s="79">
        <v>4718835.4705912843</v>
      </c>
      <c r="G1035" s="79">
        <f>'Billing Det'!K8</f>
        <v>3273931.5009418679</v>
      </c>
      <c r="H1035" s="79">
        <f>'Billing Det'!K10</f>
        <v>599114.69817621191</v>
      </c>
      <c r="I1035" s="79">
        <v>0</v>
      </c>
      <c r="J1035" s="79">
        <v>0</v>
      </c>
      <c r="K1035" s="79">
        <f>'Billing Det'!K14</f>
        <v>527644.55780038284</v>
      </c>
      <c r="L1035" s="79">
        <v>0</v>
      </c>
      <c r="M1035" s="79">
        <v>0</v>
      </c>
      <c r="N1035" s="79">
        <v>0</v>
      </c>
      <c r="O1035" s="79">
        <f>'Billing Det'!K18</f>
        <v>289975.20955920167</v>
      </c>
      <c r="P1035" s="79">
        <v>0</v>
      </c>
      <c r="Q1035" s="79">
        <v>0</v>
      </c>
      <c r="R1035" s="79">
        <v>0</v>
      </c>
      <c r="S1035" s="79">
        <f>'Billing Det'!K26</f>
        <v>26916.48368426325</v>
      </c>
      <c r="T1035" s="79">
        <f>'Billing Det'!K28</f>
        <v>860.86684661971549</v>
      </c>
      <c r="U1035" s="79">
        <f>'Billing Det'!K30</f>
        <v>392.15358273782084</v>
      </c>
      <c r="V1035" s="79">
        <v>0</v>
      </c>
      <c r="W1035" s="79">
        <v>0</v>
      </c>
      <c r="X1035" s="164">
        <v>0</v>
      </c>
      <c r="Y1035" s="164">
        <v>0</v>
      </c>
      <c r="Z1035" s="164">
        <v>0</v>
      </c>
      <c r="AA1035" s="164">
        <f>SUM(G1035:Z1035)</f>
        <v>4718835.4705912843</v>
      </c>
      <c r="AB1035" s="167" t="str">
        <f>IF(ABS(F1035-AA1035)&lt;0.01,"ok","err")</f>
        <v>ok</v>
      </c>
    </row>
    <row r="1036" spans="1:29" s="168" customFormat="1">
      <c r="A1036" s="60" t="s">
        <v>677</v>
      </c>
      <c r="B1036" s="60"/>
      <c r="C1036" s="60"/>
      <c r="D1036" s="60" t="s">
        <v>678</v>
      </c>
      <c r="E1036" s="60"/>
      <c r="F1036" s="79">
        <v>3901215.7032317002</v>
      </c>
      <c r="G1036" s="79">
        <f>'Billing Det'!K8</f>
        <v>3273931.5009418679</v>
      </c>
      <c r="H1036" s="79">
        <f>'Billing Det'!K10</f>
        <v>599114.69817621191</v>
      </c>
      <c r="I1036" s="79">
        <v>0</v>
      </c>
      <c r="J1036" s="79">
        <v>0</v>
      </c>
      <c r="K1036" s="79">
        <v>0</v>
      </c>
      <c r="L1036" s="79">
        <v>0</v>
      </c>
      <c r="M1036" s="79">
        <v>0</v>
      </c>
      <c r="N1036" s="79">
        <v>0</v>
      </c>
      <c r="O1036" s="79">
        <v>0</v>
      </c>
      <c r="P1036" s="79">
        <v>0</v>
      </c>
      <c r="Q1036" s="79">
        <v>0</v>
      </c>
      <c r="R1036" s="79">
        <v>0</v>
      </c>
      <c r="S1036" s="79">
        <f>'Billing Det'!K26</f>
        <v>26916.48368426325</v>
      </c>
      <c r="T1036" s="79">
        <f>'Billing Det'!K28</f>
        <v>860.86684661971549</v>
      </c>
      <c r="U1036" s="79">
        <f>'Billing Det'!K30</f>
        <v>392.15358273782084</v>
      </c>
      <c r="V1036" s="79">
        <v>0</v>
      </c>
      <c r="W1036" s="79">
        <v>0</v>
      </c>
      <c r="X1036" s="164">
        <v>0</v>
      </c>
      <c r="Y1036" s="164">
        <v>0</v>
      </c>
      <c r="Z1036" s="164">
        <v>0</v>
      </c>
      <c r="AA1036" s="164">
        <f>SUM(G1036:Z1036)</f>
        <v>3901215.7032317002</v>
      </c>
      <c r="AB1036" s="167" t="str">
        <f>IF(ABS(F1036-AA1036)&lt;0.01,"ok","err")</f>
        <v>ok</v>
      </c>
    </row>
    <row r="1037" spans="1:29" s="168" customFormat="1">
      <c r="A1037" s="60" t="s">
        <v>860</v>
      </c>
      <c r="B1037" s="60"/>
      <c r="C1037" s="60"/>
      <c r="D1037" s="60" t="s">
        <v>177</v>
      </c>
      <c r="E1037" s="60"/>
      <c r="F1037" s="79">
        <v>2733721.1029908364</v>
      </c>
      <c r="G1037" s="79">
        <v>1069021.6735769615</v>
      </c>
      <c r="H1037" s="79">
        <v>386317.95454455458</v>
      </c>
      <c r="I1037" s="79">
        <v>0</v>
      </c>
      <c r="J1037" s="79">
        <v>31860.342849534132</v>
      </c>
      <c r="K1037" s="79">
        <v>449716.42236431479</v>
      </c>
      <c r="L1037" s="79">
        <v>0</v>
      </c>
      <c r="M1037" s="79">
        <v>0</v>
      </c>
      <c r="N1037" s="79">
        <v>340132.15690513782</v>
      </c>
      <c r="O1037" s="79">
        <v>229731.99023415305</v>
      </c>
      <c r="P1037" s="79">
        <v>196715.93398402378</v>
      </c>
      <c r="Q1037" s="79">
        <v>21240.770184933692</v>
      </c>
      <c r="R1037" s="79">
        <v>8598.4009708705998</v>
      </c>
      <c r="S1037" s="79">
        <v>0</v>
      </c>
      <c r="T1037" s="79">
        <v>0</v>
      </c>
      <c r="U1037" s="79">
        <v>385.45737635222895</v>
      </c>
      <c r="V1037" s="79">
        <v>0</v>
      </c>
      <c r="W1037" s="79">
        <v>0</v>
      </c>
      <c r="X1037" s="164"/>
      <c r="Y1037" s="164"/>
      <c r="Z1037" s="164"/>
      <c r="AA1037" s="164">
        <v>2733721.1029908364</v>
      </c>
      <c r="AB1037" s="167" t="s">
        <v>1381</v>
      </c>
      <c r="AC1037" s="169"/>
    </row>
    <row r="1038" spans="1:29" s="168" customFormat="1">
      <c r="A1038" s="60" t="s">
        <v>861</v>
      </c>
      <c r="B1038" s="60"/>
      <c r="C1038" s="60"/>
      <c r="D1038" s="60" t="s">
        <v>178</v>
      </c>
      <c r="E1038" s="60"/>
      <c r="F1038" s="79">
        <v>1868156.7352128148</v>
      </c>
      <c r="G1038" s="79">
        <v>798297.34339007991</v>
      </c>
      <c r="H1038" s="79">
        <v>261220.81239762629</v>
      </c>
      <c r="I1038" s="79">
        <v>0</v>
      </c>
      <c r="J1038" s="79">
        <v>20313.600974413446</v>
      </c>
      <c r="K1038" s="79">
        <v>273342.71120103268</v>
      </c>
      <c r="L1038" s="79">
        <v>0</v>
      </c>
      <c r="M1038" s="79">
        <v>0</v>
      </c>
      <c r="N1038" s="79">
        <v>217675.10580639745</v>
      </c>
      <c r="O1038" s="79">
        <v>145975.99411615593</v>
      </c>
      <c r="P1038" s="79">
        <v>130198.7316881914</v>
      </c>
      <c r="Q1038" s="79">
        <v>15032.269312683648</v>
      </c>
      <c r="R1038" s="79">
        <v>5713.8239668660899</v>
      </c>
      <c r="S1038" s="79">
        <v>0</v>
      </c>
      <c r="T1038" s="79">
        <v>0</v>
      </c>
      <c r="U1038" s="79">
        <v>386.34235936798433</v>
      </c>
      <c r="V1038" s="79">
        <v>0</v>
      </c>
      <c r="W1038" s="79">
        <v>0</v>
      </c>
      <c r="X1038" s="164"/>
      <c r="Y1038" s="164"/>
      <c r="Z1038" s="164"/>
      <c r="AA1038" s="164">
        <v>1868156.7352128148</v>
      </c>
      <c r="AB1038" s="167" t="s">
        <v>1381</v>
      </c>
    </row>
    <row r="1039" spans="1:29" s="168" customFormat="1">
      <c r="A1039" s="60" t="s">
        <v>858</v>
      </c>
      <c r="B1039" s="60"/>
      <c r="C1039" s="60"/>
      <c r="D1039" s="60" t="s">
        <v>859</v>
      </c>
      <c r="E1039" s="60"/>
      <c r="F1039" s="79">
        <v>1405041.8599999996</v>
      </c>
      <c r="G1039" s="79">
        <v>508313.28</v>
      </c>
      <c r="H1039" s="79">
        <v>165183.62</v>
      </c>
      <c r="I1039" s="79">
        <v>0</v>
      </c>
      <c r="J1039" s="79">
        <v>19673.650000000001</v>
      </c>
      <c r="K1039" s="79">
        <v>227944.75</v>
      </c>
      <c r="L1039" s="79">
        <v>0</v>
      </c>
      <c r="M1039" s="79">
        <v>0</v>
      </c>
      <c r="N1039" s="79">
        <v>220029.97</v>
      </c>
      <c r="O1039" s="79">
        <v>96772.17</v>
      </c>
      <c r="P1039" s="79">
        <v>133981.4</v>
      </c>
      <c r="Q1039" s="79">
        <v>13077.26</v>
      </c>
      <c r="R1039" s="79">
        <v>6908.67</v>
      </c>
      <c r="S1039" s="79">
        <v>12375.66</v>
      </c>
      <c r="T1039" s="79">
        <v>403.4</v>
      </c>
      <c r="U1039" s="79">
        <v>378.03</v>
      </c>
      <c r="V1039" s="79">
        <v>0</v>
      </c>
      <c r="W1039" s="79">
        <v>0</v>
      </c>
      <c r="X1039" s="164"/>
      <c r="Y1039" s="164"/>
      <c r="Z1039" s="164"/>
      <c r="AA1039" s="164">
        <v>1405041.8599999996</v>
      </c>
      <c r="AB1039" s="167" t="s">
        <v>1381</v>
      </c>
      <c r="AC1039" s="173"/>
    </row>
    <row r="1040" spans="1:29" s="168" customFormat="1">
      <c r="A1040" s="60"/>
      <c r="B1040" s="60"/>
      <c r="C1040" s="60"/>
      <c r="D1040" s="60"/>
      <c r="E1040" s="60"/>
      <c r="F1040" s="110"/>
      <c r="G1040" s="83"/>
      <c r="H1040" s="83"/>
      <c r="I1040" s="83"/>
      <c r="J1040" s="83"/>
      <c r="K1040" s="83"/>
      <c r="L1040" s="83"/>
      <c r="M1040" s="83"/>
      <c r="N1040" s="83"/>
      <c r="O1040" s="83"/>
      <c r="P1040" s="83"/>
      <c r="Q1040" s="83"/>
      <c r="R1040" s="83"/>
      <c r="S1040" s="83"/>
      <c r="T1040" s="83"/>
      <c r="U1040" s="83"/>
      <c r="V1040" s="83"/>
      <c r="W1040" s="83"/>
      <c r="X1040" s="171"/>
      <c r="Y1040" s="171"/>
      <c r="Z1040" s="171"/>
      <c r="AA1040" s="171"/>
      <c r="AB1040" s="167"/>
    </row>
    <row r="1041" spans="1:28" s="168" customFormat="1" ht="15">
      <c r="A1041" s="65" t="s">
        <v>1259</v>
      </c>
      <c r="B1041" s="60"/>
      <c r="C1041" s="60"/>
      <c r="D1041" s="60"/>
      <c r="E1041" s="60"/>
      <c r="F1041" s="110"/>
      <c r="G1041" s="79">
        <f>G1037*12</f>
        <v>12828260.082923539</v>
      </c>
      <c r="H1041" s="83"/>
      <c r="I1041" s="83"/>
      <c r="J1041" s="83"/>
      <c r="K1041" s="83"/>
      <c r="L1041" s="83"/>
      <c r="M1041" s="83"/>
      <c r="N1041" s="83"/>
      <c r="O1041" s="83"/>
      <c r="P1041" s="83"/>
      <c r="Q1041" s="83"/>
      <c r="R1041" s="83"/>
      <c r="S1041" s="83"/>
      <c r="T1041" s="83"/>
      <c r="U1041" s="83"/>
      <c r="V1041" s="83"/>
      <c r="W1041" s="83"/>
      <c r="X1041" s="171"/>
      <c r="Y1041" s="171"/>
      <c r="Z1041" s="171"/>
      <c r="AA1041" s="171"/>
      <c r="AB1041" s="167"/>
    </row>
    <row r="1042" spans="1:28" s="168" customFormat="1">
      <c r="A1042" s="60"/>
      <c r="B1042" s="60"/>
      <c r="C1042" s="60"/>
      <c r="D1042" s="60"/>
      <c r="E1042" s="60"/>
      <c r="F1042" s="110"/>
      <c r="G1042" s="79"/>
      <c r="H1042" s="83"/>
      <c r="I1042" s="83"/>
      <c r="J1042" s="83"/>
      <c r="K1042" s="83"/>
      <c r="L1042" s="83"/>
      <c r="M1042" s="83"/>
      <c r="N1042" s="83"/>
      <c r="O1042" s="83"/>
      <c r="P1042" s="83"/>
      <c r="Q1042" s="83"/>
      <c r="R1042" s="83"/>
      <c r="S1042" s="83"/>
      <c r="T1042" s="83"/>
      <c r="U1042" s="83"/>
      <c r="V1042" s="83"/>
      <c r="W1042" s="83"/>
      <c r="X1042" s="171"/>
      <c r="Y1042" s="171"/>
      <c r="Z1042" s="171"/>
      <c r="AA1042" s="171"/>
      <c r="AB1042" s="167"/>
    </row>
    <row r="1043" spans="1:28" s="168" customFormat="1" ht="15">
      <c r="A1043" s="217" t="s">
        <v>890</v>
      </c>
      <c r="B1043" s="60"/>
      <c r="C1043" s="60"/>
      <c r="D1043" s="60"/>
      <c r="E1043" s="60"/>
      <c r="F1043" s="110"/>
      <c r="G1043" s="83"/>
      <c r="H1043" s="83"/>
      <c r="I1043" s="83"/>
      <c r="J1043" s="83"/>
      <c r="K1043" s="83"/>
      <c r="L1043" s="83"/>
      <c r="M1043" s="83"/>
      <c r="N1043" s="83"/>
      <c r="O1043" s="83"/>
      <c r="P1043" s="83"/>
      <c r="Q1043" s="83"/>
      <c r="R1043" s="83"/>
      <c r="S1043" s="83"/>
      <c r="T1043" s="83"/>
      <c r="U1043" s="83"/>
      <c r="V1043" s="83"/>
      <c r="W1043" s="83"/>
      <c r="X1043" s="171"/>
      <c r="Y1043" s="171"/>
      <c r="Z1043" s="171"/>
      <c r="AA1043" s="171"/>
      <c r="AB1043" s="167"/>
    </row>
    <row r="1044" spans="1:28" s="168" customFormat="1">
      <c r="A1044" s="60" t="s">
        <v>667</v>
      </c>
      <c r="B1044" s="60"/>
      <c r="C1044" s="60"/>
      <c r="D1044" s="60" t="s">
        <v>186</v>
      </c>
      <c r="E1044" s="60"/>
      <c r="F1044" s="79">
        <f t="shared" ref="F1044:Z1044" si="471">F1038</f>
        <v>1868156.7352128148</v>
      </c>
      <c r="G1044" s="79">
        <f t="shared" si="471"/>
        <v>798297.34339007991</v>
      </c>
      <c r="H1044" s="79">
        <f t="shared" si="471"/>
        <v>261220.81239762629</v>
      </c>
      <c r="I1044" s="79">
        <f t="shared" si="471"/>
        <v>0</v>
      </c>
      <c r="J1044" s="79">
        <f t="shared" si="471"/>
        <v>20313.600974413446</v>
      </c>
      <c r="K1044" s="79">
        <f t="shared" si="471"/>
        <v>273342.71120103268</v>
      </c>
      <c r="L1044" s="79">
        <f t="shared" si="471"/>
        <v>0</v>
      </c>
      <c r="M1044" s="79">
        <f t="shared" si="471"/>
        <v>0</v>
      </c>
      <c r="N1044" s="79">
        <f t="shared" si="471"/>
        <v>217675.10580639745</v>
      </c>
      <c r="O1044" s="79">
        <f>O1038</f>
        <v>145975.99411615593</v>
      </c>
      <c r="P1044" s="79">
        <f t="shared" si="471"/>
        <v>130198.7316881914</v>
      </c>
      <c r="Q1044" s="79">
        <f t="shared" si="471"/>
        <v>15032.269312683648</v>
      </c>
      <c r="R1044" s="79">
        <f t="shared" si="471"/>
        <v>5713.8239668660899</v>
      </c>
      <c r="S1044" s="79">
        <f t="shared" si="471"/>
        <v>0</v>
      </c>
      <c r="T1044" s="79">
        <f t="shared" si="471"/>
        <v>0</v>
      </c>
      <c r="U1044" s="79">
        <f t="shared" si="471"/>
        <v>386.34235936798433</v>
      </c>
      <c r="V1044" s="79">
        <f t="shared" si="471"/>
        <v>0</v>
      </c>
      <c r="W1044" s="79">
        <f t="shared" si="471"/>
        <v>0</v>
      </c>
      <c r="X1044" s="164">
        <f t="shared" si="471"/>
        <v>0</v>
      </c>
      <c r="Y1044" s="164">
        <f t="shared" si="471"/>
        <v>0</v>
      </c>
      <c r="Z1044" s="164">
        <f t="shared" si="471"/>
        <v>0</v>
      </c>
      <c r="AA1044" s="164">
        <f>SUM(G1044:Z1044)</f>
        <v>1868156.7352128148</v>
      </c>
      <c r="AB1044" s="167" t="str">
        <f t="shared" ref="AB1044:AB1049" si="472">IF(ABS(F1044-AA1044)&lt;0.01,"ok","err")</f>
        <v>ok</v>
      </c>
    </row>
    <row r="1045" spans="1:28" s="168" customFormat="1">
      <c r="A1045" s="60" t="s">
        <v>668</v>
      </c>
      <c r="B1045" s="60"/>
      <c r="C1045" s="60"/>
      <c r="D1045" s="60"/>
      <c r="E1045" s="60"/>
      <c r="F1045" s="80">
        <f>F183</f>
        <v>34803614.031254336</v>
      </c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AA1045" s="170">
        <f>F1045</f>
        <v>34803614.031254336</v>
      </c>
      <c r="AB1045" s="167" t="str">
        <f t="shared" si="472"/>
        <v>ok</v>
      </c>
    </row>
    <row r="1046" spans="1:28" s="168" customFormat="1">
      <c r="A1046" s="60" t="s">
        <v>154</v>
      </c>
      <c r="B1046" s="60"/>
      <c r="C1046" s="60"/>
      <c r="D1046" s="60"/>
      <c r="E1046" s="60"/>
      <c r="F1046" s="80">
        <v>0</v>
      </c>
      <c r="G1046" s="60"/>
      <c r="H1046" s="79">
        <v>0</v>
      </c>
      <c r="I1046" s="76">
        <v>0</v>
      </c>
      <c r="J1046" s="79">
        <v>0</v>
      </c>
      <c r="K1046" s="79">
        <v>0</v>
      </c>
      <c r="L1046" s="112">
        <v>0</v>
      </c>
      <c r="M1046" s="79">
        <v>0</v>
      </c>
      <c r="N1046" s="79">
        <v>0</v>
      </c>
      <c r="O1046" s="79">
        <v>0</v>
      </c>
      <c r="P1046" s="79">
        <v>0</v>
      </c>
      <c r="Q1046" s="60"/>
      <c r="R1046" s="60"/>
      <c r="S1046" s="60"/>
      <c r="T1046" s="79">
        <v>0</v>
      </c>
      <c r="U1046" s="60"/>
      <c r="V1046" s="79">
        <v>0</v>
      </c>
      <c r="W1046" s="79">
        <v>0</v>
      </c>
      <c r="AA1046" s="170">
        <f>SUM(G1046:Z1046)</f>
        <v>0</v>
      </c>
      <c r="AB1046" s="167" t="str">
        <f t="shared" si="472"/>
        <v>ok</v>
      </c>
    </row>
    <row r="1047" spans="1:28" s="168" customFormat="1">
      <c r="A1047" s="60" t="s">
        <v>669</v>
      </c>
      <c r="B1047" s="60"/>
      <c r="C1047" s="60"/>
      <c r="D1047" s="60"/>
      <c r="E1047" s="60" t="s">
        <v>186</v>
      </c>
      <c r="F1047" s="80">
        <f>F1045-F1046</f>
        <v>34803614.031254336</v>
      </c>
      <c r="G1047" s="76">
        <f t="shared" ref="G1047:Z1047" si="473">IF(VLOOKUP($E1047,$D$6:$AN$1131,3,)=0,0,(VLOOKUP($E1047,$D$6:$AN$1131,G$2,)/VLOOKUP($E1047,$D$6:$AN$1131,3,))*$F1047)</f>
        <v>14872217.142079901</v>
      </c>
      <c r="H1047" s="76">
        <f t="shared" si="473"/>
        <v>4866523.3276489591</v>
      </c>
      <c r="I1047" s="76">
        <f t="shared" si="473"/>
        <v>0</v>
      </c>
      <c r="J1047" s="76">
        <f t="shared" si="473"/>
        <v>378440.79919657263</v>
      </c>
      <c r="K1047" s="76">
        <f t="shared" si="473"/>
        <v>5092353.3553589312</v>
      </c>
      <c r="L1047" s="76">
        <f t="shared" si="473"/>
        <v>0</v>
      </c>
      <c r="M1047" s="76">
        <f t="shared" si="473"/>
        <v>0</v>
      </c>
      <c r="N1047" s="76">
        <f t="shared" si="473"/>
        <v>4055270.2157698162</v>
      </c>
      <c r="O1047" s="76">
        <f t="shared" si="473"/>
        <v>2719521.3663207921</v>
      </c>
      <c r="P1047" s="76">
        <f t="shared" si="473"/>
        <v>2425592.1998527898</v>
      </c>
      <c r="Q1047" s="76">
        <f t="shared" si="473"/>
        <v>280050.00293131813</v>
      </c>
      <c r="R1047" s="76">
        <f t="shared" si="473"/>
        <v>106448.0941224047</v>
      </c>
      <c r="S1047" s="76">
        <f t="shared" si="473"/>
        <v>0</v>
      </c>
      <c r="T1047" s="76">
        <f t="shared" si="473"/>
        <v>0</v>
      </c>
      <c r="U1047" s="76">
        <f t="shared" si="473"/>
        <v>7197.5279728527403</v>
      </c>
      <c r="V1047" s="76">
        <f t="shared" si="473"/>
        <v>0</v>
      </c>
      <c r="W1047" s="76">
        <f t="shared" si="473"/>
        <v>0</v>
      </c>
      <c r="X1047" s="165">
        <f t="shared" si="473"/>
        <v>0</v>
      </c>
      <c r="Y1047" s="165">
        <f t="shared" si="473"/>
        <v>0</v>
      </c>
      <c r="Z1047" s="165">
        <f t="shared" si="473"/>
        <v>0</v>
      </c>
      <c r="AA1047" s="170">
        <f>SUM(G1047:Z1047)</f>
        <v>34803614.031254336</v>
      </c>
      <c r="AB1047" s="167" t="str">
        <f t="shared" si="472"/>
        <v>ok</v>
      </c>
    </row>
    <row r="1048" spans="1:28" s="168" customFormat="1">
      <c r="A1048" s="60" t="s">
        <v>670</v>
      </c>
      <c r="B1048" s="60"/>
      <c r="C1048" s="60"/>
      <c r="D1048" s="60" t="s">
        <v>187</v>
      </c>
      <c r="E1048" s="60"/>
      <c r="F1048" s="80">
        <f t="shared" ref="F1048:W1048" si="474">F1046+F1047</f>
        <v>34803614.031254336</v>
      </c>
      <c r="G1048" s="80">
        <f t="shared" si="474"/>
        <v>14872217.142079901</v>
      </c>
      <c r="H1048" s="80">
        <f t="shared" si="474"/>
        <v>4866523.3276489591</v>
      </c>
      <c r="I1048" s="80">
        <f t="shared" si="474"/>
        <v>0</v>
      </c>
      <c r="J1048" s="80">
        <f t="shared" si="474"/>
        <v>378440.79919657263</v>
      </c>
      <c r="K1048" s="80">
        <f t="shared" si="474"/>
        <v>5092353.3553589312</v>
      </c>
      <c r="L1048" s="80">
        <f t="shared" si="474"/>
        <v>0</v>
      </c>
      <c r="M1048" s="80">
        <f t="shared" si="474"/>
        <v>0</v>
      </c>
      <c r="N1048" s="80">
        <f t="shared" si="474"/>
        <v>4055270.2157698162</v>
      </c>
      <c r="O1048" s="80">
        <f>O1046+O1047</f>
        <v>2719521.3663207921</v>
      </c>
      <c r="P1048" s="80">
        <f t="shared" si="474"/>
        <v>2425592.1998527898</v>
      </c>
      <c r="Q1048" s="80">
        <f t="shared" si="474"/>
        <v>280050.00293131813</v>
      </c>
      <c r="R1048" s="80">
        <f t="shared" si="474"/>
        <v>106448.0941224047</v>
      </c>
      <c r="S1048" s="80">
        <f t="shared" si="474"/>
        <v>0</v>
      </c>
      <c r="T1048" s="80">
        <f t="shared" si="474"/>
        <v>0</v>
      </c>
      <c r="U1048" s="80">
        <f t="shared" si="474"/>
        <v>7197.5279728527403</v>
      </c>
      <c r="V1048" s="80">
        <f t="shared" si="474"/>
        <v>0</v>
      </c>
      <c r="W1048" s="80">
        <f t="shared" si="474"/>
        <v>0</v>
      </c>
      <c r="X1048" s="170">
        <f>X1046+X1047</f>
        <v>0</v>
      </c>
      <c r="Y1048" s="170">
        <f>Y1046+Y1047</f>
        <v>0</v>
      </c>
      <c r="Z1048" s="170">
        <f>Z1046+Z1047</f>
        <v>0</v>
      </c>
      <c r="AA1048" s="170">
        <f>SUM(G1048:Z1048)</f>
        <v>34803614.031254336</v>
      </c>
      <c r="AB1048" s="167" t="str">
        <f t="shared" si="472"/>
        <v>ok</v>
      </c>
    </row>
    <row r="1049" spans="1:28" s="168" customFormat="1">
      <c r="A1049" s="60" t="s">
        <v>671</v>
      </c>
      <c r="B1049" s="60"/>
      <c r="C1049" s="60"/>
      <c r="D1049" s="60" t="s">
        <v>188</v>
      </c>
      <c r="E1049" s="60" t="s">
        <v>187</v>
      </c>
      <c r="F1049" s="110">
        <v>1</v>
      </c>
      <c r="G1049" s="83">
        <f t="shared" ref="G1049:Z1049" si="475">IF(VLOOKUP($E1049,$D$6:$AN$1131,3,)=0,0,(VLOOKUP($E1049,$D$6:$AN$1131,G$2,)/VLOOKUP($E1049,$D$6:$AN$1131,3,))*$F1049)</f>
        <v>0.42731818393125365</v>
      </c>
      <c r="H1049" s="83">
        <f t="shared" si="475"/>
        <v>0.13982810300328938</v>
      </c>
      <c r="I1049" s="83">
        <f t="shared" si="475"/>
        <v>0</v>
      </c>
      <c r="J1049" s="83">
        <f t="shared" si="475"/>
        <v>1.0873606369060561E-2</v>
      </c>
      <c r="K1049" s="83">
        <f t="shared" si="475"/>
        <v>0.1463167977551382</v>
      </c>
      <c r="L1049" s="83">
        <f t="shared" si="475"/>
        <v>0</v>
      </c>
      <c r="M1049" s="83">
        <f t="shared" si="475"/>
        <v>0</v>
      </c>
      <c r="N1049" s="83">
        <f t="shared" si="475"/>
        <v>0.11651865269302501</v>
      </c>
      <c r="O1049" s="83">
        <f t="shared" si="475"/>
        <v>7.8139050843358052E-2</v>
      </c>
      <c r="P1049" s="83">
        <f t="shared" si="475"/>
        <v>6.9693687491033537E-2</v>
      </c>
      <c r="Q1049" s="83">
        <f t="shared" si="475"/>
        <v>8.0465782283365081E-3</v>
      </c>
      <c r="R1049" s="83">
        <f t="shared" si="475"/>
        <v>3.0585356459479234E-3</v>
      </c>
      <c r="S1049" s="83">
        <f t="shared" si="475"/>
        <v>0</v>
      </c>
      <c r="T1049" s="83">
        <f t="shared" si="475"/>
        <v>0</v>
      </c>
      <c r="U1049" s="83">
        <f t="shared" si="475"/>
        <v>2.0680403955719131E-4</v>
      </c>
      <c r="V1049" s="83">
        <f t="shared" si="475"/>
        <v>0</v>
      </c>
      <c r="W1049" s="83">
        <f t="shared" si="475"/>
        <v>0</v>
      </c>
      <c r="X1049" s="171">
        <f t="shared" si="475"/>
        <v>0</v>
      </c>
      <c r="Y1049" s="171">
        <f t="shared" si="475"/>
        <v>0</v>
      </c>
      <c r="Z1049" s="171">
        <f t="shared" si="475"/>
        <v>0</v>
      </c>
      <c r="AA1049" s="171">
        <f>SUM(G1049:Z1049)</f>
        <v>1</v>
      </c>
      <c r="AB1049" s="167" t="str">
        <f t="shared" si="472"/>
        <v>ok</v>
      </c>
    </row>
    <row r="1050" spans="1:28" s="168" customFormat="1">
      <c r="A1050" s="60"/>
      <c r="B1050" s="60"/>
      <c r="C1050" s="60"/>
      <c r="D1050" s="60"/>
      <c r="E1050" s="60"/>
      <c r="F1050" s="110"/>
      <c r="G1050" s="83"/>
      <c r="H1050" s="83"/>
      <c r="I1050" s="83"/>
      <c r="J1050" s="83"/>
      <c r="K1050" s="83"/>
      <c r="L1050" s="83"/>
      <c r="M1050" s="83"/>
      <c r="N1050" s="83"/>
      <c r="O1050" s="83"/>
      <c r="P1050" s="83"/>
      <c r="Q1050" s="83"/>
      <c r="R1050" s="83"/>
      <c r="S1050" s="83"/>
      <c r="T1050" s="83"/>
      <c r="U1050" s="83"/>
      <c r="V1050" s="83"/>
      <c r="W1050" s="83"/>
      <c r="X1050" s="171"/>
      <c r="Y1050" s="171"/>
      <c r="Z1050" s="171"/>
      <c r="AA1050" s="171"/>
      <c r="AB1050" s="167"/>
    </row>
    <row r="1051" spans="1:28" s="168" customFormat="1">
      <c r="A1051" s="60" t="s">
        <v>672</v>
      </c>
      <c r="B1051" s="60"/>
      <c r="C1051" s="60"/>
      <c r="D1051" s="60" t="s">
        <v>189</v>
      </c>
      <c r="E1051" s="60"/>
      <c r="F1051" s="79">
        <f t="shared" ref="F1051:Z1051" si="476">F1037</f>
        <v>2733721.1029908364</v>
      </c>
      <c r="G1051" s="79">
        <f t="shared" si="476"/>
        <v>1069021.6735769615</v>
      </c>
      <c r="H1051" s="79">
        <f t="shared" si="476"/>
        <v>386317.95454455458</v>
      </c>
      <c r="I1051" s="79">
        <f t="shared" si="476"/>
        <v>0</v>
      </c>
      <c r="J1051" s="79">
        <f t="shared" si="476"/>
        <v>31860.342849534132</v>
      </c>
      <c r="K1051" s="79">
        <f t="shared" si="476"/>
        <v>449716.42236431479</v>
      </c>
      <c r="L1051" s="79">
        <f t="shared" si="476"/>
        <v>0</v>
      </c>
      <c r="M1051" s="79">
        <f t="shared" si="476"/>
        <v>0</v>
      </c>
      <c r="N1051" s="79">
        <f t="shared" si="476"/>
        <v>340132.15690513782</v>
      </c>
      <c r="O1051" s="79">
        <f>O1037</f>
        <v>229731.99023415305</v>
      </c>
      <c r="P1051" s="79">
        <f t="shared" si="476"/>
        <v>196715.93398402378</v>
      </c>
      <c r="Q1051" s="79">
        <f t="shared" si="476"/>
        <v>21240.770184933692</v>
      </c>
      <c r="R1051" s="79">
        <f t="shared" si="476"/>
        <v>8598.4009708705998</v>
      </c>
      <c r="S1051" s="79">
        <f t="shared" si="476"/>
        <v>0</v>
      </c>
      <c r="T1051" s="79">
        <f t="shared" si="476"/>
        <v>0</v>
      </c>
      <c r="U1051" s="79">
        <f t="shared" si="476"/>
        <v>385.45737635222895</v>
      </c>
      <c r="V1051" s="79">
        <f t="shared" si="476"/>
        <v>0</v>
      </c>
      <c r="W1051" s="79">
        <f t="shared" si="476"/>
        <v>0</v>
      </c>
      <c r="X1051" s="164">
        <f t="shared" si="476"/>
        <v>0</v>
      </c>
      <c r="Y1051" s="164">
        <f t="shared" si="476"/>
        <v>0</v>
      </c>
      <c r="Z1051" s="164">
        <f t="shared" si="476"/>
        <v>0</v>
      </c>
      <c r="AA1051" s="164">
        <f>SUM(G1051:Z1051)</f>
        <v>2733721.1029908364</v>
      </c>
      <c r="AB1051" s="167" t="str">
        <f t="shared" ref="AB1051:AB1056" si="477">IF(ABS(F1051-AA1051)&lt;0.01,"ok","err")</f>
        <v>ok</v>
      </c>
    </row>
    <row r="1052" spans="1:28" s="168" customFormat="1">
      <c r="A1052" s="60" t="s">
        <v>673</v>
      </c>
      <c r="B1052" s="60"/>
      <c r="C1052" s="60"/>
      <c r="D1052" s="60"/>
      <c r="E1052" s="60"/>
      <c r="F1052" s="80">
        <f>F184</f>
        <v>28608453.375186369</v>
      </c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AA1052" s="170">
        <f>F1052</f>
        <v>28608453.375186369</v>
      </c>
      <c r="AB1052" s="167" t="str">
        <f t="shared" si="477"/>
        <v>ok</v>
      </c>
    </row>
    <row r="1053" spans="1:28" s="168" customFormat="1">
      <c r="A1053" s="60" t="s">
        <v>154</v>
      </c>
      <c r="B1053" s="60"/>
      <c r="C1053" s="60"/>
      <c r="D1053" s="60"/>
      <c r="E1053" s="60"/>
      <c r="F1053" s="80">
        <v>0</v>
      </c>
      <c r="G1053" s="60"/>
      <c r="H1053" s="79">
        <v>0</v>
      </c>
      <c r="I1053" s="76">
        <v>0</v>
      </c>
      <c r="J1053" s="79">
        <v>0</v>
      </c>
      <c r="K1053" s="79">
        <v>0</v>
      </c>
      <c r="L1053" s="112">
        <v>0</v>
      </c>
      <c r="M1053" s="79">
        <v>0</v>
      </c>
      <c r="N1053" s="79">
        <v>0</v>
      </c>
      <c r="O1053" s="79">
        <v>0</v>
      </c>
      <c r="P1053" s="79">
        <v>0</v>
      </c>
      <c r="Q1053" s="60"/>
      <c r="R1053" s="60"/>
      <c r="S1053" s="60"/>
      <c r="T1053" s="79">
        <v>0</v>
      </c>
      <c r="U1053" s="60"/>
      <c r="V1053" s="79">
        <v>0</v>
      </c>
      <c r="W1053" s="79">
        <v>0</v>
      </c>
      <c r="AA1053" s="170">
        <f>SUM(G1053:Z1053)</f>
        <v>0</v>
      </c>
      <c r="AB1053" s="167" t="str">
        <f t="shared" si="477"/>
        <v>ok</v>
      </c>
    </row>
    <row r="1054" spans="1:28" s="168" customFormat="1">
      <c r="A1054" s="60" t="s">
        <v>674</v>
      </c>
      <c r="B1054" s="60"/>
      <c r="C1054" s="60"/>
      <c r="D1054" s="60"/>
      <c r="E1054" s="60" t="s">
        <v>189</v>
      </c>
      <c r="F1054" s="80">
        <f>F1052-F1053</f>
        <v>28608453.375186369</v>
      </c>
      <c r="G1054" s="76">
        <f t="shared" ref="G1054:Z1054" si="478">IF(VLOOKUP($E1054,$D$6:$AN$1131,3,)=0,0,(VLOOKUP($E1054,$D$6:$AN$1131,G$2,)/VLOOKUP($E1054,$D$6:$AN$1131,3,))*$F1054)</f>
        <v>11187336.071748765</v>
      </c>
      <c r="H1054" s="76">
        <f t="shared" si="478"/>
        <v>4042826.1604645131</v>
      </c>
      <c r="I1054" s="76">
        <f t="shared" si="478"/>
        <v>0</v>
      </c>
      <c r="J1054" s="76">
        <f t="shared" si="478"/>
        <v>333419.21088114928</v>
      </c>
      <c r="K1054" s="76">
        <f t="shared" si="478"/>
        <v>4706292.5648082271</v>
      </c>
      <c r="L1054" s="76">
        <f t="shared" si="478"/>
        <v>0</v>
      </c>
      <c r="M1054" s="76">
        <f t="shared" si="478"/>
        <v>0</v>
      </c>
      <c r="N1054" s="76">
        <f t="shared" si="478"/>
        <v>3559490.7401403729</v>
      </c>
      <c r="O1054" s="76">
        <f t="shared" si="478"/>
        <v>2404150.4907768816</v>
      </c>
      <c r="P1054" s="76">
        <f t="shared" si="478"/>
        <v>2058636.7129335681</v>
      </c>
      <c r="Q1054" s="76">
        <f t="shared" si="478"/>
        <v>222285.14197147096</v>
      </c>
      <c r="R1054" s="76">
        <f t="shared" si="478"/>
        <v>89982.461271263528</v>
      </c>
      <c r="S1054" s="76">
        <f t="shared" si="478"/>
        <v>0</v>
      </c>
      <c r="T1054" s="76">
        <f t="shared" si="478"/>
        <v>0</v>
      </c>
      <c r="U1054" s="76">
        <f t="shared" si="478"/>
        <v>4033.8201901539669</v>
      </c>
      <c r="V1054" s="76">
        <f t="shared" si="478"/>
        <v>0</v>
      </c>
      <c r="W1054" s="76">
        <f t="shared" si="478"/>
        <v>0</v>
      </c>
      <c r="X1054" s="165">
        <f t="shared" si="478"/>
        <v>0</v>
      </c>
      <c r="Y1054" s="165">
        <f t="shared" si="478"/>
        <v>0</v>
      </c>
      <c r="Z1054" s="165">
        <f t="shared" si="478"/>
        <v>0</v>
      </c>
      <c r="AA1054" s="170">
        <f>SUM(G1054:Z1054)</f>
        <v>28608453.375186361</v>
      </c>
      <c r="AB1054" s="167" t="str">
        <f t="shared" si="477"/>
        <v>ok</v>
      </c>
    </row>
    <row r="1055" spans="1:28" s="168" customFormat="1">
      <c r="A1055" s="60" t="s">
        <v>675</v>
      </c>
      <c r="B1055" s="60"/>
      <c r="C1055" s="60"/>
      <c r="D1055" s="60" t="s">
        <v>190</v>
      </c>
      <c r="E1055" s="60"/>
      <c r="F1055" s="80">
        <f t="shared" ref="F1055:Z1055" si="479">F1053+F1054</f>
        <v>28608453.375186369</v>
      </c>
      <c r="G1055" s="80">
        <f t="shared" si="479"/>
        <v>11187336.071748765</v>
      </c>
      <c r="H1055" s="80">
        <f t="shared" si="479"/>
        <v>4042826.1604645131</v>
      </c>
      <c r="I1055" s="80">
        <f t="shared" si="479"/>
        <v>0</v>
      </c>
      <c r="J1055" s="80">
        <f t="shared" si="479"/>
        <v>333419.21088114928</v>
      </c>
      <c r="K1055" s="80">
        <f t="shared" si="479"/>
        <v>4706292.5648082271</v>
      </c>
      <c r="L1055" s="80">
        <f t="shared" si="479"/>
        <v>0</v>
      </c>
      <c r="M1055" s="80">
        <f t="shared" si="479"/>
        <v>0</v>
      </c>
      <c r="N1055" s="80">
        <f t="shared" si="479"/>
        <v>3559490.7401403729</v>
      </c>
      <c r="O1055" s="80">
        <f>O1053+O1054</f>
        <v>2404150.4907768816</v>
      </c>
      <c r="P1055" s="80">
        <f t="shared" si="479"/>
        <v>2058636.7129335681</v>
      </c>
      <c r="Q1055" s="80">
        <f t="shared" si="479"/>
        <v>222285.14197147096</v>
      </c>
      <c r="R1055" s="80">
        <f t="shared" si="479"/>
        <v>89982.461271263528</v>
      </c>
      <c r="S1055" s="80">
        <f t="shared" si="479"/>
        <v>0</v>
      </c>
      <c r="T1055" s="80">
        <f t="shared" si="479"/>
        <v>0</v>
      </c>
      <c r="U1055" s="80">
        <f t="shared" si="479"/>
        <v>4033.8201901539669</v>
      </c>
      <c r="V1055" s="80">
        <f t="shared" si="479"/>
        <v>0</v>
      </c>
      <c r="W1055" s="80">
        <f t="shared" si="479"/>
        <v>0</v>
      </c>
      <c r="X1055" s="170">
        <f t="shared" si="479"/>
        <v>0</v>
      </c>
      <c r="Y1055" s="170">
        <f t="shared" si="479"/>
        <v>0</v>
      </c>
      <c r="Z1055" s="170">
        <f t="shared" si="479"/>
        <v>0</v>
      </c>
      <c r="AA1055" s="170">
        <f>SUM(G1055:Z1055)</f>
        <v>28608453.375186361</v>
      </c>
      <c r="AB1055" s="167" t="str">
        <f t="shared" si="477"/>
        <v>ok</v>
      </c>
    </row>
    <row r="1056" spans="1:28" s="168" customFormat="1">
      <c r="A1056" s="60" t="s">
        <v>676</v>
      </c>
      <c r="B1056" s="60"/>
      <c r="C1056" s="60"/>
      <c r="D1056" s="60" t="s">
        <v>191</v>
      </c>
      <c r="E1056" s="60" t="s">
        <v>190</v>
      </c>
      <c r="F1056" s="110">
        <v>1</v>
      </c>
      <c r="G1056" s="83">
        <f t="shared" ref="G1056:Z1056" si="480">IF(VLOOKUP($E1056,$D$6:$AN$1131,3,)=0,0,(VLOOKUP($E1056,$D$6:$AN$1131,G$2,)/VLOOKUP($E1056,$D$6:$AN$1131,3,))*$F1056)</f>
        <v>0.39105001326118999</v>
      </c>
      <c r="H1056" s="83">
        <f t="shared" si="480"/>
        <v>0.14131578898882632</v>
      </c>
      <c r="I1056" s="83">
        <f t="shared" si="480"/>
        <v>0</v>
      </c>
      <c r="J1056" s="83">
        <f t="shared" si="480"/>
        <v>1.1654569595514782E-2</v>
      </c>
      <c r="K1056" s="83">
        <f t="shared" si="480"/>
        <v>0.16450706031141987</v>
      </c>
      <c r="L1056" s="83">
        <f t="shared" si="480"/>
        <v>0</v>
      </c>
      <c r="M1056" s="83">
        <f t="shared" si="480"/>
        <v>0</v>
      </c>
      <c r="N1056" s="83">
        <f t="shared" si="480"/>
        <v>0.12442094277028301</v>
      </c>
      <c r="O1056" s="83">
        <f t="shared" si="480"/>
        <v>8.4036367127141839E-2</v>
      </c>
      <c r="P1056" s="83">
        <f t="shared" si="480"/>
        <v>7.1959035531754159E-2</v>
      </c>
      <c r="Q1056" s="83">
        <f t="shared" si="480"/>
        <v>7.7699111887072746E-3</v>
      </c>
      <c r="R1056" s="83">
        <f t="shared" si="480"/>
        <v>3.1453102371940909E-3</v>
      </c>
      <c r="S1056" s="83">
        <f t="shared" si="480"/>
        <v>0</v>
      </c>
      <c r="T1056" s="83">
        <f t="shared" si="480"/>
        <v>0</v>
      </c>
      <c r="U1056" s="83">
        <f t="shared" si="480"/>
        <v>1.4100098796856713E-4</v>
      </c>
      <c r="V1056" s="83">
        <f t="shared" si="480"/>
        <v>0</v>
      </c>
      <c r="W1056" s="83">
        <f t="shared" si="480"/>
        <v>0</v>
      </c>
      <c r="X1056" s="171">
        <f t="shared" si="480"/>
        <v>0</v>
      </c>
      <c r="Y1056" s="171">
        <f t="shared" si="480"/>
        <v>0</v>
      </c>
      <c r="Z1056" s="171">
        <f t="shared" si="480"/>
        <v>0</v>
      </c>
      <c r="AA1056" s="171">
        <f>SUM(G1056:Z1056)</f>
        <v>1</v>
      </c>
      <c r="AB1056" s="167" t="str">
        <f t="shared" si="477"/>
        <v>ok</v>
      </c>
    </row>
    <row r="1057" spans="1:29" s="168" customFormat="1">
      <c r="A1057" s="60"/>
      <c r="B1057" s="60"/>
      <c r="C1057" s="60"/>
      <c r="D1057" s="60"/>
      <c r="E1057" s="60"/>
      <c r="F1057" s="110"/>
      <c r="G1057" s="83"/>
      <c r="H1057" s="83"/>
      <c r="I1057" s="83"/>
      <c r="J1057" s="83"/>
      <c r="K1057" s="83"/>
      <c r="L1057" s="83"/>
      <c r="M1057" s="83"/>
      <c r="N1057" s="83"/>
      <c r="O1057" s="83"/>
      <c r="P1057" s="83"/>
      <c r="Q1057" s="83"/>
      <c r="R1057" s="83"/>
      <c r="S1057" s="83"/>
      <c r="T1057" s="83"/>
      <c r="U1057" s="83"/>
      <c r="V1057" s="83"/>
      <c r="W1057" s="83"/>
      <c r="X1057" s="171"/>
      <c r="Y1057" s="171"/>
      <c r="Z1057" s="171"/>
      <c r="AA1057" s="171"/>
      <c r="AB1057" s="167"/>
    </row>
    <row r="1058" spans="1:29" s="168" customFormat="1">
      <c r="A1058" s="60" t="s">
        <v>862</v>
      </c>
      <c r="B1058" s="60"/>
      <c r="C1058" s="60"/>
      <c r="D1058" s="60" t="s">
        <v>867</v>
      </c>
      <c r="E1058" s="60"/>
      <c r="F1058" s="79">
        <f>F1039</f>
        <v>1405041.8599999996</v>
      </c>
      <c r="G1058" s="79">
        <f t="shared" ref="G1058:Z1058" si="481">G1039</f>
        <v>508313.28</v>
      </c>
      <c r="H1058" s="79">
        <f t="shared" si="481"/>
        <v>165183.62</v>
      </c>
      <c r="I1058" s="79">
        <f t="shared" si="481"/>
        <v>0</v>
      </c>
      <c r="J1058" s="79">
        <f t="shared" si="481"/>
        <v>19673.650000000001</v>
      </c>
      <c r="K1058" s="79">
        <f t="shared" si="481"/>
        <v>227944.75</v>
      </c>
      <c r="L1058" s="79">
        <f t="shared" si="481"/>
        <v>0</v>
      </c>
      <c r="M1058" s="79">
        <f t="shared" si="481"/>
        <v>0</v>
      </c>
      <c r="N1058" s="79">
        <f t="shared" si="481"/>
        <v>220029.97</v>
      </c>
      <c r="O1058" s="79">
        <f>O1039</f>
        <v>96772.17</v>
      </c>
      <c r="P1058" s="79">
        <f t="shared" si="481"/>
        <v>133981.4</v>
      </c>
      <c r="Q1058" s="79">
        <f t="shared" si="481"/>
        <v>13077.26</v>
      </c>
      <c r="R1058" s="79">
        <f t="shared" si="481"/>
        <v>6908.67</v>
      </c>
      <c r="S1058" s="79">
        <f t="shared" si="481"/>
        <v>12375.66</v>
      </c>
      <c r="T1058" s="79">
        <f t="shared" si="481"/>
        <v>403.4</v>
      </c>
      <c r="U1058" s="79">
        <f t="shared" si="481"/>
        <v>378.03</v>
      </c>
      <c r="V1058" s="79">
        <f t="shared" si="481"/>
        <v>0</v>
      </c>
      <c r="W1058" s="79">
        <f t="shared" si="481"/>
        <v>0</v>
      </c>
      <c r="X1058" s="164">
        <f t="shared" si="481"/>
        <v>0</v>
      </c>
      <c r="Y1058" s="164">
        <f t="shared" si="481"/>
        <v>0</v>
      </c>
      <c r="Z1058" s="164">
        <f t="shared" si="481"/>
        <v>0</v>
      </c>
      <c r="AA1058" s="164">
        <f>SUM(G1058:Z1058)</f>
        <v>1405041.8599999996</v>
      </c>
      <c r="AB1058" s="167" t="str">
        <f t="shared" ref="AB1058:AB1063" si="482">IF(ABS(F1058-AA1058)&lt;0.01,"ok","err")</f>
        <v>ok</v>
      </c>
    </row>
    <row r="1059" spans="1:29" s="168" customFormat="1">
      <c r="A1059" s="60" t="s">
        <v>863</v>
      </c>
      <c r="B1059" s="60"/>
      <c r="C1059" s="60"/>
      <c r="D1059" s="60"/>
      <c r="E1059" s="60"/>
      <c r="F1059" s="80">
        <f>F182</f>
        <v>33223399.69324439</v>
      </c>
      <c r="G1059" s="60"/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AA1059" s="170">
        <f>F1059</f>
        <v>33223399.69324439</v>
      </c>
      <c r="AB1059" s="167" t="str">
        <f t="shared" si="482"/>
        <v>ok</v>
      </c>
    </row>
    <row r="1060" spans="1:29" s="168" customFormat="1">
      <c r="A1060" s="60" t="s">
        <v>154</v>
      </c>
      <c r="B1060" s="60"/>
      <c r="C1060" s="60"/>
      <c r="D1060" s="60"/>
      <c r="E1060" s="60"/>
      <c r="F1060" s="80">
        <v>0</v>
      </c>
      <c r="G1060" s="60"/>
      <c r="H1060" s="79">
        <v>0</v>
      </c>
      <c r="I1060" s="76">
        <v>0</v>
      </c>
      <c r="J1060" s="79">
        <v>0</v>
      </c>
      <c r="K1060" s="79">
        <v>0</v>
      </c>
      <c r="L1060" s="112">
        <v>0</v>
      </c>
      <c r="M1060" s="79">
        <v>0</v>
      </c>
      <c r="N1060" s="79">
        <v>0</v>
      </c>
      <c r="O1060" s="79">
        <v>0</v>
      </c>
      <c r="P1060" s="79">
        <v>0</v>
      </c>
      <c r="Q1060" s="60"/>
      <c r="R1060" s="60"/>
      <c r="S1060" s="60"/>
      <c r="T1060" s="79">
        <v>0</v>
      </c>
      <c r="U1060" s="60"/>
      <c r="V1060" s="79">
        <v>0</v>
      </c>
      <c r="W1060" s="79">
        <v>0</v>
      </c>
      <c r="AA1060" s="170">
        <f>SUM(G1060:Z1060)</f>
        <v>0</v>
      </c>
      <c r="AB1060" s="167" t="str">
        <f t="shared" si="482"/>
        <v>ok</v>
      </c>
    </row>
    <row r="1061" spans="1:29" s="168" customFormat="1">
      <c r="A1061" s="60" t="s">
        <v>864</v>
      </c>
      <c r="B1061" s="60"/>
      <c r="C1061" s="60"/>
      <c r="D1061" s="60"/>
      <c r="E1061" s="60" t="s">
        <v>867</v>
      </c>
      <c r="F1061" s="80">
        <f>F1059-F1060</f>
        <v>33223399.69324439</v>
      </c>
      <c r="G1061" s="76">
        <f t="shared" ref="G1061:Z1061" si="483">IF(VLOOKUP($E1061,$D$6:$AN$1131,3,)=0,0,(VLOOKUP($E1061,$D$6:$AN$1131,G$2,)/VLOOKUP($E1061,$D$6:$AN$1131,3,))*$F1061)</f>
        <v>12019496.181291036</v>
      </c>
      <c r="H1061" s="76">
        <f t="shared" si="483"/>
        <v>3905905.9991543591</v>
      </c>
      <c r="I1061" s="76">
        <f t="shared" si="483"/>
        <v>0</v>
      </c>
      <c r="J1061" s="76">
        <f t="shared" si="483"/>
        <v>465200.04562355008</v>
      </c>
      <c r="K1061" s="76">
        <f t="shared" si="483"/>
        <v>5389945.8463299237</v>
      </c>
      <c r="L1061" s="76">
        <f t="shared" si="483"/>
        <v>0</v>
      </c>
      <c r="M1061" s="76">
        <f t="shared" si="483"/>
        <v>0</v>
      </c>
      <c r="N1061" s="76">
        <f t="shared" si="483"/>
        <v>5202794.1984608015</v>
      </c>
      <c r="O1061" s="76">
        <f t="shared" si="483"/>
        <v>2288259.5704960665</v>
      </c>
      <c r="P1061" s="76">
        <f t="shared" si="483"/>
        <v>3168103.1934952135</v>
      </c>
      <c r="Q1061" s="76">
        <f t="shared" si="483"/>
        <v>309222.84114188404</v>
      </c>
      <c r="R1061" s="76">
        <f t="shared" si="483"/>
        <v>163361.32843666791</v>
      </c>
      <c r="S1061" s="76">
        <f t="shared" si="483"/>
        <v>292632.91746175947</v>
      </c>
      <c r="T1061" s="76">
        <f t="shared" si="483"/>
        <v>9538.7331992050331</v>
      </c>
      <c r="U1061" s="76">
        <f t="shared" si="483"/>
        <v>8938.8381539302882</v>
      </c>
      <c r="V1061" s="76">
        <f t="shared" si="483"/>
        <v>0</v>
      </c>
      <c r="W1061" s="76">
        <f t="shared" si="483"/>
        <v>0</v>
      </c>
      <c r="X1061" s="165">
        <f t="shared" si="483"/>
        <v>0</v>
      </c>
      <c r="Y1061" s="165">
        <f t="shared" si="483"/>
        <v>0</v>
      </c>
      <c r="Z1061" s="165">
        <f t="shared" si="483"/>
        <v>0</v>
      </c>
      <c r="AA1061" s="170">
        <f>SUM(G1061:Z1061)</f>
        <v>33223399.693244401</v>
      </c>
      <c r="AB1061" s="167" t="str">
        <f t="shared" si="482"/>
        <v>ok</v>
      </c>
    </row>
    <row r="1062" spans="1:29" s="168" customFormat="1">
      <c r="A1062" s="60" t="s">
        <v>865</v>
      </c>
      <c r="B1062" s="60"/>
      <c r="C1062" s="60"/>
      <c r="D1062" s="60" t="s">
        <v>868</v>
      </c>
      <c r="E1062" s="60"/>
      <c r="F1062" s="80">
        <f t="shared" ref="F1062:Z1062" si="484">F1060+F1061</f>
        <v>33223399.69324439</v>
      </c>
      <c r="G1062" s="80">
        <f t="shared" si="484"/>
        <v>12019496.181291036</v>
      </c>
      <c r="H1062" s="80">
        <f t="shared" si="484"/>
        <v>3905905.9991543591</v>
      </c>
      <c r="I1062" s="80">
        <f t="shared" si="484"/>
        <v>0</v>
      </c>
      <c r="J1062" s="80">
        <f t="shared" si="484"/>
        <v>465200.04562355008</v>
      </c>
      <c r="K1062" s="80">
        <f t="shared" si="484"/>
        <v>5389945.8463299237</v>
      </c>
      <c r="L1062" s="80">
        <f t="shared" si="484"/>
        <v>0</v>
      </c>
      <c r="M1062" s="80">
        <f t="shared" si="484"/>
        <v>0</v>
      </c>
      <c r="N1062" s="80">
        <f t="shared" si="484"/>
        <v>5202794.1984608015</v>
      </c>
      <c r="O1062" s="80">
        <f>O1060+O1061</f>
        <v>2288259.5704960665</v>
      </c>
      <c r="P1062" s="80">
        <f t="shared" si="484"/>
        <v>3168103.1934952135</v>
      </c>
      <c r="Q1062" s="80">
        <f t="shared" si="484"/>
        <v>309222.84114188404</v>
      </c>
      <c r="R1062" s="80">
        <f t="shared" si="484"/>
        <v>163361.32843666791</v>
      </c>
      <c r="S1062" s="80">
        <f t="shared" si="484"/>
        <v>292632.91746175947</v>
      </c>
      <c r="T1062" s="80">
        <f t="shared" si="484"/>
        <v>9538.7331992050331</v>
      </c>
      <c r="U1062" s="80">
        <f t="shared" si="484"/>
        <v>8938.8381539302882</v>
      </c>
      <c r="V1062" s="80">
        <f t="shared" si="484"/>
        <v>0</v>
      </c>
      <c r="W1062" s="80">
        <f t="shared" si="484"/>
        <v>0</v>
      </c>
      <c r="X1062" s="170">
        <f t="shared" si="484"/>
        <v>0</v>
      </c>
      <c r="Y1062" s="170">
        <f t="shared" si="484"/>
        <v>0</v>
      </c>
      <c r="Z1062" s="170">
        <f t="shared" si="484"/>
        <v>0</v>
      </c>
      <c r="AA1062" s="170">
        <f>SUM(G1062:Z1062)</f>
        <v>33223399.693244401</v>
      </c>
      <c r="AB1062" s="167" t="str">
        <f t="shared" si="482"/>
        <v>ok</v>
      </c>
    </row>
    <row r="1063" spans="1:29" s="168" customFormat="1">
      <c r="A1063" s="60" t="s">
        <v>866</v>
      </c>
      <c r="B1063" s="60"/>
      <c r="C1063" s="60"/>
      <c r="D1063" s="60" t="s">
        <v>869</v>
      </c>
      <c r="E1063" s="60" t="s">
        <v>868</v>
      </c>
      <c r="F1063" s="110">
        <v>1</v>
      </c>
      <c r="G1063" s="83">
        <f t="shared" ref="G1063:Z1063" si="485">IF(VLOOKUP($E1063,$D$6:$AN$1131,3,)=0,0,(VLOOKUP($E1063,$D$6:$AN$1131,G$2,)/VLOOKUP($E1063,$D$6:$AN$1131,3,))*$F1063)</f>
        <v>0.36177803271996478</v>
      </c>
      <c r="H1063" s="83">
        <f t="shared" si="485"/>
        <v>0.11756491013015088</v>
      </c>
      <c r="I1063" s="83">
        <f t="shared" si="485"/>
        <v>0</v>
      </c>
      <c r="J1063" s="83">
        <f t="shared" si="485"/>
        <v>1.4002180689477825E-2</v>
      </c>
      <c r="K1063" s="83">
        <f t="shared" si="485"/>
        <v>0.1622334227109789</v>
      </c>
      <c r="L1063" s="83">
        <f t="shared" si="485"/>
        <v>0</v>
      </c>
      <c r="M1063" s="83">
        <f t="shared" si="485"/>
        <v>0</v>
      </c>
      <c r="N1063" s="83">
        <f t="shared" si="485"/>
        <v>0.1566002951684301</v>
      </c>
      <c r="O1063" s="83">
        <f t="shared" si="485"/>
        <v>6.8874937291903901E-2</v>
      </c>
      <c r="P1063" s="83">
        <f t="shared" si="485"/>
        <v>9.5357586001032044E-2</v>
      </c>
      <c r="Q1063" s="83">
        <f t="shared" si="485"/>
        <v>9.3073810626538942E-3</v>
      </c>
      <c r="R1063" s="83">
        <f t="shared" si="485"/>
        <v>4.917056350193013E-3</v>
      </c>
      <c r="S1063" s="83">
        <f t="shared" si="485"/>
        <v>8.8080365093179524E-3</v>
      </c>
      <c r="T1063" s="83">
        <f t="shared" si="485"/>
        <v>2.8710888371681685E-4</v>
      </c>
      <c r="U1063" s="83">
        <f t="shared" si="485"/>
        <v>2.690524821801395E-4</v>
      </c>
      <c r="V1063" s="83">
        <f t="shared" si="485"/>
        <v>0</v>
      </c>
      <c r="W1063" s="83">
        <f t="shared" si="485"/>
        <v>0</v>
      </c>
      <c r="X1063" s="165">
        <f t="shared" si="485"/>
        <v>0</v>
      </c>
      <c r="Y1063" s="165">
        <f t="shared" si="485"/>
        <v>0</v>
      </c>
      <c r="Z1063" s="165">
        <f t="shared" si="485"/>
        <v>0</v>
      </c>
      <c r="AA1063" s="171">
        <f>SUM(G1063:Z1063)</f>
        <v>1.0000000000000004</v>
      </c>
      <c r="AB1063" s="167" t="str">
        <f t="shared" si="482"/>
        <v>ok</v>
      </c>
    </row>
    <row r="1064" spans="1:29" s="174" customFormat="1">
      <c r="A1064" s="60"/>
      <c r="B1064" s="60"/>
      <c r="C1064" s="60"/>
      <c r="D1064" s="60"/>
      <c r="E1064" s="60"/>
      <c r="F1064" s="110"/>
      <c r="G1064" s="83"/>
      <c r="H1064" s="83"/>
      <c r="I1064" s="83"/>
      <c r="J1064" s="83"/>
      <c r="K1064" s="83"/>
      <c r="L1064" s="83"/>
      <c r="M1064" s="83"/>
      <c r="N1064" s="83"/>
      <c r="O1064" s="83"/>
      <c r="P1064" s="83"/>
      <c r="Q1064" s="83"/>
      <c r="R1064" s="83"/>
      <c r="S1064" s="83"/>
      <c r="T1064" s="83"/>
      <c r="U1064" s="83"/>
      <c r="V1064" s="83"/>
      <c r="W1064" s="181"/>
      <c r="X1064" s="181"/>
      <c r="Y1064" s="181"/>
      <c r="Z1064" s="181"/>
      <c r="AA1064" s="181"/>
      <c r="AB1064" s="176"/>
    </row>
    <row r="1065" spans="1:29" s="174" customFormat="1" ht="15">
      <c r="A1065" s="65" t="s">
        <v>1259</v>
      </c>
      <c r="B1065" s="60"/>
      <c r="C1065" s="60"/>
      <c r="D1065" s="60"/>
      <c r="E1065" s="60"/>
      <c r="F1065" s="110"/>
      <c r="G1065" s="83"/>
      <c r="H1065" s="83"/>
      <c r="I1065" s="83"/>
      <c r="J1065" s="83"/>
      <c r="K1065" s="83"/>
      <c r="L1065" s="83"/>
      <c r="M1065" s="83"/>
      <c r="N1065" s="83"/>
      <c r="O1065" s="83"/>
      <c r="P1065" s="83"/>
      <c r="Q1065" s="83"/>
      <c r="R1065" s="83"/>
      <c r="S1065" s="83"/>
      <c r="T1065" s="83"/>
      <c r="U1065" s="83"/>
      <c r="V1065" s="83"/>
      <c r="W1065" s="181"/>
      <c r="X1065" s="181"/>
      <c r="Y1065" s="181"/>
      <c r="Z1065" s="181"/>
      <c r="AA1065" s="181"/>
      <c r="AB1065" s="176"/>
    </row>
    <row r="1066" spans="1:29" s="174" customFormat="1">
      <c r="A1066" s="60"/>
      <c r="B1066" s="60"/>
      <c r="C1066" s="60"/>
      <c r="D1066" s="60"/>
      <c r="E1066" s="60"/>
      <c r="F1066" s="110"/>
      <c r="G1066" s="83"/>
      <c r="H1066" s="83"/>
      <c r="I1066" s="83"/>
      <c r="J1066" s="83"/>
      <c r="K1066" s="83"/>
      <c r="L1066" s="83"/>
      <c r="M1066" s="83"/>
      <c r="N1066" s="83"/>
      <c r="O1066" s="83"/>
      <c r="P1066" s="83"/>
      <c r="Q1066" s="83"/>
      <c r="R1066" s="83"/>
      <c r="S1066" s="83"/>
      <c r="T1066" s="83"/>
      <c r="U1066" s="83"/>
      <c r="V1066" s="83"/>
      <c r="W1066" s="181"/>
      <c r="X1066" s="181"/>
      <c r="Y1066" s="181"/>
      <c r="Z1066" s="181"/>
      <c r="AA1066" s="181"/>
      <c r="AB1066" s="176"/>
    </row>
    <row r="1067" spans="1:29" s="168" customFormat="1" ht="15">
      <c r="A1067" s="65" t="s">
        <v>694</v>
      </c>
      <c r="B1067" s="60"/>
      <c r="C1067" s="60"/>
      <c r="D1067" s="60"/>
      <c r="E1067" s="60"/>
      <c r="F1067" s="110"/>
      <c r="G1067" s="83"/>
      <c r="H1067" s="83"/>
      <c r="I1067" s="83"/>
      <c r="J1067" s="83"/>
      <c r="K1067" s="83"/>
      <c r="L1067" s="83"/>
      <c r="M1067" s="83"/>
      <c r="N1067" s="83"/>
      <c r="O1067" s="83"/>
      <c r="P1067" s="83"/>
      <c r="Q1067" s="83"/>
      <c r="R1067" s="83"/>
      <c r="S1067" s="83"/>
      <c r="T1067" s="83"/>
      <c r="U1067" s="83"/>
      <c r="V1067" s="83"/>
      <c r="W1067" s="83"/>
      <c r="X1067" s="171"/>
      <c r="Y1067" s="171"/>
      <c r="Z1067" s="171"/>
      <c r="AA1067" s="171"/>
      <c r="AB1067" s="167"/>
    </row>
    <row r="1068" spans="1:29" s="174" customFormat="1">
      <c r="A1068" s="60"/>
      <c r="B1068" s="60"/>
      <c r="C1068" s="60"/>
      <c r="D1068" s="60"/>
      <c r="E1068" s="60"/>
      <c r="F1068" s="79"/>
      <c r="G1068" s="79"/>
      <c r="H1068" s="79"/>
      <c r="I1068" s="79"/>
      <c r="J1068" s="79"/>
      <c r="K1068" s="79"/>
      <c r="L1068" s="79"/>
      <c r="M1068" s="79"/>
      <c r="N1068" s="79"/>
      <c r="O1068" s="83"/>
      <c r="P1068" s="83"/>
      <c r="Q1068" s="83"/>
      <c r="R1068" s="83"/>
      <c r="S1068" s="79"/>
      <c r="T1068" s="79"/>
      <c r="U1068" s="79"/>
      <c r="V1068" s="83"/>
      <c r="W1068" s="181"/>
      <c r="X1068" s="181"/>
      <c r="Y1068" s="181"/>
      <c r="Z1068" s="181"/>
      <c r="AA1068" s="182"/>
      <c r="AB1068" s="176"/>
    </row>
    <row r="1069" spans="1:29" s="174" customFormat="1">
      <c r="A1069" s="60" t="s">
        <v>723</v>
      </c>
      <c r="B1069" s="60"/>
      <c r="C1069" s="60"/>
      <c r="D1069" s="60" t="s">
        <v>724</v>
      </c>
      <c r="E1069" s="60"/>
      <c r="F1069" s="79">
        <v>2689126.84</v>
      </c>
      <c r="G1069" s="79">
        <v>2120280.13</v>
      </c>
      <c r="H1069" s="79">
        <v>385053.67</v>
      </c>
      <c r="I1069" s="79">
        <v>0</v>
      </c>
      <c r="J1069" s="79">
        <v>4988.8799999999992</v>
      </c>
      <c r="K1069" s="79">
        <v>86025.47</v>
      </c>
      <c r="L1069" s="79">
        <v>0</v>
      </c>
      <c r="M1069" s="79"/>
      <c r="N1069" s="79">
        <v>29978.34</v>
      </c>
      <c r="O1069" s="79">
        <v>51803.519999999997</v>
      </c>
      <c r="P1069" s="79">
        <v>10654.56</v>
      </c>
      <c r="Q1069" s="79">
        <v>0</v>
      </c>
      <c r="R1069" s="79">
        <v>0</v>
      </c>
      <c r="S1069" s="79">
        <v>342.27000000000004</v>
      </c>
      <c r="T1069" s="79">
        <v>0</v>
      </c>
      <c r="U1069" s="79">
        <v>0</v>
      </c>
      <c r="V1069" s="79"/>
      <c r="W1069" s="175"/>
      <c r="X1069" s="175"/>
      <c r="Y1069" s="175"/>
      <c r="Z1069" s="175"/>
      <c r="AA1069" s="179">
        <f t="shared" ref="AA1069:AA1074" si="486">SUM(G1069:Z1069)</f>
        <v>2689126.84</v>
      </c>
      <c r="AB1069" s="176" t="str">
        <f>IF(ABS(F1069-AA1069)&lt;0.01,"ok","err")</f>
        <v>ok</v>
      </c>
    </row>
    <row r="1070" spans="1:29" s="60" customFormat="1">
      <c r="A1070" s="60" t="s">
        <v>1304</v>
      </c>
      <c r="D1070" s="60" t="s">
        <v>182</v>
      </c>
      <c r="F1070" s="79">
        <v>-1630991.5700000003</v>
      </c>
      <c r="G1070" s="79">
        <v>-1517603.4</v>
      </c>
      <c r="H1070" s="79">
        <v>-98175.069999999992</v>
      </c>
      <c r="I1070" s="83">
        <v>0</v>
      </c>
      <c r="J1070" s="79">
        <f>(J1010/($J$1010+$K$1010))*-14726.55</f>
        <v>-366.10862634516889</v>
      </c>
      <c r="K1070" s="79">
        <f>(K1010/($J$1010+$K$1010))*-14726.55</f>
        <v>-14360.44137365483</v>
      </c>
      <c r="L1070" s="79">
        <v>0</v>
      </c>
      <c r="M1070" s="79">
        <v>0</v>
      </c>
      <c r="N1070" s="79">
        <f>(N1010/($N$1010+$O$1010+$P$1010))*-162</f>
        <v>-43.323193916349808</v>
      </c>
      <c r="O1070" s="79">
        <f>(O1010/($N$1010+$O$1010+$P$1010))*-162</f>
        <v>-113.33840304182509</v>
      </c>
      <c r="P1070" s="79">
        <f>(P1010/($N$1010+$O$1010+$P$1010))*-162</f>
        <v>-5.338403041825095</v>
      </c>
      <c r="Q1070" s="79"/>
      <c r="R1070" s="79"/>
      <c r="S1070" s="83">
        <f>-324.55</f>
        <v>-324.55</v>
      </c>
      <c r="T1070" s="79"/>
      <c r="U1070" s="79"/>
      <c r="V1070" s="79"/>
      <c r="W1070" s="79"/>
      <c r="X1070" s="79"/>
      <c r="Y1070" s="79"/>
      <c r="Z1070" s="79"/>
      <c r="AA1070" s="112">
        <f t="shared" si="486"/>
        <v>-1630991.5700000003</v>
      </c>
      <c r="AB1070" s="93" t="str">
        <f>IF(ROUND(F1070-AA1070,2)=0,"ok","err")</f>
        <v>ok</v>
      </c>
      <c r="AC1070" s="163"/>
    </row>
    <row r="1071" spans="1:29" s="174" customFormat="1">
      <c r="A1071" s="60" t="s">
        <v>1249</v>
      </c>
      <c r="B1071" s="60"/>
      <c r="C1071" s="60"/>
      <c r="D1071" s="60" t="s">
        <v>1250</v>
      </c>
      <c r="E1071" s="60"/>
      <c r="F1071" s="80">
        <f>SUM(F760:F768)-SUM(F788:F812)</f>
        <v>-7438396.4187509604</v>
      </c>
      <c r="G1071" s="80">
        <f>SUM(G760:G768)-SUM(G788:G812)</f>
        <v>-2910913.0307771591</v>
      </c>
      <c r="H1071" s="80">
        <f>SUM(H760:H768)-SUM(H788:H812)</f>
        <v>-1709949.6103451159</v>
      </c>
      <c r="I1071" s="80">
        <v>0</v>
      </c>
      <c r="J1071" s="80">
        <f>SUM(J760:J768)-SUM(J788:J812)</f>
        <v>-68866.100495273189</v>
      </c>
      <c r="K1071" s="80">
        <f>SUM(K760:K768)-SUM(K788:K812)</f>
        <v>-848231.50109641836</v>
      </c>
      <c r="L1071" s="80">
        <f>SUM(L760:L768)-SUM(L788:L812)</f>
        <v>0</v>
      </c>
      <c r="M1071" s="80">
        <v>0</v>
      </c>
      <c r="N1071" s="80">
        <f t="shared" ref="N1071:Z1071" si="487">SUM(N760:N768)-SUM(N788:N812)</f>
        <v>-713893.6071136198</v>
      </c>
      <c r="O1071" s="80">
        <f t="shared" si="487"/>
        <v>-458543.18246138387</v>
      </c>
      <c r="P1071" s="80">
        <f t="shared" si="487"/>
        <v>-396105.2894226819</v>
      </c>
      <c r="Q1071" s="80">
        <f t="shared" si="487"/>
        <v>-36241.472674944918</v>
      </c>
      <c r="R1071" s="80">
        <f t="shared" si="487"/>
        <v>-19757.121663349782</v>
      </c>
      <c r="S1071" s="80">
        <f t="shared" si="487"/>
        <v>-271622.41858001327</v>
      </c>
      <c r="T1071" s="80">
        <f t="shared" si="487"/>
        <v>-2183.8386377239781</v>
      </c>
      <c r="U1071" s="80">
        <f t="shared" si="487"/>
        <v>-2089.245483275874</v>
      </c>
      <c r="V1071" s="80">
        <f t="shared" si="487"/>
        <v>0</v>
      </c>
      <c r="W1071" s="182">
        <f t="shared" si="487"/>
        <v>0</v>
      </c>
      <c r="X1071" s="182">
        <f t="shared" si="487"/>
        <v>0</v>
      </c>
      <c r="Y1071" s="182">
        <f t="shared" si="487"/>
        <v>0</v>
      </c>
      <c r="Z1071" s="182">
        <f t="shared" si="487"/>
        <v>0</v>
      </c>
      <c r="AA1071" s="178">
        <f t="shared" si="486"/>
        <v>-7438396.4187509585</v>
      </c>
      <c r="AB1071" s="176" t="str">
        <f t="shared" ref="AB1071:AB1080" si="488">IF(ABS(F1071-AA1071)&lt;0.01,"ok","err")</f>
        <v>ok</v>
      </c>
    </row>
    <row r="1072" spans="1:29" s="174" customFormat="1">
      <c r="A1072" s="60" t="s">
        <v>1301</v>
      </c>
      <c r="B1072" s="60"/>
      <c r="C1072" s="60"/>
      <c r="D1072" s="60" t="s">
        <v>1245</v>
      </c>
      <c r="E1072" s="60"/>
      <c r="F1072" s="79">
        <v>0</v>
      </c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  <c r="V1072" s="79"/>
      <c r="W1072" s="79"/>
      <c r="X1072" s="175"/>
      <c r="Y1072" s="175"/>
      <c r="Z1072" s="175"/>
      <c r="AA1072" s="175">
        <f t="shared" si="486"/>
        <v>0</v>
      </c>
      <c r="AB1072" s="176" t="str">
        <f t="shared" si="488"/>
        <v>ok</v>
      </c>
    </row>
    <row r="1073" spans="1:29" s="174" customFormat="1">
      <c r="A1073" s="60" t="s">
        <v>1243</v>
      </c>
      <c r="B1073" s="60"/>
      <c r="C1073" s="60"/>
      <c r="D1073" s="60" t="s">
        <v>1241</v>
      </c>
      <c r="E1073" s="60"/>
      <c r="F1073" s="79">
        <v>0</v>
      </c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  <c r="V1073" s="79"/>
      <c r="W1073" s="79"/>
      <c r="X1073" s="175"/>
      <c r="Y1073" s="175"/>
      <c r="Z1073" s="175"/>
      <c r="AA1073" s="175">
        <f t="shared" si="486"/>
        <v>0</v>
      </c>
      <c r="AB1073" s="176" t="str">
        <f t="shared" si="488"/>
        <v>ok</v>
      </c>
    </row>
    <row r="1074" spans="1:29" s="174" customFormat="1">
      <c r="A1074" s="60" t="s">
        <v>1244</v>
      </c>
      <c r="B1074" s="60"/>
      <c r="C1074" s="60"/>
      <c r="D1074" s="60" t="s">
        <v>1242</v>
      </c>
      <c r="E1074" s="60"/>
      <c r="F1074" s="79">
        <v>0</v>
      </c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  <c r="V1074" s="79"/>
      <c r="W1074" s="79"/>
      <c r="X1074" s="175"/>
      <c r="Y1074" s="175"/>
      <c r="Z1074" s="175"/>
      <c r="AA1074" s="175">
        <f t="shared" si="486"/>
        <v>0</v>
      </c>
      <c r="AB1074" s="176" t="str">
        <f t="shared" si="488"/>
        <v>ok</v>
      </c>
    </row>
    <row r="1075" spans="1:29" s="174" customFormat="1">
      <c r="A1075" s="60" t="s">
        <v>892</v>
      </c>
      <c r="B1075" s="60"/>
      <c r="C1075" s="60"/>
      <c r="D1075" s="60" t="s">
        <v>893</v>
      </c>
      <c r="E1075" s="60"/>
      <c r="F1075" s="79">
        <v>0</v>
      </c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>
        <v>0</v>
      </c>
      <c r="W1075" s="79">
        <v>0</v>
      </c>
      <c r="X1075" s="175"/>
      <c r="Y1075" s="175"/>
      <c r="Z1075" s="175"/>
      <c r="AA1075" s="175">
        <f t="shared" ref="AA1075:AA1080" si="489">SUM(G1075:Z1075)</f>
        <v>0</v>
      </c>
      <c r="AB1075" s="176" t="str">
        <f t="shared" si="488"/>
        <v>ok</v>
      </c>
    </row>
    <row r="1076" spans="1:29" s="174" customFormat="1">
      <c r="A1076" s="60" t="s">
        <v>920</v>
      </c>
      <c r="B1076" s="60"/>
      <c r="C1076" s="60"/>
      <c r="D1076" s="60" t="s">
        <v>919</v>
      </c>
      <c r="E1076" s="60"/>
      <c r="F1076" s="79">
        <v>0</v>
      </c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  <c r="V1076" s="79">
        <v>0</v>
      </c>
      <c r="W1076" s="79">
        <v>0</v>
      </c>
      <c r="X1076" s="175"/>
      <c r="Y1076" s="175"/>
      <c r="Z1076" s="175"/>
      <c r="AA1076" s="175">
        <f t="shared" si="489"/>
        <v>0</v>
      </c>
      <c r="AB1076" s="176" t="str">
        <f t="shared" si="488"/>
        <v>ok</v>
      </c>
    </row>
    <row r="1077" spans="1:29" s="60" customFormat="1">
      <c r="A1077" s="60" t="s">
        <v>632</v>
      </c>
      <c r="D1077" s="60" t="s">
        <v>693</v>
      </c>
      <c r="F1077" s="79">
        <v>163886444</v>
      </c>
      <c r="G1077" s="79">
        <v>64164081</v>
      </c>
      <c r="H1077" s="79">
        <f>35966001</f>
        <v>35966001</v>
      </c>
      <c r="I1077" s="79">
        <v>0</v>
      </c>
      <c r="J1077" s="79">
        <f>1568548</f>
        <v>1568548</v>
      </c>
      <c r="K1077" s="79">
        <f>19512643</f>
        <v>19512643</v>
      </c>
      <c r="L1077" s="79">
        <v>0</v>
      </c>
      <c r="M1077" s="79"/>
      <c r="N1077" s="79">
        <f>16210961</f>
        <v>16210961</v>
      </c>
      <c r="O1077" s="79">
        <f>10462757</f>
        <v>10462757</v>
      </c>
      <c r="P1077" s="79">
        <f>8983013</f>
        <v>8983013</v>
      </c>
      <c r="Q1077" s="79">
        <f>831030</f>
        <v>831030</v>
      </c>
      <c r="R1077" s="79">
        <f>449773</f>
        <v>449773</v>
      </c>
      <c r="S1077" s="79">
        <f>2279259+2001557+1364134</f>
        <v>5644950</v>
      </c>
      <c r="T1077" s="79">
        <f>46675</f>
        <v>46675</v>
      </c>
      <c r="U1077" s="79">
        <f>46012</f>
        <v>46012</v>
      </c>
      <c r="V1077" s="79">
        <v>0</v>
      </c>
      <c r="W1077" s="79">
        <v>0</v>
      </c>
      <c r="X1077" s="79"/>
      <c r="Y1077" s="79"/>
      <c r="Z1077" s="79"/>
      <c r="AA1077" s="79">
        <f t="shared" si="489"/>
        <v>163886444</v>
      </c>
      <c r="AB1077" s="93" t="str">
        <f t="shared" si="488"/>
        <v>ok</v>
      </c>
    </row>
    <row r="1078" spans="1:29" s="168" customFormat="1">
      <c r="A1078" s="60" t="s">
        <v>1247</v>
      </c>
      <c r="B1078" s="60"/>
      <c r="C1078" s="60"/>
      <c r="D1078" s="60" t="s">
        <v>1246</v>
      </c>
      <c r="E1078" s="60"/>
      <c r="F1078" s="79">
        <v>0</v>
      </c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  <c r="V1078" s="79"/>
      <c r="W1078" s="79"/>
      <c r="X1078" s="164"/>
      <c r="Y1078" s="164"/>
      <c r="Z1078" s="164"/>
      <c r="AA1078" s="164">
        <f>SUM(G1078:Z1078)</f>
        <v>0</v>
      </c>
      <c r="AB1078" s="167" t="str">
        <f t="shared" si="488"/>
        <v>ok</v>
      </c>
    </row>
    <row r="1079" spans="1:29" s="174" customFormat="1">
      <c r="A1079" s="60" t="s">
        <v>633</v>
      </c>
      <c r="B1079" s="60"/>
      <c r="C1079" s="60"/>
      <c r="D1079" s="111" t="s">
        <v>874</v>
      </c>
      <c r="E1079" s="60"/>
      <c r="F1079" s="79">
        <v>0</v>
      </c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>
        <v>0</v>
      </c>
      <c r="W1079" s="79">
        <v>0</v>
      </c>
      <c r="X1079" s="175"/>
      <c r="Y1079" s="175"/>
      <c r="Z1079" s="175"/>
      <c r="AA1079" s="175">
        <f t="shared" si="489"/>
        <v>0</v>
      </c>
      <c r="AB1079" s="176" t="str">
        <f t="shared" si="488"/>
        <v>ok</v>
      </c>
      <c r="AC1079" s="177"/>
    </row>
    <row r="1080" spans="1:29" s="60" customFormat="1">
      <c r="A1080" s="60" t="s">
        <v>1174</v>
      </c>
      <c r="D1080" s="166" t="s">
        <v>873</v>
      </c>
      <c r="F1080" s="79">
        <v>0</v>
      </c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>
        <f>V1022</f>
        <v>0</v>
      </c>
      <c r="W1080" s="79">
        <f>W1022</f>
        <v>0</v>
      </c>
      <c r="X1080" s="79">
        <f>X1022</f>
        <v>0</v>
      </c>
      <c r="Y1080" s="79">
        <f>Y1022</f>
        <v>0</v>
      </c>
      <c r="Z1080" s="79">
        <f>Z1022</f>
        <v>0</v>
      </c>
      <c r="AA1080" s="79">
        <f t="shared" si="489"/>
        <v>0</v>
      </c>
      <c r="AB1080" s="93" t="str">
        <f t="shared" si="488"/>
        <v>ok</v>
      </c>
      <c r="AC1080" s="134"/>
    </row>
    <row r="1081" spans="1:29" s="174" customFormat="1">
      <c r="A1081" s="60"/>
      <c r="B1081" s="60"/>
      <c r="C1081" s="60"/>
      <c r="D1081" s="60"/>
      <c r="E1081" s="60"/>
      <c r="F1081" s="110"/>
      <c r="G1081" s="83"/>
      <c r="H1081" s="83"/>
      <c r="I1081" s="83"/>
      <c r="J1081" s="83"/>
      <c r="K1081" s="83"/>
      <c r="L1081" s="83"/>
      <c r="M1081" s="83"/>
      <c r="N1081" s="83"/>
      <c r="O1081" s="83"/>
      <c r="P1081" s="83"/>
      <c r="Q1081" s="83"/>
      <c r="R1081" s="83"/>
      <c r="S1081" s="83"/>
      <c r="T1081" s="83"/>
      <c r="U1081" s="83"/>
      <c r="V1081" s="83"/>
      <c r="W1081" s="181"/>
      <c r="X1081" s="181"/>
      <c r="Y1081" s="181"/>
      <c r="Z1081" s="181"/>
      <c r="AA1081" s="181"/>
      <c r="AB1081" s="176"/>
    </row>
    <row r="1082" spans="1:29" s="174" customFormat="1" ht="15" hidden="1">
      <c r="A1082" s="65" t="s">
        <v>847</v>
      </c>
      <c r="B1082" s="60"/>
      <c r="C1082" s="60"/>
      <c r="D1082" s="60"/>
      <c r="E1082" s="60"/>
      <c r="F1082" s="110"/>
      <c r="G1082" s="83"/>
      <c r="H1082" s="83"/>
      <c r="I1082" s="83"/>
      <c r="J1082" s="83"/>
      <c r="K1082" s="83"/>
      <c r="L1082" s="83"/>
      <c r="M1082" s="83"/>
      <c r="N1082" s="83"/>
      <c r="O1082" s="83"/>
      <c r="P1082" s="83"/>
      <c r="Q1082" s="83"/>
      <c r="R1082" s="83"/>
      <c r="S1082" s="83"/>
      <c r="T1082" s="83"/>
      <c r="U1082" s="83"/>
      <c r="V1082" s="83"/>
      <c r="W1082" s="181"/>
      <c r="X1082" s="181"/>
      <c r="Y1082" s="181"/>
      <c r="Z1082" s="181"/>
      <c r="AA1082" s="181"/>
      <c r="AB1082" s="176"/>
    </row>
    <row r="1083" spans="1:29" s="174" customFormat="1" hidden="1">
      <c r="A1083" s="60"/>
      <c r="B1083" s="60"/>
      <c r="C1083" s="60"/>
      <c r="D1083" s="60"/>
      <c r="E1083" s="60"/>
      <c r="F1083" s="60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3"/>
      <c r="T1083" s="83"/>
      <c r="U1083" s="83"/>
      <c r="V1083" s="83"/>
      <c r="W1083" s="181"/>
      <c r="X1083" s="181"/>
      <c r="Y1083" s="181"/>
      <c r="Z1083" s="181"/>
      <c r="AA1083" s="181"/>
      <c r="AB1083" s="176"/>
    </row>
    <row r="1084" spans="1:29" s="174" customFormat="1" hidden="1">
      <c r="A1084" s="60" t="s">
        <v>849</v>
      </c>
      <c r="B1084" s="60"/>
      <c r="C1084" s="60"/>
      <c r="D1084" s="60"/>
      <c r="E1084" s="60" t="s">
        <v>1103</v>
      </c>
      <c r="F1084" s="76">
        <f>F699</f>
        <v>42971044.699999966</v>
      </c>
      <c r="G1084" s="76">
        <f t="shared" ref="G1084:Z1084" si="490">IF(VLOOKUP($E1084,$D$6:$AN$1131,3,)=0,0,(VLOOKUP($E1084,$D$6:$AN$1131,G$2,)/VLOOKUP($E1084,$D$6:$AN$1131,3,))*$F1084)</f>
        <v>16880231.919388261</v>
      </c>
      <c r="H1084" s="76">
        <f t="shared" si="490"/>
        <v>5674124.6064983541</v>
      </c>
      <c r="I1084" s="76">
        <f t="shared" si="490"/>
        <v>0</v>
      </c>
      <c r="J1084" s="76">
        <f t="shared" si="490"/>
        <v>526365.4701895559</v>
      </c>
      <c r="K1084" s="76">
        <f t="shared" si="490"/>
        <v>6762156.2368940795</v>
      </c>
      <c r="L1084" s="76">
        <f t="shared" si="490"/>
        <v>0</v>
      </c>
      <c r="M1084" s="76">
        <f t="shared" si="490"/>
        <v>0</v>
      </c>
      <c r="N1084" s="76">
        <f t="shared" si="490"/>
        <v>5738540.2730001565</v>
      </c>
      <c r="O1084" s="76">
        <f t="shared" si="490"/>
        <v>3283159.7509055217</v>
      </c>
      <c r="P1084" s="76">
        <f t="shared" si="490"/>
        <v>3429050.4094536486</v>
      </c>
      <c r="Q1084" s="76">
        <f t="shared" si="490"/>
        <v>362354.27002245374</v>
      </c>
      <c r="R1084" s="76">
        <f t="shared" si="490"/>
        <v>161929.23638010508</v>
      </c>
      <c r="S1084" s="76">
        <f t="shared" si="490"/>
        <v>139517.63134496304</v>
      </c>
      <c r="T1084" s="76">
        <f t="shared" si="490"/>
        <v>4547.755380306744</v>
      </c>
      <c r="U1084" s="76">
        <f t="shared" si="490"/>
        <v>9067.1405425606226</v>
      </c>
      <c r="V1084" s="76">
        <f t="shared" si="490"/>
        <v>0</v>
      </c>
      <c r="W1084" s="178">
        <f t="shared" si="490"/>
        <v>0</v>
      </c>
      <c r="X1084" s="178">
        <f t="shared" si="490"/>
        <v>0</v>
      </c>
      <c r="Y1084" s="178">
        <f t="shared" si="490"/>
        <v>0</v>
      </c>
      <c r="Z1084" s="178">
        <f t="shared" si="490"/>
        <v>0</v>
      </c>
      <c r="AA1084" s="182">
        <f>SUM(G1084:Z1084)</f>
        <v>42971044.699999966</v>
      </c>
      <c r="AB1084" s="176" t="str">
        <f>IF(ABS(F1084-AA1084)&lt;0.01,"ok","err")</f>
        <v>ok</v>
      </c>
    </row>
    <row r="1085" spans="1:29" s="174" customFormat="1" hidden="1">
      <c r="A1085" s="60"/>
      <c r="B1085" s="60"/>
      <c r="C1085" s="60"/>
      <c r="D1085" s="60"/>
      <c r="E1085" s="60"/>
      <c r="F1085" s="60"/>
      <c r="G1085" s="83"/>
      <c r="H1085" s="83"/>
      <c r="I1085" s="83"/>
      <c r="J1085" s="83"/>
      <c r="K1085" s="83"/>
      <c r="L1085" s="83"/>
      <c r="M1085" s="83"/>
      <c r="N1085" s="83"/>
      <c r="O1085" s="83"/>
      <c r="P1085" s="83"/>
      <c r="Q1085" s="83"/>
      <c r="R1085" s="83"/>
      <c r="S1085" s="83"/>
      <c r="T1085" s="83"/>
      <c r="U1085" s="83"/>
      <c r="V1085" s="83"/>
      <c r="W1085" s="181"/>
      <c r="X1085" s="181"/>
      <c r="Y1085" s="181"/>
      <c r="Z1085" s="181"/>
      <c r="AA1085" s="181"/>
      <c r="AB1085" s="176"/>
    </row>
    <row r="1086" spans="1:29" s="174" customFormat="1" hidden="1">
      <c r="A1086" s="60" t="s">
        <v>856</v>
      </c>
      <c r="B1086" s="60"/>
      <c r="C1086" s="60"/>
      <c r="D1086" s="60"/>
      <c r="E1086" s="60"/>
      <c r="F1086" s="60"/>
      <c r="G1086" s="83"/>
      <c r="H1086" s="83"/>
      <c r="I1086" s="83"/>
      <c r="J1086" s="83"/>
      <c r="K1086" s="83"/>
      <c r="L1086" s="83"/>
      <c r="M1086" s="83"/>
      <c r="N1086" s="83"/>
      <c r="O1086" s="83"/>
      <c r="P1086" s="83"/>
      <c r="Q1086" s="83"/>
      <c r="R1086" s="83"/>
      <c r="S1086" s="83"/>
      <c r="T1086" s="83"/>
      <c r="U1086" s="83"/>
      <c r="V1086" s="83"/>
      <c r="W1086" s="181"/>
      <c r="X1086" s="181"/>
      <c r="Y1086" s="181"/>
      <c r="Z1086" s="181"/>
      <c r="AA1086" s="181"/>
      <c r="AB1086" s="176"/>
    </row>
    <row r="1087" spans="1:29" s="174" customFormat="1" hidden="1">
      <c r="A1087" s="60" t="s">
        <v>851</v>
      </c>
      <c r="B1087" s="60"/>
      <c r="C1087" s="60"/>
      <c r="D1087" s="60"/>
      <c r="E1087" s="60" t="s">
        <v>930</v>
      </c>
      <c r="F1087" s="76">
        <v>0</v>
      </c>
      <c r="G1087" s="76">
        <f t="shared" ref="G1087:P1088" si="491">IF(VLOOKUP($E1087,$D$6:$AN$1131,3,)=0,0,(VLOOKUP($E1087,$D$6:$AN$1131,G$2,)/VLOOKUP($E1087,$D$6:$AN$1131,3,))*$F1087)</f>
        <v>0</v>
      </c>
      <c r="H1087" s="76">
        <f t="shared" si="491"/>
        <v>0</v>
      </c>
      <c r="I1087" s="76">
        <f t="shared" si="491"/>
        <v>0</v>
      </c>
      <c r="J1087" s="76">
        <f t="shared" si="491"/>
        <v>0</v>
      </c>
      <c r="K1087" s="76">
        <f t="shared" si="491"/>
        <v>0</v>
      </c>
      <c r="L1087" s="76">
        <f t="shared" si="491"/>
        <v>0</v>
      </c>
      <c r="M1087" s="76">
        <f t="shared" si="491"/>
        <v>0</v>
      </c>
      <c r="N1087" s="76">
        <f t="shared" si="491"/>
        <v>0</v>
      </c>
      <c r="O1087" s="76">
        <f t="shared" si="491"/>
        <v>0</v>
      </c>
      <c r="P1087" s="76">
        <f t="shared" si="491"/>
        <v>0</v>
      </c>
      <c r="Q1087" s="76">
        <f t="shared" ref="Q1087:Z1088" si="492">IF(VLOOKUP($E1087,$D$6:$AN$1131,3,)=0,0,(VLOOKUP($E1087,$D$6:$AN$1131,Q$2,)/VLOOKUP($E1087,$D$6:$AN$1131,3,))*$F1087)</f>
        <v>0</v>
      </c>
      <c r="R1087" s="76">
        <f t="shared" si="492"/>
        <v>0</v>
      </c>
      <c r="S1087" s="76">
        <f t="shared" si="492"/>
        <v>0</v>
      </c>
      <c r="T1087" s="76">
        <f t="shared" si="492"/>
        <v>0</v>
      </c>
      <c r="U1087" s="76">
        <f t="shared" si="492"/>
        <v>0</v>
      </c>
      <c r="V1087" s="76">
        <f t="shared" si="492"/>
        <v>0</v>
      </c>
      <c r="W1087" s="178">
        <f t="shared" si="492"/>
        <v>0</v>
      </c>
      <c r="X1087" s="175">
        <f t="shared" si="492"/>
        <v>0</v>
      </c>
      <c r="Y1087" s="175">
        <f t="shared" si="492"/>
        <v>0</v>
      </c>
      <c r="Z1087" s="175">
        <f t="shared" si="492"/>
        <v>0</v>
      </c>
      <c r="AA1087" s="182">
        <f>SUM(G1087:Z1087)</f>
        <v>0</v>
      </c>
      <c r="AB1087" s="176" t="str">
        <f>IF(ABS(F1087-AA1087)&lt;0.01,"ok","err")</f>
        <v>ok</v>
      </c>
    </row>
    <row r="1088" spans="1:29" s="174" customFormat="1" hidden="1">
      <c r="A1088" s="60" t="s">
        <v>852</v>
      </c>
      <c r="B1088" s="60"/>
      <c r="C1088" s="60"/>
      <c r="D1088" s="60"/>
      <c r="E1088" s="60" t="s">
        <v>1103</v>
      </c>
      <c r="F1088" s="79">
        <f>-F1087</f>
        <v>0</v>
      </c>
      <c r="G1088" s="79">
        <f t="shared" si="491"/>
        <v>0</v>
      </c>
      <c r="H1088" s="79">
        <f t="shared" si="491"/>
        <v>0</v>
      </c>
      <c r="I1088" s="79">
        <f t="shared" si="491"/>
        <v>0</v>
      </c>
      <c r="J1088" s="79">
        <f t="shared" si="491"/>
        <v>0</v>
      </c>
      <c r="K1088" s="79">
        <f t="shared" si="491"/>
        <v>0</v>
      </c>
      <c r="L1088" s="79">
        <f t="shared" si="491"/>
        <v>0</v>
      </c>
      <c r="M1088" s="79">
        <f t="shared" si="491"/>
        <v>0</v>
      </c>
      <c r="N1088" s="79">
        <f t="shared" si="491"/>
        <v>0</v>
      </c>
      <c r="O1088" s="79">
        <f t="shared" si="491"/>
        <v>0</v>
      </c>
      <c r="P1088" s="79">
        <f t="shared" si="491"/>
        <v>0</v>
      </c>
      <c r="Q1088" s="79">
        <f t="shared" si="492"/>
        <v>0</v>
      </c>
      <c r="R1088" s="79">
        <f t="shared" si="492"/>
        <v>0</v>
      </c>
      <c r="S1088" s="79">
        <f t="shared" si="492"/>
        <v>0</v>
      </c>
      <c r="T1088" s="79">
        <f t="shared" si="492"/>
        <v>0</v>
      </c>
      <c r="U1088" s="79">
        <f t="shared" si="492"/>
        <v>0</v>
      </c>
      <c r="V1088" s="79">
        <f t="shared" si="492"/>
        <v>0</v>
      </c>
      <c r="W1088" s="175">
        <f t="shared" si="492"/>
        <v>0</v>
      </c>
      <c r="X1088" s="175">
        <f t="shared" si="492"/>
        <v>0</v>
      </c>
      <c r="Y1088" s="175">
        <f t="shared" si="492"/>
        <v>0</v>
      </c>
      <c r="Z1088" s="175">
        <f t="shared" si="492"/>
        <v>0</v>
      </c>
      <c r="AA1088" s="175">
        <f>SUM(G1088:Z1088)</f>
        <v>0</v>
      </c>
      <c r="AB1088" s="176" t="str">
        <f>IF(ABS(F1088-AA1088)&lt;0.01,"ok","err")</f>
        <v>ok</v>
      </c>
    </row>
    <row r="1089" spans="1:29" s="174" customFormat="1" hidden="1">
      <c r="A1089" s="60" t="s">
        <v>853</v>
      </c>
      <c r="B1089" s="60"/>
      <c r="C1089" s="60"/>
      <c r="D1089" s="60"/>
      <c r="E1089" s="60"/>
      <c r="F1089" s="79">
        <f>F1087+F1088</f>
        <v>0</v>
      </c>
      <c r="G1089" s="79">
        <f t="shared" ref="G1089:W1089" si="493">G1087+G1088</f>
        <v>0</v>
      </c>
      <c r="H1089" s="79">
        <f t="shared" si="493"/>
        <v>0</v>
      </c>
      <c r="I1089" s="79">
        <f t="shared" si="493"/>
        <v>0</v>
      </c>
      <c r="J1089" s="79">
        <f t="shared" si="493"/>
        <v>0</v>
      </c>
      <c r="K1089" s="79">
        <f t="shared" si="493"/>
        <v>0</v>
      </c>
      <c r="L1089" s="79">
        <f t="shared" si="493"/>
        <v>0</v>
      </c>
      <c r="M1089" s="79">
        <f t="shared" si="493"/>
        <v>0</v>
      </c>
      <c r="N1089" s="79">
        <f t="shared" si="493"/>
        <v>0</v>
      </c>
      <c r="O1089" s="79">
        <f>O1087+O1088</f>
        <v>0</v>
      </c>
      <c r="P1089" s="79">
        <f t="shared" si="493"/>
        <v>0</v>
      </c>
      <c r="Q1089" s="79">
        <f t="shared" si="493"/>
        <v>0</v>
      </c>
      <c r="R1089" s="79">
        <f t="shared" si="493"/>
        <v>0</v>
      </c>
      <c r="S1089" s="79">
        <f t="shared" si="493"/>
        <v>0</v>
      </c>
      <c r="T1089" s="79">
        <f t="shared" si="493"/>
        <v>0</v>
      </c>
      <c r="U1089" s="79">
        <f t="shared" si="493"/>
        <v>0</v>
      </c>
      <c r="V1089" s="79">
        <f t="shared" si="493"/>
        <v>0</v>
      </c>
      <c r="W1089" s="175">
        <f t="shared" si="493"/>
        <v>0</v>
      </c>
      <c r="X1089" s="175">
        <f>X1087+X1088</f>
        <v>0</v>
      </c>
      <c r="Y1089" s="175">
        <f>Y1087+Y1088</f>
        <v>0</v>
      </c>
      <c r="Z1089" s="175">
        <f>Z1087+Z1088</f>
        <v>0</v>
      </c>
      <c r="AA1089" s="175"/>
      <c r="AB1089" s="176"/>
    </row>
    <row r="1090" spans="1:29" s="174" customFormat="1" hidden="1">
      <c r="A1090" s="60"/>
      <c r="B1090" s="60"/>
      <c r="C1090" s="60"/>
      <c r="D1090" s="60"/>
      <c r="E1090" s="60"/>
      <c r="F1090" s="110"/>
      <c r="G1090" s="83"/>
      <c r="H1090" s="83"/>
      <c r="I1090" s="83"/>
      <c r="J1090" s="83"/>
      <c r="K1090" s="83"/>
      <c r="L1090" s="83"/>
      <c r="M1090" s="83"/>
      <c r="N1090" s="83"/>
      <c r="O1090" s="83"/>
      <c r="P1090" s="83"/>
      <c r="Q1090" s="83"/>
      <c r="R1090" s="83"/>
      <c r="S1090" s="83"/>
      <c r="T1090" s="83"/>
      <c r="U1090" s="83"/>
      <c r="V1090" s="83"/>
      <c r="W1090" s="181"/>
      <c r="X1090" s="181"/>
      <c r="Y1090" s="181"/>
      <c r="Z1090" s="181"/>
      <c r="AA1090" s="181"/>
      <c r="AB1090" s="176"/>
    </row>
    <row r="1091" spans="1:29" s="174" customFormat="1" hidden="1">
      <c r="A1091" s="60" t="s">
        <v>854</v>
      </c>
      <c r="B1091" s="60"/>
      <c r="C1091" s="60"/>
      <c r="D1091" s="60" t="s">
        <v>855</v>
      </c>
      <c r="E1091" s="60"/>
      <c r="F1091" s="76">
        <f>F1084-F1089</f>
        <v>42971044.699999966</v>
      </c>
      <c r="G1091" s="76">
        <f t="shared" ref="G1091:Z1091" si="494">G1084-G1089</f>
        <v>16880231.919388261</v>
      </c>
      <c r="H1091" s="76">
        <f t="shared" si="494"/>
        <v>5674124.6064983541</v>
      </c>
      <c r="I1091" s="76">
        <f t="shared" si="494"/>
        <v>0</v>
      </c>
      <c r="J1091" s="76">
        <f t="shared" si="494"/>
        <v>526365.4701895559</v>
      </c>
      <c r="K1091" s="76">
        <f t="shared" si="494"/>
        <v>6762156.2368940795</v>
      </c>
      <c r="L1091" s="76">
        <f t="shared" si="494"/>
        <v>0</v>
      </c>
      <c r="M1091" s="76">
        <f t="shared" si="494"/>
        <v>0</v>
      </c>
      <c r="N1091" s="76">
        <f t="shared" si="494"/>
        <v>5738540.2730001565</v>
      </c>
      <c r="O1091" s="76">
        <f>O1084-O1089</f>
        <v>3283159.7509055217</v>
      </c>
      <c r="P1091" s="76">
        <f t="shared" si="494"/>
        <v>3429050.4094536486</v>
      </c>
      <c r="Q1091" s="76">
        <f t="shared" si="494"/>
        <v>362354.27002245374</v>
      </c>
      <c r="R1091" s="76">
        <f t="shared" si="494"/>
        <v>161929.23638010508</v>
      </c>
      <c r="S1091" s="76">
        <f t="shared" si="494"/>
        <v>139517.63134496304</v>
      </c>
      <c r="T1091" s="76">
        <f t="shared" si="494"/>
        <v>4547.755380306744</v>
      </c>
      <c r="U1091" s="76">
        <f t="shared" si="494"/>
        <v>9067.1405425606226</v>
      </c>
      <c r="V1091" s="76">
        <f t="shared" si="494"/>
        <v>0</v>
      </c>
      <c r="W1091" s="178">
        <f t="shared" si="494"/>
        <v>0</v>
      </c>
      <c r="X1091" s="175">
        <f t="shared" si="494"/>
        <v>0</v>
      </c>
      <c r="Y1091" s="175">
        <f t="shared" si="494"/>
        <v>0</v>
      </c>
      <c r="Z1091" s="175">
        <f t="shared" si="494"/>
        <v>0</v>
      </c>
      <c r="AA1091" s="182">
        <f>SUM(G1091:Z1091)</f>
        <v>42971044.699999966</v>
      </c>
      <c r="AB1091" s="176" t="str">
        <f>IF(ABS(F1091-AA1091)&lt;0.01,"ok","err")</f>
        <v>ok</v>
      </c>
    </row>
    <row r="1092" spans="1:29" s="174" customFormat="1" hidden="1">
      <c r="A1092" s="60"/>
      <c r="B1092" s="60"/>
      <c r="C1092" s="60"/>
      <c r="D1092" s="60"/>
      <c r="E1092" s="60"/>
      <c r="F1092" s="110"/>
      <c r="G1092" s="83"/>
      <c r="H1092" s="83"/>
      <c r="I1092" s="83"/>
      <c r="J1092" s="83"/>
      <c r="K1092" s="83"/>
      <c r="L1092" s="83"/>
      <c r="M1092" s="83"/>
      <c r="N1092" s="83"/>
      <c r="O1092" s="83"/>
      <c r="P1092" s="83"/>
      <c r="Q1092" s="83"/>
      <c r="R1092" s="83"/>
      <c r="S1092" s="83"/>
      <c r="T1092" s="83"/>
      <c r="U1092" s="83"/>
      <c r="V1092" s="83"/>
      <c r="W1092" s="181"/>
      <c r="X1092" s="181"/>
      <c r="Y1092" s="181"/>
      <c r="Z1092" s="181"/>
      <c r="AA1092" s="181"/>
      <c r="AB1092" s="176"/>
    </row>
    <row r="1093" spans="1:29" s="174" customFormat="1">
      <c r="A1093" s="60"/>
      <c r="B1093" s="60"/>
      <c r="C1093" s="60"/>
      <c r="D1093" s="60"/>
      <c r="E1093" s="60"/>
      <c r="F1093" s="110"/>
      <c r="G1093" s="83"/>
      <c r="H1093" s="83"/>
      <c r="I1093" s="83"/>
      <c r="J1093" s="83"/>
      <c r="K1093" s="83"/>
      <c r="L1093" s="83"/>
      <c r="M1093" s="83"/>
      <c r="N1093" s="83"/>
      <c r="O1093" s="83"/>
      <c r="P1093" s="83"/>
      <c r="Q1093" s="83"/>
      <c r="R1093" s="83"/>
      <c r="S1093" s="83"/>
      <c r="T1093" s="83"/>
      <c r="U1093" s="83"/>
      <c r="V1093" s="83"/>
      <c r="W1093" s="181"/>
      <c r="X1093" s="181"/>
      <c r="Y1093" s="181"/>
      <c r="Z1093" s="181"/>
      <c r="AA1093" s="181"/>
      <c r="AB1093" s="176"/>
    </row>
    <row r="1094" spans="1:29" s="168" customFormat="1" ht="15">
      <c r="A1094" s="65" t="s">
        <v>695</v>
      </c>
      <c r="B1094" s="60"/>
      <c r="C1094" s="60"/>
      <c r="D1094" s="60"/>
      <c r="E1094" s="60"/>
      <c r="F1094" s="110"/>
      <c r="G1094" s="83"/>
      <c r="H1094" s="83"/>
      <c r="I1094" s="83"/>
      <c r="J1094" s="83"/>
      <c r="K1094" s="83"/>
      <c r="L1094" s="83"/>
      <c r="M1094" s="83"/>
      <c r="N1094" s="83"/>
      <c r="O1094" s="83"/>
      <c r="P1094" s="83"/>
      <c r="Q1094" s="83"/>
      <c r="R1094" s="83"/>
      <c r="S1094" s="83"/>
      <c r="T1094" s="83"/>
      <c r="U1094" s="83"/>
      <c r="V1094" s="83"/>
      <c r="W1094" s="83"/>
      <c r="X1094" s="171"/>
      <c r="Y1094" s="171"/>
      <c r="Z1094" s="171"/>
      <c r="AA1094" s="171"/>
      <c r="AB1094" s="167"/>
    </row>
    <row r="1095" spans="1:29" s="168" customFormat="1">
      <c r="A1095" s="60" t="s">
        <v>909</v>
      </c>
      <c r="B1095" s="60"/>
      <c r="C1095" s="60"/>
      <c r="D1095" s="60" t="s">
        <v>701</v>
      </c>
      <c r="E1095" s="60"/>
      <c r="F1095" s="79">
        <f t="shared" ref="F1095:Z1095" si="495">F10+F11</f>
        <v>1593301897.1525154</v>
      </c>
      <c r="G1095" s="79">
        <f t="shared" si="495"/>
        <v>654776563.4009738</v>
      </c>
      <c r="H1095" s="79">
        <f t="shared" si="495"/>
        <v>223857761.18638557</v>
      </c>
      <c r="I1095" s="79">
        <f t="shared" si="495"/>
        <v>0</v>
      </c>
      <c r="J1095" s="79">
        <f t="shared" si="495"/>
        <v>17886310.144946367</v>
      </c>
      <c r="K1095" s="79">
        <f t="shared" si="495"/>
        <v>246202367.66704711</v>
      </c>
      <c r="L1095" s="79">
        <f t="shared" si="495"/>
        <v>0</v>
      </c>
      <c r="M1095" s="79">
        <f t="shared" si="495"/>
        <v>0</v>
      </c>
      <c r="N1095" s="79">
        <f t="shared" si="495"/>
        <v>191329719.62024865</v>
      </c>
      <c r="O1095" s="79">
        <f t="shared" si="495"/>
        <v>128738210.63073418</v>
      </c>
      <c r="P1095" s="79">
        <f t="shared" si="495"/>
        <v>112671463.43320423</v>
      </c>
      <c r="Q1095" s="79">
        <f t="shared" si="495"/>
        <v>12621754.377601396</v>
      </c>
      <c r="R1095" s="79">
        <f t="shared" si="495"/>
        <v>4935546.0146323107</v>
      </c>
      <c r="S1095" s="79">
        <f t="shared" si="495"/>
        <v>0</v>
      </c>
      <c r="T1095" s="79">
        <f t="shared" si="495"/>
        <v>0</v>
      </c>
      <c r="U1095" s="79">
        <f t="shared" si="495"/>
        <v>282200.67674187571</v>
      </c>
      <c r="V1095" s="79">
        <f t="shared" si="495"/>
        <v>0</v>
      </c>
      <c r="W1095" s="79">
        <f t="shared" si="495"/>
        <v>0</v>
      </c>
      <c r="X1095" s="164">
        <f t="shared" si="495"/>
        <v>0</v>
      </c>
      <c r="Y1095" s="164">
        <f t="shared" si="495"/>
        <v>0</v>
      </c>
      <c r="Z1095" s="164">
        <f t="shared" si="495"/>
        <v>0</v>
      </c>
      <c r="AA1095" s="170">
        <f>SUM(G1095:Z1095)</f>
        <v>1593301897.1525152</v>
      </c>
      <c r="AB1095" s="167" t="str">
        <f>IF(ABS(F1095-AA1095)&lt;0.01,"ok","err")</f>
        <v>ok</v>
      </c>
    </row>
    <row r="1096" spans="1:29" s="168" customFormat="1">
      <c r="A1096" s="60" t="s">
        <v>702</v>
      </c>
      <c r="B1096" s="60"/>
      <c r="C1096" s="60"/>
      <c r="D1096" s="60" t="s">
        <v>703</v>
      </c>
      <c r="E1096" s="60"/>
      <c r="F1096" s="82">
        <f t="shared" ref="F1096:Z1096" si="496">F233-F185</f>
        <v>220080914.45930403</v>
      </c>
      <c r="G1096" s="82">
        <f t="shared" si="496"/>
        <v>119554976.60438889</v>
      </c>
      <c r="H1096" s="82">
        <f t="shared" si="496"/>
        <v>30981091.213524744</v>
      </c>
      <c r="I1096" s="82">
        <f t="shared" si="496"/>
        <v>0</v>
      </c>
      <c r="J1096" s="82">
        <f t="shared" si="496"/>
        <v>1863596.5870694108</v>
      </c>
      <c r="K1096" s="82">
        <f t="shared" si="496"/>
        <v>23262037.045132309</v>
      </c>
      <c r="L1096" s="82">
        <f t="shared" si="496"/>
        <v>0</v>
      </c>
      <c r="M1096" s="82">
        <f t="shared" si="496"/>
        <v>0</v>
      </c>
      <c r="N1096" s="82">
        <f t="shared" si="496"/>
        <v>18736631.491786182</v>
      </c>
      <c r="O1096" s="82">
        <f t="shared" si="496"/>
        <v>11253738.168929908</v>
      </c>
      <c r="P1096" s="82">
        <f t="shared" si="496"/>
        <v>9480070.3585639372</v>
      </c>
      <c r="Q1096" s="82">
        <f t="shared" si="496"/>
        <v>1158790.1878297171</v>
      </c>
      <c r="R1096" s="82">
        <f t="shared" si="496"/>
        <v>542657.58803853905</v>
      </c>
      <c r="S1096" s="82">
        <f t="shared" si="496"/>
        <v>3149595.5748594347</v>
      </c>
      <c r="T1096" s="82">
        <f t="shared" si="496"/>
        <v>29826.011810412863</v>
      </c>
      <c r="U1096" s="82">
        <f t="shared" si="496"/>
        <v>67903.627370620365</v>
      </c>
      <c r="V1096" s="82">
        <f t="shared" si="496"/>
        <v>0</v>
      </c>
      <c r="W1096" s="82">
        <f t="shared" si="496"/>
        <v>0</v>
      </c>
      <c r="X1096" s="172">
        <f t="shared" si="496"/>
        <v>0</v>
      </c>
      <c r="Y1096" s="172">
        <f t="shared" si="496"/>
        <v>0</v>
      </c>
      <c r="Z1096" s="172">
        <f t="shared" si="496"/>
        <v>0</v>
      </c>
      <c r="AA1096" s="170">
        <f>SUM(G1096:Z1096)</f>
        <v>220080914.45930412</v>
      </c>
      <c r="AB1096" s="167" t="str">
        <f>IF(ABS(F1096-AA1096)&lt;0.01,"ok","err")</f>
        <v>ok</v>
      </c>
    </row>
    <row r="1097" spans="1:29" s="168" customFormat="1">
      <c r="A1097" s="60" t="s">
        <v>857</v>
      </c>
      <c r="B1097" s="60"/>
      <c r="C1097" s="60"/>
      <c r="D1097" s="60"/>
      <c r="E1097" s="60"/>
      <c r="F1097" s="79">
        <v>965204065.29999995</v>
      </c>
      <c r="G1097" s="79">
        <f>'Billing Det'!$F$8</f>
        <v>379200073</v>
      </c>
      <c r="H1097" s="79">
        <f>'Billing Det'!$F$10</f>
        <v>135825835</v>
      </c>
      <c r="I1097" s="79"/>
      <c r="J1097" s="79">
        <f>'Billing Det'!$F$12</f>
        <v>11517853</v>
      </c>
      <c r="K1097" s="79">
        <f>'Billing Det'!$F$14</f>
        <v>151571212</v>
      </c>
      <c r="L1097" s="79">
        <v>0</v>
      </c>
      <c r="M1097" s="79">
        <v>0</v>
      </c>
      <c r="N1097" s="79">
        <f>'Billing Det'!$F$16</f>
        <v>116918595</v>
      </c>
      <c r="O1097" s="79">
        <f>'Billing Det'!$F$18</f>
        <v>77629237</v>
      </c>
      <c r="P1097" s="79">
        <f>'Billing Det'!$F$20</f>
        <v>64284636</v>
      </c>
      <c r="Q1097" s="79">
        <f>'Billing Det'!$F$22</f>
        <v>6341748</v>
      </c>
      <c r="R1097" s="79">
        <f>'Billing Det'!$F$24</f>
        <v>3292762</v>
      </c>
      <c r="S1097" s="79">
        <f>'Billing Det'!$F$26</f>
        <v>18141167.300000001</v>
      </c>
      <c r="T1097" s="79">
        <f>'Billing Det'!$F$28</f>
        <v>210819</v>
      </c>
      <c r="U1097" s="79">
        <f>'Billing Det'!$F$30</f>
        <v>270128</v>
      </c>
      <c r="V1097" s="79">
        <v>0</v>
      </c>
      <c r="W1097" s="79">
        <v>0</v>
      </c>
      <c r="X1097" s="164">
        <v>0</v>
      </c>
      <c r="Y1097" s="164">
        <v>0</v>
      </c>
      <c r="Z1097" s="164">
        <v>0</v>
      </c>
      <c r="AA1097" s="164">
        <f>SUM(G1097:Z1097)</f>
        <v>965204065.29999995</v>
      </c>
      <c r="AB1097" s="167" t="str">
        <f>IF(ABS(F1097-AA1097)&lt;0.01,"ok","err")</f>
        <v>ok</v>
      </c>
    </row>
    <row r="1098" spans="1:29" s="168" customFormat="1">
      <c r="A1098" s="60"/>
      <c r="B1098" s="60"/>
      <c r="C1098" s="60"/>
      <c r="D1098" s="60"/>
      <c r="E1098" s="60"/>
      <c r="F1098" s="110"/>
      <c r="G1098" s="83"/>
      <c r="H1098" s="83"/>
      <c r="I1098" s="83"/>
      <c r="J1098" s="83"/>
      <c r="K1098" s="83"/>
      <c r="L1098" s="83"/>
      <c r="M1098" s="83"/>
      <c r="N1098" s="83"/>
      <c r="O1098" s="83"/>
      <c r="P1098" s="83"/>
      <c r="Q1098" s="83"/>
      <c r="R1098" s="83"/>
      <c r="S1098" s="83"/>
      <c r="T1098" s="83"/>
      <c r="U1098" s="83"/>
      <c r="V1098" s="83"/>
      <c r="W1098" s="83"/>
      <c r="X1098" s="171"/>
      <c r="Y1098" s="171"/>
      <c r="Z1098" s="171"/>
      <c r="AA1098" s="171"/>
      <c r="AB1098" s="167"/>
    </row>
    <row r="1099" spans="1:29" s="60" customFormat="1" ht="15">
      <c r="A1099" s="65" t="s">
        <v>880</v>
      </c>
      <c r="F1099" s="110"/>
      <c r="G1099" s="110"/>
      <c r="H1099" s="110"/>
      <c r="I1099" s="110"/>
      <c r="J1099" s="110"/>
      <c r="K1099" s="110"/>
      <c r="L1099" s="110"/>
      <c r="M1099" s="110"/>
      <c r="N1099" s="110"/>
      <c r="O1099" s="110"/>
      <c r="P1099" s="110"/>
      <c r="Q1099" s="110"/>
      <c r="R1099" s="110"/>
      <c r="S1099" s="110"/>
      <c r="T1099" s="110"/>
      <c r="U1099" s="110"/>
      <c r="V1099" s="110"/>
      <c r="W1099" s="110"/>
      <c r="X1099" s="110"/>
      <c r="Y1099" s="110"/>
      <c r="Z1099" s="110"/>
      <c r="AA1099" s="283"/>
      <c r="AB1099" s="93"/>
    </row>
    <row r="1100" spans="1:29" s="60" customFormat="1">
      <c r="A1100" s="60" t="s">
        <v>881</v>
      </c>
      <c r="F1100" s="79">
        <f>SUM(G1100:Z1100)</f>
        <v>799607.4418604651</v>
      </c>
      <c r="G1100" s="110"/>
      <c r="H1100" s="110"/>
      <c r="I1100" s="110"/>
      <c r="J1100" s="110"/>
      <c r="K1100" s="79"/>
      <c r="L1100" s="110"/>
      <c r="M1100" s="79"/>
      <c r="N1100" s="79"/>
      <c r="O1100" s="79"/>
      <c r="P1100" s="79">
        <f>P1102/P1101</f>
        <v>799607.4418604651</v>
      </c>
      <c r="Q1100" s="110"/>
      <c r="R1100" s="110"/>
      <c r="S1100" s="110"/>
      <c r="T1100" s="110"/>
      <c r="U1100" s="110"/>
      <c r="V1100" s="110"/>
      <c r="W1100" s="110"/>
      <c r="X1100" s="110"/>
      <c r="Y1100" s="110"/>
      <c r="Z1100" s="110"/>
      <c r="AA1100" s="283"/>
      <c r="AB1100" s="93"/>
    </row>
    <row r="1101" spans="1:29" s="60" customFormat="1">
      <c r="A1101" s="60" t="s">
        <v>882</v>
      </c>
      <c r="F1101" s="79"/>
      <c r="G1101" s="110"/>
      <c r="H1101" s="110"/>
      <c r="I1101" s="110"/>
      <c r="J1101" s="110"/>
      <c r="K1101" s="294"/>
      <c r="L1101" s="110"/>
      <c r="M1101" s="294"/>
      <c r="N1101" s="294"/>
      <c r="O1101" s="294"/>
      <c r="P1101" s="294">
        <v>4.3</v>
      </c>
      <c r="Q1101" s="110"/>
      <c r="R1101" s="110"/>
      <c r="S1101" s="110"/>
      <c r="T1101" s="110"/>
      <c r="U1101" s="110"/>
      <c r="V1101" s="110"/>
      <c r="W1101" s="110"/>
      <c r="X1101" s="110"/>
      <c r="Y1101" s="110"/>
      <c r="Z1101" s="110"/>
      <c r="AA1101" s="283"/>
      <c r="AB1101" s="93"/>
    </row>
    <row r="1102" spans="1:29" s="60" customFormat="1">
      <c r="A1102" s="60" t="s">
        <v>883</v>
      </c>
      <c r="F1102" s="79">
        <f>SUM(G1102:Z1102)</f>
        <v>3438312</v>
      </c>
      <c r="G1102" s="110"/>
      <c r="H1102" s="110"/>
      <c r="I1102" s="110"/>
      <c r="J1102" s="110"/>
      <c r="K1102" s="79"/>
      <c r="L1102" s="110"/>
      <c r="M1102" s="79"/>
      <c r="N1102" s="79"/>
      <c r="O1102" s="79"/>
      <c r="P1102" s="79">
        <f>3438312</f>
        <v>3438312</v>
      </c>
      <c r="Q1102" s="110"/>
      <c r="R1102" s="110"/>
      <c r="S1102" s="110"/>
      <c r="T1102" s="110"/>
      <c r="U1102" s="110"/>
      <c r="V1102" s="110"/>
      <c r="W1102" s="110"/>
      <c r="X1102" s="110"/>
      <c r="Y1102" s="110"/>
      <c r="Z1102" s="110"/>
      <c r="AA1102" s="283"/>
      <c r="AB1102" s="93"/>
    </row>
    <row r="1103" spans="1:29">
      <c r="D1103" s="166"/>
      <c r="F1103" s="79"/>
      <c r="G1103" s="76"/>
      <c r="H1103" s="76"/>
      <c r="I1103" s="76"/>
      <c r="J1103" s="76"/>
      <c r="K1103" s="76"/>
      <c r="L1103" s="76"/>
      <c r="M1103" s="76"/>
      <c r="N1103" s="76"/>
      <c r="O1103" s="76"/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9"/>
      <c r="AB1103" s="93"/>
      <c r="AC1103" s="75"/>
    </row>
    <row r="1104" spans="1:29" ht="15">
      <c r="A1104" s="13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69"/>
      <c r="Y1104" s="69"/>
      <c r="Z1104" s="69"/>
      <c r="AA1104" s="69"/>
      <c r="AB1104" s="69"/>
    </row>
    <row r="1105" spans="1:28" ht="15">
      <c r="A1105" s="139"/>
      <c r="B1105" s="70"/>
      <c r="C1105" s="70"/>
      <c r="D1105" s="70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69"/>
      <c r="Y1105" s="69"/>
      <c r="Z1105" s="69"/>
      <c r="AA1105" s="69"/>
      <c r="AB1105" s="69"/>
    </row>
    <row r="1106" spans="1:28" ht="15">
      <c r="A1106" s="139"/>
      <c r="B1106" s="70"/>
      <c r="C1106" s="70"/>
      <c r="D1106" s="70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69"/>
      <c r="Y1106" s="69"/>
      <c r="Z1106" s="69"/>
      <c r="AA1106" s="69"/>
      <c r="AB1106" s="69"/>
    </row>
    <row r="1107" spans="1:28">
      <c r="A1107" s="70"/>
      <c r="B1107" s="70"/>
      <c r="C1107" s="70"/>
      <c r="D1107" s="70"/>
      <c r="E1107" s="70"/>
      <c r="F1107" s="153"/>
      <c r="G1107" s="153"/>
      <c r="H1107" s="153"/>
      <c r="I1107" s="153"/>
      <c r="J1107" s="153"/>
      <c r="K1107" s="153"/>
      <c r="L1107" s="153"/>
      <c r="M1107" s="153"/>
      <c r="N1107" s="153"/>
      <c r="O1107" s="153"/>
      <c r="P1107" s="153"/>
      <c r="Q1107" s="153"/>
      <c r="R1107" s="153"/>
      <c r="S1107" s="153"/>
      <c r="T1107" s="153"/>
      <c r="U1107" s="153"/>
      <c r="V1107" s="153"/>
      <c r="W1107" s="153"/>
      <c r="X1107" s="296"/>
      <c r="Y1107" s="296"/>
      <c r="Z1107" s="296"/>
      <c r="AA1107" s="296"/>
      <c r="AB1107" s="268"/>
    </row>
    <row r="1108" spans="1:28">
      <c r="A1108" s="70"/>
      <c r="B1108" s="70"/>
      <c r="C1108" s="70"/>
      <c r="D1108" s="70"/>
      <c r="E1108" s="70"/>
      <c r="F1108" s="153"/>
      <c r="G1108" s="153"/>
      <c r="H1108" s="153"/>
      <c r="I1108" s="153"/>
      <c r="J1108" s="153"/>
      <c r="K1108" s="153"/>
      <c r="L1108" s="153"/>
      <c r="M1108" s="153"/>
      <c r="N1108" s="153"/>
      <c r="O1108" s="153"/>
      <c r="P1108" s="153"/>
      <c r="Q1108" s="153"/>
      <c r="R1108" s="153"/>
      <c r="S1108" s="153"/>
      <c r="T1108" s="153"/>
      <c r="U1108" s="153"/>
      <c r="V1108" s="153"/>
      <c r="W1108" s="153"/>
      <c r="X1108" s="296"/>
      <c r="Y1108" s="296"/>
      <c r="Z1108" s="296"/>
      <c r="AA1108" s="296"/>
      <c r="AB1108" s="268"/>
    </row>
    <row r="1109" spans="1:28">
      <c r="A1109" s="70"/>
      <c r="B1109" s="70"/>
      <c r="C1109" s="70"/>
      <c r="D1109" s="70"/>
      <c r="E1109" s="70"/>
      <c r="F1109" s="153"/>
      <c r="G1109" s="153"/>
      <c r="H1109" s="153"/>
      <c r="I1109" s="153"/>
      <c r="J1109" s="153"/>
      <c r="K1109" s="153"/>
      <c r="L1109" s="153"/>
      <c r="M1109" s="153"/>
      <c r="N1109" s="153"/>
      <c r="O1109" s="153"/>
      <c r="P1109" s="153"/>
      <c r="Q1109" s="153"/>
      <c r="R1109" s="153"/>
      <c r="S1109" s="153"/>
      <c r="T1109" s="153"/>
      <c r="U1109" s="153"/>
      <c r="V1109" s="153"/>
      <c r="W1109" s="153"/>
      <c r="X1109" s="296"/>
      <c r="Y1109" s="296"/>
      <c r="Z1109" s="296"/>
      <c r="AA1109" s="296"/>
      <c r="AB1109" s="268"/>
    </row>
    <row r="1110" spans="1:28">
      <c r="A1110" s="70"/>
      <c r="B1110" s="70"/>
      <c r="C1110" s="70"/>
      <c r="D1110" s="70"/>
      <c r="E1110" s="70"/>
      <c r="F1110" s="153"/>
      <c r="G1110" s="153"/>
      <c r="H1110" s="153"/>
      <c r="I1110" s="153"/>
      <c r="J1110" s="153"/>
      <c r="K1110" s="153"/>
      <c r="L1110" s="153"/>
      <c r="M1110" s="153"/>
      <c r="N1110" s="153"/>
      <c r="O1110" s="153"/>
      <c r="P1110" s="153"/>
      <c r="Q1110" s="153"/>
      <c r="R1110" s="153"/>
      <c r="S1110" s="153"/>
      <c r="T1110" s="153"/>
      <c r="U1110" s="153"/>
      <c r="V1110" s="153"/>
      <c r="W1110" s="153"/>
      <c r="X1110" s="296"/>
      <c r="Y1110" s="296"/>
      <c r="Z1110" s="296"/>
      <c r="AA1110" s="296"/>
      <c r="AB1110" s="268"/>
    </row>
    <row r="1111" spans="1:28">
      <c r="A1111" s="70"/>
      <c r="B1111" s="70"/>
      <c r="C1111" s="70"/>
      <c r="D1111" s="70"/>
      <c r="E1111" s="70"/>
      <c r="F1111" s="153"/>
      <c r="G1111" s="153"/>
      <c r="H1111" s="153"/>
      <c r="I1111" s="153"/>
      <c r="J1111" s="153"/>
      <c r="K1111" s="153"/>
      <c r="L1111" s="153"/>
      <c r="M1111" s="153"/>
      <c r="N1111" s="153"/>
      <c r="O1111" s="153"/>
      <c r="P1111" s="153"/>
      <c r="Q1111" s="153"/>
      <c r="R1111" s="153"/>
      <c r="S1111" s="153"/>
      <c r="T1111" s="153"/>
      <c r="U1111" s="153"/>
      <c r="V1111" s="153"/>
      <c r="W1111" s="153"/>
      <c r="X1111" s="296"/>
      <c r="Y1111" s="296"/>
      <c r="Z1111" s="296"/>
      <c r="AA1111" s="296"/>
      <c r="AB1111" s="268"/>
    </row>
    <row r="1112" spans="1:28">
      <c r="A1112" s="70"/>
      <c r="B1112" s="70"/>
      <c r="C1112" s="70"/>
      <c r="D1112" s="70"/>
      <c r="E1112" s="70"/>
      <c r="F1112" s="153"/>
      <c r="G1112" s="153"/>
      <c r="H1112" s="153"/>
      <c r="I1112" s="153"/>
      <c r="J1112" s="153"/>
      <c r="K1112" s="153"/>
      <c r="L1112" s="153"/>
      <c r="M1112" s="153"/>
      <c r="N1112" s="153"/>
      <c r="O1112" s="153"/>
      <c r="P1112" s="153"/>
      <c r="Q1112" s="153"/>
      <c r="R1112" s="153"/>
      <c r="S1112" s="153"/>
      <c r="T1112" s="153"/>
      <c r="U1112" s="153"/>
      <c r="V1112" s="153"/>
      <c r="W1112" s="153"/>
      <c r="X1112" s="296"/>
      <c r="Y1112" s="296"/>
      <c r="Z1112" s="296"/>
      <c r="AA1112" s="296"/>
      <c r="AB1112" s="268"/>
    </row>
    <row r="1113" spans="1:28">
      <c r="A1113" s="70"/>
      <c r="B1113" s="70"/>
      <c r="C1113" s="70"/>
      <c r="D1113" s="70"/>
      <c r="E1113" s="70"/>
      <c r="F1113" s="153"/>
      <c r="G1113" s="153"/>
      <c r="H1113" s="153"/>
      <c r="I1113" s="153"/>
      <c r="J1113" s="153"/>
      <c r="K1113" s="153"/>
      <c r="L1113" s="153"/>
      <c r="M1113" s="153"/>
      <c r="N1113" s="153"/>
      <c r="O1113" s="153"/>
      <c r="P1113" s="153"/>
      <c r="Q1113" s="153"/>
      <c r="R1113" s="153"/>
      <c r="S1113" s="153"/>
      <c r="T1113" s="153"/>
      <c r="U1113" s="153"/>
      <c r="V1113" s="153"/>
      <c r="W1113" s="153"/>
      <c r="X1113" s="296"/>
      <c r="Y1113" s="296"/>
      <c r="Z1113" s="296"/>
      <c r="AA1113" s="296"/>
      <c r="AB1113" s="268"/>
    </row>
    <row r="1114" spans="1:28">
      <c r="A1114" s="70"/>
      <c r="B1114" s="70"/>
      <c r="C1114" s="70"/>
      <c r="D1114" s="70"/>
      <c r="E1114" s="70"/>
      <c r="F1114" s="153"/>
      <c r="G1114" s="153"/>
      <c r="H1114" s="153"/>
      <c r="I1114" s="153"/>
      <c r="J1114" s="153"/>
      <c r="K1114" s="153"/>
      <c r="L1114" s="153"/>
      <c r="M1114" s="153"/>
      <c r="N1114" s="153"/>
      <c r="O1114" s="153"/>
      <c r="P1114" s="153"/>
      <c r="Q1114" s="153"/>
      <c r="R1114" s="153"/>
      <c r="S1114" s="153"/>
      <c r="T1114" s="153"/>
      <c r="U1114" s="153"/>
      <c r="V1114" s="153"/>
      <c r="W1114" s="153"/>
      <c r="X1114" s="296"/>
      <c r="Y1114" s="296"/>
      <c r="Z1114" s="296"/>
      <c r="AA1114" s="296"/>
      <c r="AB1114" s="268"/>
    </row>
    <row r="1115" spans="1:28">
      <c r="A1115" s="70"/>
      <c r="B1115" s="70"/>
      <c r="C1115" s="70"/>
      <c r="D1115" s="70"/>
      <c r="E1115" s="70"/>
      <c r="F1115" s="297"/>
      <c r="G1115" s="297"/>
      <c r="H1115" s="297"/>
      <c r="I1115" s="297"/>
      <c r="J1115" s="297"/>
      <c r="K1115" s="297"/>
      <c r="L1115" s="297"/>
      <c r="M1115" s="297"/>
      <c r="N1115" s="297"/>
      <c r="O1115" s="297"/>
      <c r="P1115" s="297"/>
      <c r="Q1115" s="297"/>
      <c r="R1115" s="297"/>
      <c r="S1115" s="297"/>
      <c r="T1115" s="297"/>
      <c r="U1115" s="297"/>
      <c r="V1115" s="297"/>
      <c r="W1115" s="297"/>
      <c r="X1115" s="298"/>
      <c r="Y1115" s="298"/>
      <c r="Z1115" s="298"/>
      <c r="AA1115" s="296"/>
      <c r="AB1115" s="268"/>
    </row>
    <row r="1116" spans="1:28">
      <c r="A1116" s="70"/>
      <c r="B1116" s="70"/>
      <c r="C1116" s="70"/>
      <c r="D1116" s="70"/>
      <c r="E1116" s="299"/>
      <c r="F1116" s="153"/>
      <c r="G1116" s="153"/>
      <c r="H1116" s="153"/>
      <c r="I1116" s="153"/>
      <c r="J1116" s="153"/>
      <c r="K1116" s="153"/>
      <c r="L1116" s="153"/>
      <c r="M1116" s="153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296"/>
      <c r="Y1116" s="296"/>
      <c r="Z1116" s="296"/>
      <c r="AA1116" s="296"/>
      <c r="AB1116" s="268"/>
    </row>
    <row r="1117" spans="1:28">
      <c r="A1117" s="70"/>
      <c r="B1117" s="70"/>
      <c r="C1117" s="70"/>
      <c r="D1117" s="70"/>
      <c r="E1117" s="70"/>
      <c r="F1117" s="153"/>
      <c r="G1117" s="70"/>
      <c r="H1117" s="70"/>
      <c r="I1117" s="70"/>
      <c r="J1117" s="70"/>
      <c r="K1117" s="70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69"/>
      <c r="Y1117" s="69"/>
      <c r="Z1117" s="69"/>
      <c r="AA1117" s="69"/>
      <c r="AB1117" s="69"/>
    </row>
    <row r="1118" spans="1:28" ht="15">
      <c r="A1118" s="139"/>
      <c r="B1118" s="70"/>
      <c r="C1118" s="70"/>
      <c r="D1118" s="70"/>
      <c r="E1118" s="300"/>
      <c r="F1118" s="153"/>
      <c r="G1118" s="70"/>
      <c r="H1118" s="70"/>
      <c r="I1118" s="70"/>
      <c r="J1118" s="70"/>
      <c r="K1118" s="70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69"/>
      <c r="Y1118" s="69"/>
      <c r="Z1118" s="69"/>
      <c r="AA1118" s="69"/>
      <c r="AB1118" s="69"/>
    </row>
    <row r="1119" spans="1:28">
      <c r="A1119" s="70"/>
      <c r="B1119" s="70"/>
      <c r="C1119" s="70"/>
      <c r="D1119" s="70"/>
      <c r="E1119" s="299"/>
      <c r="F1119" s="219"/>
      <c r="G1119" s="153"/>
      <c r="H1119" s="153"/>
      <c r="I1119" s="153"/>
      <c r="J1119" s="153"/>
      <c r="K1119" s="153"/>
      <c r="L1119" s="153"/>
      <c r="M1119" s="153"/>
      <c r="N1119" s="153"/>
      <c r="O1119" s="153"/>
      <c r="P1119" s="153"/>
      <c r="Q1119" s="153"/>
      <c r="R1119" s="153"/>
      <c r="S1119" s="153"/>
      <c r="T1119" s="153"/>
      <c r="U1119" s="153"/>
      <c r="V1119" s="153"/>
      <c r="W1119" s="153"/>
      <c r="X1119" s="296"/>
      <c r="Y1119" s="296"/>
      <c r="Z1119" s="296"/>
      <c r="AA1119" s="296"/>
      <c r="AB1119" s="268"/>
    </row>
    <row r="1120" spans="1:28">
      <c r="A1120" s="70"/>
      <c r="B1120" s="70"/>
      <c r="C1120" s="70"/>
      <c r="D1120" s="70"/>
      <c r="E1120" s="70"/>
      <c r="F1120" s="153"/>
      <c r="G1120" s="153"/>
      <c r="H1120" s="153"/>
      <c r="I1120" s="153"/>
      <c r="J1120" s="153"/>
      <c r="K1120" s="153"/>
      <c r="L1120" s="153"/>
      <c r="M1120" s="153"/>
      <c r="N1120" s="153"/>
      <c r="O1120" s="153"/>
      <c r="P1120" s="153"/>
      <c r="Q1120" s="153"/>
      <c r="R1120" s="153"/>
      <c r="S1120" s="153"/>
      <c r="T1120" s="153"/>
      <c r="U1120" s="153"/>
      <c r="V1120" s="153"/>
      <c r="W1120" s="153"/>
      <c r="X1120" s="296"/>
      <c r="Y1120" s="296"/>
      <c r="Z1120" s="296"/>
      <c r="AA1120" s="296"/>
      <c r="AB1120" s="268"/>
    </row>
    <row r="1121" spans="1:29">
      <c r="A1121" s="70"/>
      <c r="B1121" s="70"/>
      <c r="C1121" s="70"/>
      <c r="D1121" s="70"/>
      <c r="E1121" s="70"/>
      <c r="F1121" s="153"/>
      <c r="G1121" s="153"/>
      <c r="H1121" s="153"/>
      <c r="I1121" s="153"/>
      <c r="J1121" s="153"/>
      <c r="K1121" s="153"/>
      <c r="L1121" s="153"/>
      <c r="M1121" s="153"/>
      <c r="N1121" s="153"/>
      <c r="O1121" s="153"/>
      <c r="P1121" s="153"/>
      <c r="Q1121" s="153"/>
      <c r="R1121" s="153"/>
      <c r="S1121" s="153"/>
      <c r="T1121" s="153"/>
      <c r="U1121" s="153"/>
      <c r="V1121" s="153"/>
      <c r="W1121" s="153"/>
      <c r="X1121" s="296"/>
      <c r="Y1121" s="296"/>
      <c r="Z1121" s="296"/>
      <c r="AA1121" s="296"/>
      <c r="AB1121" s="268"/>
    </row>
    <row r="1122" spans="1:29">
      <c r="A1122" s="70"/>
      <c r="B1122" s="70"/>
      <c r="C1122" s="70"/>
      <c r="D1122" s="70"/>
      <c r="E1122" s="70"/>
      <c r="F1122" s="153"/>
      <c r="G1122" s="153"/>
      <c r="H1122" s="153"/>
      <c r="I1122" s="153"/>
      <c r="J1122" s="153"/>
      <c r="K1122" s="153"/>
      <c r="L1122" s="153"/>
      <c r="M1122" s="153"/>
      <c r="N1122" s="153"/>
      <c r="O1122" s="153"/>
      <c r="P1122" s="153"/>
      <c r="Q1122" s="153"/>
      <c r="R1122" s="153"/>
      <c r="S1122" s="153"/>
      <c r="T1122" s="153"/>
      <c r="U1122" s="153"/>
      <c r="V1122" s="153"/>
      <c r="W1122" s="153"/>
      <c r="X1122" s="296"/>
      <c r="Y1122" s="296"/>
      <c r="Z1122" s="296"/>
      <c r="AA1122" s="296"/>
      <c r="AB1122" s="268"/>
    </row>
    <row r="1123" spans="1:29">
      <c r="A1123" s="70"/>
      <c r="B1123" s="70"/>
      <c r="C1123" s="70"/>
      <c r="D1123" s="70"/>
      <c r="E1123" s="70"/>
      <c r="F1123" s="153"/>
      <c r="G1123" s="153"/>
      <c r="H1123" s="153"/>
      <c r="I1123" s="153"/>
      <c r="J1123" s="153"/>
      <c r="K1123" s="153"/>
      <c r="L1123" s="153"/>
      <c r="M1123" s="153"/>
      <c r="N1123" s="153"/>
      <c r="O1123" s="153"/>
      <c r="P1123" s="153"/>
      <c r="Q1123" s="153"/>
      <c r="R1123" s="153"/>
      <c r="S1123" s="153"/>
      <c r="T1123" s="153"/>
      <c r="U1123" s="153"/>
      <c r="V1123" s="153"/>
      <c r="W1123" s="153"/>
      <c r="X1123" s="296"/>
      <c r="Y1123" s="296"/>
      <c r="Z1123" s="296"/>
      <c r="AA1123" s="296"/>
      <c r="AB1123" s="268"/>
    </row>
    <row r="1124" spans="1:29">
      <c r="A1124" s="70"/>
      <c r="B1124" s="70"/>
      <c r="C1124" s="70"/>
      <c r="D1124" s="70"/>
      <c r="E1124" s="70"/>
      <c r="F1124" s="153"/>
      <c r="G1124" s="153"/>
      <c r="H1124" s="153"/>
      <c r="I1124" s="153"/>
      <c r="J1124" s="153"/>
      <c r="K1124" s="153"/>
      <c r="L1124" s="153"/>
      <c r="M1124" s="153"/>
      <c r="N1124" s="153"/>
      <c r="O1124" s="153"/>
      <c r="P1124" s="153"/>
      <c r="Q1124" s="153"/>
      <c r="R1124" s="153"/>
      <c r="S1124" s="153"/>
      <c r="T1124" s="153"/>
      <c r="U1124" s="153"/>
      <c r="V1124" s="153"/>
      <c r="W1124" s="153"/>
      <c r="X1124" s="296"/>
      <c r="Y1124" s="296"/>
      <c r="Z1124" s="296"/>
      <c r="AA1124" s="296"/>
      <c r="AB1124" s="268"/>
    </row>
    <row r="1125" spans="1:29">
      <c r="A1125" s="70"/>
      <c r="B1125" s="70"/>
      <c r="C1125" s="70"/>
      <c r="D1125" s="70"/>
      <c r="E1125" s="70"/>
      <c r="F1125" s="153"/>
      <c r="G1125" s="153"/>
      <c r="H1125" s="153"/>
      <c r="I1125" s="153"/>
      <c r="J1125" s="153"/>
      <c r="K1125" s="153"/>
      <c r="L1125" s="153"/>
      <c r="M1125" s="153"/>
      <c r="N1125" s="153"/>
      <c r="O1125" s="153"/>
      <c r="P1125" s="153"/>
      <c r="Q1125" s="153"/>
      <c r="R1125" s="153"/>
      <c r="S1125" s="153"/>
      <c r="T1125" s="153"/>
      <c r="U1125" s="153"/>
      <c r="V1125" s="153"/>
      <c r="W1125" s="153"/>
      <c r="X1125" s="296"/>
      <c r="Y1125" s="296"/>
      <c r="Z1125" s="296"/>
      <c r="AA1125" s="296"/>
      <c r="AB1125" s="268"/>
      <c r="AC1125" s="64"/>
    </row>
    <row r="1126" spans="1:29">
      <c r="A1126" s="70"/>
      <c r="B1126" s="70"/>
      <c r="C1126" s="70"/>
      <c r="D1126" s="70"/>
      <c r="E1126" s="70"/>
      <c r="F1126" s="153"/>
      <c r="G1126" s="153"/>
      <c r="H1126" s="153"/>
      <c r="I1126" s="153"/>
      <c r="J1126" s="153"/>
      <c r="K1126" s="153"/>
      <c r="L1126" s="153"/>
      <c r="M1126" s="153"/>
      <c r="N1126" s="153"/>
      <c r="O1126" s="153"/>
      <c r="P1126" s="153"/>
      <c r="Q1126" s="153"/>
      <c r="R1126" s="153"/>
      <c r="S1126" s="153"/>
      <c r="T1126" s="153"/>
      <c r="U1126" s="153"/>
      <c r="V1126" s="153"/>
      <c r="W1126" s="153"/>
      <c r="X1126" s="296"/>
      <c r="Y1126" s="296"/>
      <c r="Z1126" s="296"/>
      <c r="AA1126" s="296"/>
      <c r="AB1126" s="268"/>
    </row>
    <row r="1127" spans="1:29">
      <c r="A1127" s="70"/>
      <c r="B1127" s="70"/>
      <c r="C1127" s="70"/>
      <c r="D1127" s="70"/>
      <c r="E1127" s="70"/>
      <c r="F1127" s="297"/>
      <c r="G1127" s="297"/>
      <c r="H1127" s="297"/>
      <c r="I1127" s="297"/>
      <c r="J1127" s="297"/>
      <c r="K1127" s="297"/>
      <c r="L1127" s="297"/>
      <c r="M1127" s="297"/>
      <c r="N1127" s="297"/>
      <c r="O1127" s="297"/>
      <c r="P1127" s="297"/>
      <c r="Q1127" s="297"/>
      <c r="R1127" s="297"/>
      <c r="S1127" s="297"/>
      <c r="T1127" s="297"/>
      <c r="U1127" s="297"/>
      <c r="V1127" s="297"/>
      <c r="W1127" s="297"/>
      <c r="X1127" s="298"/>
      <c r="Y1127" s="298"/>
      <c r="Z1127" s="298"/>
      <c r="AA1127" s="296"/>
      <c r="AB1127" s="268"/>
    </row>
    <row r="1128" spans="1:29">
      <c r="A1128" s="70"/>
      <c r="B1128" s="70"/>
      <c r="C1128" s="70"/>
      <c r="D1128" s="70"/>
      <c r="E1128" s="70"/>
      <c r="F1128" s="153"/>
      <c r="G1128" s="153"/>
      <c r="H1128" s="153"/>
      <c r="I1128" s="153"/>
      <c r="J1128" s="153"/>
      <c r="K1128" s="153"/>
      <c r="L1128" s="153"/>
      <c r="M1128" s="153"/>
      <c r="N1128" s="153"/>
      <c r="O1128" s="153"/>
      <c r="P1128" s="153"/>
      <c r="Q1128" s="153"/>
      <c r="R1128" s="153"/>
      <c r="S1128" s="153"/>
      <c r="T1128" s="153"/>
      <c r="U1128" s="153"/>
      <c r="V1128" s="153"/>
      <c r="W1128" s="153"/>
      <c r="X1128" s="296"/>
      <c r="Y1128" s="296"/>
      <c r="Z1128" s="296"/>
      <c r="AA1128" s="296"/>
      <c r="AB1128" s="268"/>
      <c r="AC1128" s="44" t="s">
        <v>1360</v>
      </c>
    </row>
    <row r="1129" spans="1:29">
      <c r="A1129" s="70"/>
      <c r="B1129" s="70"/>
      <c r="C1129" s="70"/>
      <c r="D1129" s="70"/>
      <c r="E1129" s="70"/>
      <c r="F1129" s="153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69"/>
      <c r="Y1129" s="69"/>
      <c r="Z1129" s="69"/>
      <c r="AA1129" s="69"/>
      <c r="AB1129" s="69"/>
    </row>
    <row r="1130" spans="1:29">
      <c r="A1130" s="70"/>
      <c r="B1130" s="70"/>
      <c r="C1130" s="70"/>
      <c r="D1130" s="70"/>
      <c r="E1130" s="70"/>
      <c r="F1130" s="153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69"/>
      <c r="Y1130" s="69"/>
      <c r="Z1130" s="69"/>
      <c r="AA1130" s="69"/>
      <c r="AB1130" s="69"/>
    </row>
    <row r="1131" spans="1:29" ht="15">
      <c r="A1131" s="139"/>
      <c r="B1131" s="70"/>
      <c r="C1131" s="70"/>
      <c r="D1131" s="70"/>
      <c r="E1131" s="70"/>
      <c r="F1131" s="153"/>
      <c r="G1131" s="153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69"/>
      <c r="Y1131" s="69"/>
      <c r="Z1131" s="69"/>
      <c r="AA1131" s="69"/>
      <c r="AB1131" s="69"/>
    </row>
    <row r="1132" spans="1:29">
      <c r="A1132" s="70"/>
      <c r="B1132" s="70"/>
      <c r="C1132" s="70"/>
      <c r="D1132" s="70"/>
      <c r="E1132" s="70"/>
      <c r="F1132" s="153"/>
      <c r="G1132" s="153"/>
      <c r="H1132" s="153"/>
      <c r="I1132" s="153"/>
      <c r="J1132" s="153"/>
      <c r="K1132" s="153"/>
      <c r="L1132" s="153"/>
      <c r="M1132" s="153"/>
      <c r="N1132" s="153"/>
      <c r="O1132" s="153"/>
      <c r="P1132" s="153"/>
      <c r="Q1132" s="153"/>
      <c r="R1132" s="153"/>
      <c r="S1132" s="153"/>
      <c r="T1132" s="153"/>
      <c r="U1132" s="153"/>
      <c r="V1132" s="153"/>
      <c r="W1132" s="153"/>
      <c r="X1132" s="153"/>
      <c r="Y1132" s="153"/>
      <c r="Z1132" s="153"/>
      <c r="AA1132" s="296"/>
      <c r="AB1132" s="268"/>
    </row>
    <row r="1133" spans="1:29">
      <c r="A1133" s="70"/>
      <c r="B1133" s="70"/>
      <c r="C1133" s="70"/>
      <c r="D1133" s="70"/>
      <c r="E1133" s="70"/>
      <c r="F1133" s="153"/>
      <c r="G1133" s="153"/>
      <c r="H1133" s="153"/>
      <c r="I1133" s="153"/>
      <c r="J1133" s="153"/>
      <c r="K1133" s="153"/>
      <c r="L1133" s="153"/>
      <c r="M1133" s="153"/>
      <c r="N1133" s="153"/>
      <c r="O1133" s="153"/>
      <c r="P1133" s="153"/>
      <c r="Q1133" s="153"/>
      <c r="R1133" s="153"/>
      <c r="S1133" s="153"/>
      <c r="T1133" s="153"/>
      <c r="U1133" s="153"/>
      <c r="V1133" s="153"/>
      <c r="W1133" s="153"/>
      <c r="X1133" s="153"/>
      <c r="Y1133" s="153"/>
      <c r="Z1133" s="153"/>
      <c r="AA1133" s="296"/>
      <c r="AB1133" s="268"/>
    </row>
    <row r="1134" spans="1:29">
      <c r="A1134" s="70"/>
      <c r="B1134" s="70"/>
      <c r="C1134" s="70"/>
      <c r="D1134" s="70"/>
      <c r="E1134" s="70"/>
      <c r="F1134" s="153"/>
      <c r="G1134" s="153"/>
      <c r="H1134" s="153"/>
      <c r="I1134" s="153"/>
      <c r="J1134" s="153"/>
      <c r="K1134" s="153"/>
      <c r="L1134" s="153"/>
      <c r="M1134" s="153"/>
      <c r="N1134" s="153"/>
      <c r="O1134" s="153"/>
      <c r="P1134" s="153"/>
      <c r="Q1134" s="153"/>
      <c r="R1134" s="153"/>
      <c r="S1134" s="153"/>
      <c r="T1134" s="153"/>
      <c r="U1134" s="153"/>
      <c r="V1134" s="153"/>
      <c r="W1134" s="153"/>
      <c r="X1134" s="153"/>
      <c r="Y1134" s="153"/>
      <c r="Z1134" s="153"/>
      <c r="AA1134" s="296"/>
      <c r="AB1134" s="268"/>
    </row>
    <row r="1135" spans="1:29">
      <c r="A1135" s="70"/>
      <c r="B1135" s="70"/>
      <c r="C1135" s="70"/>
      <c r="D1135" s="70"/>
      <c r="E1135" s="70"/>
      <c r="F1135" s="153"/>
      <c r="G1135" s="153"/>
      <c r="H1135" s="153"/>
      <c r="I1135" s="153"/>
      <c r="J1135" s="153"/>
      <c r="K1135" s="153"/>
      <c r="L1135" s="153"/>
      <c r="M1135" s="153"/>
      <c r="N1135" s="153"/>
      <c r="O1135" s="153"/>
      <c r="P1135" s="153"/>
      <c r="Q1135" s="153"/>
      <c r="R1135" s="153"/>
      <c r="S1135" s="153"/>
      <c r="T1135" s="153"/>
      <c r="U1135" s="153"/>
      <c r="V1135" s="153"/>
      <c r="W1135" s="153"/>
      <c r="X1135" s="153"/>
      <c r="Y1135" s="153"/>
      <c r="Z1135" s="153"/>
      <c r="AA1135" s="296"/>
      <c r="AB1135" s="268"/>
    </row>
    <row r="1136" spans="1:29">
      <c r="A1136" s="70"/>
      <c r="B1136" s="70"/>
      <c r="C1136" s="70"/>
      <c r="D1136" s="70"/>
      <c r="E1136" s="70"/>
      <c r="F1136" s="153"/>
      <c r="G1136" s="153"/>
      <c r="H1136" s="153"/>
      <c r="I1136" s="153"/>
      <c r="J1136" s="153"/>
      <c r="K1136" s="153"/>
      <c r="L1136" s="153"/>
      <c r="M1136" s="153"/>
      <c r="N1136" s="153"/>
      <c r="O1136" s="153"/>
      <c r="P1136" s="153"/>
      <c r="Q1136" s="153"/>
      <c r="R1136" s="153"/>
      <c r="S1136" s="153"/>
      <c r="T1136" s="153"/>
      <c r="U1136" s="153"/>
      <c r="V1136" s="153"/>
      <c r="W1136" s="153"/>
      <c r="X1136" s="153"/>
      <c r="Y1136" s="153"/>
      <c r="Z1136" s="153"/>
      <c r="AA1136" s="296"/>
      <c r="AB1136" s="268"/>
    </row>
    <row r="1137" spans="1:28">
      <c r="A1137" s="70"/>
      <c r="B1137" s="70"/>
      <c r="C1137" s="70"/>
      <c r="D1137" s="70"/>
      <c r="E1137" s="70"/>
      <c r="F1137" s="153"/>
      <c r="G1137" s="153"/>
      <c r="H1137" s="153"/>
      <c r="I1137" s="153"/>
      <c r="J1137" s="153"/>
      <c r="K1137" s="153"/>
      <c r="L1137" s="153"/>
      <c r="M1137" s="153"/>
      <c r="N1137" s="153"/>
      <c r="O1137" s="153"/>
      <c r="P1137" s="153"/>
      <c r="Q1137" s="153"/>
      <c r="R1137" s="153"/>
      <c r="S1137" s="153"/>
      <c r="T1137" s="153"/>
      <c r="U1137" s="153"/>
      <c r="V1137" s="153"/>
      <c r="W1137" s="153"/>
      <c r="X1137" s="153"/>
      <c r="Y1137" s="153"/>
      <c r="Z1137" s="153"/>
      <c r="AA1137" s="296"/>
      <c r="AB1137" s="268"/>
    </row>
    <row r="1138" spans="1:28">
      <c r="A1138" s="70"/>
      <c r="B1138" s="70"/>
      <c r="C1138" s="70"/>
      <c r="D1138" s="70"/>
      <c r="E1138" s="70"/>
      <c r="F1138" s="153"/>
      <c r="G1138" s="153"/>
      <c r="H1138" s="153"/>
      <c r="I1138" s="153"/>
      <c r="J1138" s="153"/>
      <c r="K1138" s="153"/>
      <c r="L1138" s="153"/>
      <c r="M1138" s="153"/>
      <c r="N1138" s="153"/>
      <c r="O1138" s="153"/>
      <c r="P1138" s="153"/>
      <c r="Q1138" s="153"/>
      <c r="R1138" s="153"/>
      <c r="S1138" s="153"/>
      <c r="T1138" s="153"/>
      <c r="U1138" s="153"/>
      <c r="V1138" s="153"/>
      <c r="W1138" s="153"/>
      <c r="X1138" s="153"/>
      <c r="Y1138" s="153"/>
      <c r="Z1138" s="153"/>
      <c r="AA1138" s="296"/>
      <c r="AB1138" s="268"/>
    </row>
    <row r="1139" spans="1:28">
      <c r="A1139" s="70"/>
      <c r="B1139" s="70"/>
      <c r="C1139" s="70"/>
      <c r="D1139" s="70"/>
      <c r="E1139" s="70"/>
      <c r="F1139" s="153"/>
      <c r="G1139" s="153"/>
      <c r="H1139" s="153"/>
      <c r="I1139" s="153"/>
      <c r="J1139" s="153"/>
      <c r="K1139" s="153"/>
      <c r="L1139" s="153"/>
      <c r="M1139" s="153"/>
      <c r="N1139" s="153"/>
      <c r="O1139" s="153"/>
      <c r="P1139" s="153"/>
      <c r="Q1139" s="153"/>
      <c r="R1139" s="153"/>
      <c r="S1139" s="153"/>
      <c r="T1139" s="153"/>
      <c r="U1139" s="153"/>
      <c r="V1139" s="153"/>
      <c r="W1139" s="153"/>
      <c r="X1139" s="153"/>
      <c r="Y1139" s="153"/>
      <c r="Z1139" s="153"/>
      <c r="AA1139" s="296"/>
      <c r="AB1139" s="268"/>
    </row>
    <row r="1140" spans="1:28">
      <c r="A1140" s="70"/>
      <c r="B1140" s="70"/>
      <c r="C1140" s="70"/>
      <c r="D1140" s="70"/>
      <c r="E1140" s="70"/>
      <c r="F1140" s="297"/>
      <c r="G1140" s="297"/>
      <c r="H1140" s="297"/>
      <c r="I1140" s="297"/>
      <c r="J1140" s="297"/>
      <c r="K1140" s="297"/>
      <c r="L1140" s="297"/>
      <c r="M1140" s="297"/>
      <c r="N1140" s="297"/>
      <c r="O1140" s="297"/>
      <c r="P1140" s="297"/>
      <c r="Q1140" s="297"/>
      <c r="R1140" s="297"/>
      <c r="S1140" s="297"/>
      <c r="T1140" s="297"/>
      <c r="U1140" s="297"/>
      <c r="V1140" s="297"/>
      <c r="W1140" s="297"/>
      <c r="X1140" s="297"/>
      <c r="Y1140" s="297"/>
      <c r="Z1140" s="297"/>
      <c r="AA1140" s="296"/>
      <c r="AB1140" s="268"/>
    </row>
    <row r="1141" spans="1:28">
      <c r="A1141" s="70"/>
      <c r="B1141" s="70"/>
      <c r="C1141" s="70"/>
      <c r="D1141" s="70"/>
      <c r="E1141" s="70"/>
      <c r="F1141" s="153"/>
      <c r="G1141" s="153"/>
      <c r="H1141" s="153"/>
      <c r="I1141" s="153"/>
      <c r="J1141" s="153"/>
      <c r="K1141" s="153"/>
      <c r="L1141" s="153"/>
      <c r="M1141" s="153"/>
      <c r="N1141" s="153"/>
      <c r="O1141" s="153"/>
      <c r="P1141" s="153"/>
      <c r="Q1141" s="153"/>
      <c r="R1141" s="153"/>
      <c r="S1141" s="153"/>
      <c r="T1141" s="153"/>
      <c r="U1141" s="153"/>
      <c r="V1141" s="153"/>
      <c r="W1141" s="153"/>
      <c r="X1141" s="153"/>
      <c r="Y1141" s="153"/>
      <c r="Z1141" s="153"/>
      <c r="AA1141" s="296"/>
      <c r="AB1141" s="268"/>
    </row>
    <row r="1142" spans="1:28">
      <c r="A1142" s="70"/>
      <c r="B1142" s="70"/>
      <c r="C1142" s="70"/>
      <c r="D1142" s="70"/>
      <c r="E1142" s="70"/>
      <c r="F1142" s="153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69"/>
      <c r="Y1142" s="69"/>
      <c r="Z1142" s="69"/>
      <c r="AA1142" s="69"/>
      <c r="AB1142" s="69"/>
    </row>
    <row r="1143" spans="1:28">
      <c r="A1143" s="70"/>
      <c r="B1143" s="70"/>
      <c r="C1143" s="70"/>
      <c r="D1143" s="70"/>
      <c r="E1143" s="70"/>
      <c r="F1143" s="153"/>
      <c r="G1143" s="70"/>
      <c r="H1143" s="70"/>
      <c r="I1143" s="70"/>
      <c r="J1143" s="70"/>
      <c r="K1143" s="70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69"/>
      <c r="Y1143" s="69"/>
      <c r="Z1143" s="69"/>
      <c r="AA1143" s="69"/>
      <c r="AB1143" s="69"/>
    </row>
    <row r="1144" spans="1:28" ht="15">
      <c r="A1144" s="139"/>
      <c r="B1144" s="70"/>
      <c r="C1144" s="70"/>
      <c r="D1144" s="70"/>
      <c r="E1144" s="70"/>
      <c r="F1144" s="219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69"/>
      <c r="Y1144" s="69"/>
      <c r="Z1144" s="69"/>
      <c r="AA1144" s="69"/>
      <c r="AB1144" s="69"/>
    </row>
    <row r="1145" spans="1:28">
      <c r="A1145" s="70"/>
      <c r="B1145" s="70"/>
      <c r="C1145" s="70"/>
      <c r="D1145" s="70"/>
      <c r="E1145" s="70"/>
      <c r="F1145" s="70"/>
      <c r="G1145" s="162"/>
      <c r="H1145" s="162"/>
      <c r="I1145" s="301"/>
      <c r="J1145" s="301"/>
      <c r="K1145" s="301"/>
      <c r="L1145" s="301"/>
      <c r="M1145" s="301"/>
      <c r="N1145" s="301"/>
      <c r="O1145" s="301"/>
      <c r="P1145" s="301"/>
      <c r="Q1145" s="301"/>
      <c r="R1145" s="301"/>
      <c r="S1145" s="302"/>
      <c r="T1145" s="302"/>
      <c r="U1145" s="302"/>
      <c r="V1145" s="301"/>
      <c r="W1145" s="301"/>
      <c r="X1145" s="303"/>
      <c r="Y1145" s="303"/>
      <c r="Z1145" s="303"/>
      <c r="AA1145" s="69"/>
      <c r="AB1145" s="69"/>
    </row>
    <row r="1146" spans="1:28" s="60" customFormat="1">
      <c r="A1146" s="70"/>
      <c r="B1146" s="70"/>
      <c r="C1146" s="70"/>
      <c r="D1146" s="70"/>
      <c r="E1146" s="70"/>
      <c r="F1146" s="70"/>
      <c r="G1146" s="162"/>
      <c r="H1146" s="162"/>
      <c r="I1146" s="301"/>
      <c r="J1146" s="301"/>
      <c r="K1146" s="301"/>
      <c r="L1146" s="301"/>
      <c r="M1146" s="301"/>
      <c r="N1146" s="301"/>
      <c r="O1146" s="301"/>
      <c r="P1146" s="301"/>
      <c r="Q1146" s="301"/>
      <c r="R1146" s="301"/>
      <c r="S1146" s="302"/>
      <c r="T1146" s="302"/>
      <c r="U1146" s="302"/>
      <c r="V1146" s="301"/>
      <c r="W1146" s="301"/>
      <c r="X1146" s="70"/>
      <c r="Y1146" s="70"/>
      <c r="Z1146" s="70"/>
      <c r="AA1146" s="70"/>
      <c r="AB1146" s="70"/>
    </row>
    <row r="1147" spans="1:28" s="60" customFormat="1">
      <c r="A1147" s="70"/>
      <c r="B1147" s="70"/>
      <c r="C1147" s="70"/>
      <c r="D1147" s="70"/>
      <c r="E1147" s="70"/>
      <c r="F1147" s="70"/>
      <c r="G1147" s="304"/>
      <c r="H1147" s="304"/>
      <c r="I1147" s="301"/>
      <c r="J1147" s="301"/>
      <c r="K1147" s="301"/>
      <c r="L1147" s="301"/>
      <c r="M1147" s="301"/>
      <c r="N1147" s="301"/>
      <c r="O1147" s="301"/>
      <c r="P1147" s="301"/>
      <c r="Q1147" s="301"/>
      <c r="R1147" s="301"/>
      <c r="S1147" s="302"/>
      <c r="T1147" s="302"/>
      <c r="U1147" s="302"/>
      <c r="V1147" s="301"/>
      <c r="W1147" s="301"/>
      <c r="X1147" s="70"/>
      <c r="Y1147" s="70"/>
      <c r="Z1147" s="70"/>
      <c r="AA1147" s="70"/>
      <c r="AB1147" s="70"/>
    </row>
    <row r="1148" spans="1:28" s="60" customFormat="1">
      <c r="A1148" s="70"/>
      <c r="B1148" s="70"/>
      <c r="C1148" s="70"/>
      <c r="D1148" s="70"/>
      <c r="E1148" s="70"/>
      <c r="F1148" s="70"/>
      <c r="G1148" s="162"/>
      <c r="H1148" s="162"/>
      <c r="I1148" s="301"/>
      <c r="J1148" s="301"/>
      <c r="K1148" s="301"/>
      <c r="L1148" s="301"/>
      <c r="M1148" s="301"/>
      <c r="N1148" s="301"/>
      <c r="O1148" s="301"/>
      <c r="P1148" s="301"/>
      <c r="Q1148" s="301"/>
      <c r="R1148" s="301"/>
      <c r="S1148" s="302"/>
      <c r="T1148" s="302"/>
      <c r="U1148" s="302"/>
      <c r="V1148" s="301"/>
      <c r="W1148" s="301"/>
      <c r="X1148" s="70"/>
      <c r="Y1148" s="70"/>
      <c r="Z1148" s="70"/>
      <c r="AA1148" s="70"/>
      <c r="AB1148" s="70"/>
    </row>
    <row r="1149" spans="1:28" s="60" customFormat="1">
      <c r="A1149" s="70"/>
      <c r="B1149" s="70"/>
      <c r="C1149" s="70"/>
      <c r="D1149" s="70"/>
      <c r="E1149" s="70"/>
      <c r="F1149" s="70"/>
      <c r="G1149" s="162"/>
      <c r="H1149" s="162"/>
      <c r="I1149" s="301"/>
      <c r="J1149" s="301"/>
      <c r="K1149" s="301"/>
      <c r="L1149" s="301"/>
      <c r="M1149" s="301"/>
      <c r="N1149" s="301"/>
      <c r="O1149" s="301"/>
      <c r="P1149" s="301"/>
      <c r="Q1149" s="301"/>
      <c r="R1149" s="301"/>
      <c r="S1149" s="302"/>
      <c r="T1149" s="302"/>
      <c r="U1149" s="302"/>
      <c r="V1149" s="301"/>
      <c r="W1149" s="301"/>
      <c r="X1149" s="70"/>
      <c r="Y1149" s="70"/>
      <c r="Z1149" s="70"/>
      <c r="AA1149" s="70"/>
      <c r="AB1149" s="70"/>
    </row>
    <row r="1150" spans="1:28" s="60" customFormat="1">
      <c r="A1150" s="70"/>
      <c r="B1150" s="70"/>
      <c r="C1150" s="70"/>
      <c r="D1150" s="70"/>
      <c r="E1150" s="70"/>
      <c r="F1150" s="70"/>
      <c r="G1150" s="304"/>
      <c r="H1150" s="304"/>
      <c r="I1150" s="301"/>
      <c r="J1150" s="301"/>
      <c r="K1150" s="301"/>
      <c r="L1150" s="301"/>
      <c r="M1150" s="301"/>
      <c r="N1150" s="301"/>
      <c r="O1150" s="301"/>
      <c r="P1150" s="301"/>
      <c r="Q1150" s="301"/>
      <c r="R1150" s="301"/>
      <c r="S1150" s="302"/>
      <c r="T1150" s="302"/>
      <c r="U1150" s="302"/>
      <c r="V1150" s="301"/>
      <c r="W1150" s="301"/>
      <c r="X1150" s="70"/>
      <c r="Y1150" s="70"/>
      <c r="Z1150" s="70"/>
      <c r="AA1150" s="70"/>
      <c r="AB1150" s="70"/>
    </row>
    <row r="1151" spans="1:28">
      <c r="A1151" s="70"/>
      <c r="B1151" s="70"/>
      <c r="C1151" s="70"/>
      <c r="D1151" s="70"/>
      <c r="E1151" s="70"/>
      <c r="F1151" s="70"/>
      <c r="G1151" s="162"/>
      <c r="H1151" s="162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302"/>
      <c r="T1151" s="302"/>
      <c r="U1151" s="302"/>
      <c r="V1151" s="70"/>
      <c r="W1151" s="70"/>
      <c r="X1151" s="69"/>
      <c r="Y1151" s="69"/>
      <c r="Z1151" s="69"/>
      <c r="AA1151" s="69"/>
      <c r="AB1151" s="69"/>
    </row>
    <row r="1152" spans="1:28">
      <c r="A1152" s="70"/>
      <c r="B1152" s="70"/>
      <c r="C1152" s="70"/>
      <c r="D1152" s="70"/>
      <c r="E1152" s="70"/>
      <c r="F1152" s="70"/>
      <c r="G1152" s="162"/>
      <c r="H1152" s="162"/>
      <c r="I1152" s="301"/>
      <c r="J1152" s="301"/>
      <c r="K1152" s="301"/>
      <c r="L1152" s="301"/>
      <c r="M1152" s="301"/>
      <c r="N1152" s="301"/>
      <c r="O1152" s="301"/>
      <c r="P1152" s="301"/>
      <c r="Q1152" s="301"/>
      <c r="R1152" s="301"/>
      <c r="S1152" s="302"/>
      <c r="T1152" s="302"/>
      <c r="U1152" s="302"/>
      <c r="V1152" s="301"/>
      <c r="W1152" s="301"/>
      <c r="X1152" s="69"/>
      <c r="Y1152" s="69"/>
      <c r="Z1152" s="69"/>
      <c r="AA1152" s="69"/>
      <c r="AB1152" s="69"/>
    </row>
    <row r="1153" spans="1:28">
      <c r="A1153" s="70"/>
      <c r="B1153" s="70"/>
      <c r="C1153" s="70"/>
      <c r="D1153" s="70"/>
      <c r="E1153" s="70"/>
      <c r="F1153" s="70"/>
      <c r="G1153" s="218"/>
      <c r="H1153" s="218"/>
      <c r="I1153" s="218"/>
      <c r="J1153" s="218"/>
      <c r="K1153" s="218"/>
      <c r="L1153" s="218"/>
      <c r="M1153" s="218"/>
      <c r="N1153" s="218"/>
      <c r="O1153" s="218"/>
      <c r="P1153" s="218"/>
      <c r="Q1153" s="218"/>
      <c r="R1153" s="218"/>
      <c r="S1153" s="218"/>
      <c r="T1153" s="302"/>
      <c r="U1153" s="302"/>
      <c r="V1153" s="218"/>
      <c r="W1153" s="218"/>
      <c r="X1153" s="305"/>
      <c r="Y1153" s="305"/>
      <c r="Z1153" s="305"/>
      <c r="AA1153" s="69"/>
      <c r="AB1153" s="69"/>
    </row>
    <row r="1154" spans="1:28">
      <c r="A1154" s="70"/>
      <c r="B1154" s="70"/>
      <c r="C1154" s="70"/>
      <c r="D1154" s="70"/>
      <c r="E1154" s="70"/>
      <c r="F1154" s="70"/>
      <c r="G1154" s="218"/>
      <c r="H1154" s="218"/>
      <c r="I1154" s="218"/>
      <c r="J1154" s="218"/>
      <c r="K1154" s="218"/>
      <c r="L1154" s="218"/>
      <c r="M1154" s="218"/>
      <c r="N1154" s="218"/>
      <c r="O1154" s="218"/>
      <c r="P1154" s="218"/>
      <c r="Q1154" s="218"/>
      <c r="R1154" s="218"/>
      <c r="S1154" s="218"/>
      <c r="T1154" s="302"/>
      <c r="U1154" s="302"/>
      <c r="V1154" s="218"/>
      <c r="W1154" s="218"/>
      <c r="X1154" s="305"/>
      <c r="Y1154" s="305"/>
      <c r="Z1154" s="305"/>
      <c r="AA1154" s="69"/>
      <c r="AB1154" s="69"/>
    </row>
    <row r="1155" spans="1:28">
      <c r="A1155" s="70"/>
      <c r="B1155" s="70"/>
      <c r="C1155" s="70"/>
      <c r="D1155" s="70"/>
      <c r="E1155" s="70"/>
      <c r="F1155" s="70"/>
      <c r="G1155" s="70"/>
      <c r="H1155" s="70"/>
      <c r="I1155" s="70"/>
      <c r="J1155" s="70"/>
      <c r="K1155" s="70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69"/>
      <c r="Y1155" s="69"/>
      <c r="Z1155" s="69"/>
      <c r="AA1155" s="69"/>
      <c r="AB1155" s="69"/>
    </row>
    <row r="1156" spans="1:28">
      <c r="A1156" s="70"/>
      <c r="B1156" s="70"/>
      <c r="C1156" s="70"/>
      <c r="D1156" s="70"/>
      <c r="E1156" s="70"/>
      <c r="F1156" s="70"/>
      <c r="G1156" s="70"/>
      <c r="H1156" s="70"/>
      <c r="I1156" s="70"/>
      <c r="J1156" s="70"/>
      <c r="K1156" s="70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69"/>
      <c r="Y1156" s="69"/>
      <c r="Z1156" s="69"/>
      <c r="AA1156" s="69"/>
      <c r="AB1156" s="69"/>
    </row>
    <row r="1157" spans="1:28" ht="15">
      <c r="A1157" s="139"/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69"/>
      <c r="Y1157" s="69"/>
      <c r="Z1157" s="69"/>
      <c r="AA1157" s="69"/>
      <c r="AB1157" s="69"/>
    </row>
    <row r="1158" spans="1:28">
      <c r="A1158" s="70"/>
      <c r="B1158" s="70"/>
      <c r="C1158" s="70"/>
      <c r="D1158" s="70"/>
      <c r="E1158" s="70"/>
      <c r="F1158" s="70"/>
      <c r="G1158" s="306"/>
      <c r="H1158" s="306"/>
      <c r="I1158" s="301"/>
      <c r="J1158" s="301"/>
      <c r="K1158" s="301"/>
      <c r="L1158" s="301"/>
      <c r="M1158" s="301"/>
      <c r="N1158" s="301"/>
      <c r="O1158" s="301"/>
      <c r="P1158" s="301"/>
      <c r="Q1158" s="301"/>
      <c r="R1158" s="301"/>
      <c r="S1158" s="306"/>
      <c r="T1158" s="306"/>
      <c r="U1158" s="306"/>
      <c r="V1158" s="301"/>
      <c r="W1158" s="301"/>
      <c r="X1158" s="69"/>
      <c r="Y1158" s="69"/>
      <c r="Z1158" s="69"/>
      <c r="AA1158" s="69"/>
      <c r="AB1158" s="69"/>
    </row>
    <row r="1159" spans="1:28" s="60" customFormat="1">
      <c r="A1159" s="70"/>
      <c r="B1159" s="70"/>
      <c r="C1159" s="70"/>
      <c r="D1159" s="70"/>
      <c r="E1159" s="70"/>
      <c r="F1159" s="70"/>
      <c r="G1159" s="306"/>
      <c r="H1159" s="306"/>
      <c r="I1159" s="301"/>
      <c r="J1159" s="301"/>
      <c r="K1159" s="301"/>
      <c r="L1159" s="301"/>
      <c r="M1159" s="301"/>
      <c r="N1159" s="301"/>
      <c r="O1159" s="301"/>
      <c r="P1159" s="301"/>
      <c r="Q1159" s="301"/>
      <c r="R1159" s="301"/>
      <c r="S1159" s="306"/>
      <c r="T1159" s="307"/>
      <c r="U1159" s="307"/>
      <c r="V1159" s="301"/>
      <c r="W1159" s="301"/>
      <c r="X1159" s="306"/>
      <c r="Y1159" s="306"/>
      <c r="Z1159" s="306"/>
      <c r="AA1159" s="70"/>
      <c r="AB1159" s="70"/>
    </row>
    <row r="1160" spans="1:28" s="60" customFormat="1">
      <c r="A1160" s="70"/>
      <c r="B1160" s="70"/>
      <c r="C1160" s="70"/>
      <c r="D1160" s="70"/>
      <c r="E1160" s="70"/>
      <c r="F1160" s="70"/>
      <c r="G1160" s="306"/>
      <c r="H1160" s="306"/>
      <c r="I1160" s="306"/>
      <c r="J1160" s="306"/>
      <c r="K1160" s="306"/>
      <c r="L1160" s="306"/>
      <c r="M1160" s="306"/>
      <c r="N1160" s="306"/>
      <c r="O1160" s="306"/>
      <c r="P1160" s="306"/>
      <c r="Q1160" s="306"/>
      <c r="R1160" s="306"/>
      <c r="S1160" s="306"/>
      <c r="T1160" s="306"/>
      <c r="U1160" s="306"/>
      <c r="V1160" s="306"/>
      <c r="W1160" s="306"/>
      <c r="X1160" s="306"/>
      <c r="Y1160" s="306"/>
      <c r="Z1160" s="306"/>
      <c r="AA1160" s="70"/>
      <c r="AB1160" s="70"/>
    </row>
    <row r="1161" spans="1:28" s="60" customFormat="1">
      <c r="A1161" s="70"/>
      <c r="B1161" s="70"/>
      <c r="C1161" s="70"/>
      <c r="D1161" s="70"/>
      <c r="E1161" s="70"/>
      <c r="F1161" s="70"/>
      <c r="G1161" s="306"/>
      <c r="H1161" s="306"/>
      <c r="I1161" s="301"/>
      <c r="J1161" s="301"/>
      <c r="K1161" s="301"/>
      <c r="L1161" s="301"/>
      <c r="M1161" s="301"/>
      <c r="N1161" s="301"/>
      <c r="O1161" s="301"/>
      <c r="P1161" s="301"/>
      <c r="Q1161" s="301"/>
      <c r="R1161" s="301"/>
      <c r="S1161" s="306"/>
      <c r="T1161" s="306"/>
      <c r="U1161" s="306"/>
      <c r="V1161" s="301"/>
      <c r="W1161" s="301"/>
      <c r="X1161" s="306"/>
      <c r="Y1161" s="306"/>
      <c r="Z1161" s="306"/>
      <c r="AA1161" s="70"/>
      <c r="AB1161" s="70"/>
    </row>
    <row r="1162" spans="1:28" s="60" customFormat="1">
      <c r="A1162" s="70"/>
      <c r="B1162" s="70"/>
      <c r="C1162" s="70"/>
      <c r="D1162" s="70"/>
      <c r="E1162" s="70"/>
      <c r="F1162" s="70"/>
      <c r="G1162" s="306"/>
      <c r="H1162" s="306"/>
      <c r="I1162" s="301"/>
      <c r="J1162" s="301"/>
      <c r="K1162" s="301"/>
      <c r="L1162" s="301"/>
      <c r="M1162" s="301"/>
      <c r="N1162" s="301"/>
      <c r="O1162" s="301"/>
      <c r="P1162" s="301"/>
      <c r="Q1162" s="301"/>
      <c r="R1162" s="301"/>
      <c r="S1162" s="306"/>
      <c r="T1162" s="306"/>
      <c r="U1162" s="306"/>
      <c r="V1162" s="301"/>
      <c r="W1162" s="301"/>
      <c r="X1162" s="70"/>
      <c r="Y1162" s="70"/>
      <c r="Z1162" s="70"/>
      <c r="AA1162" s="70"/>
      <c r="AB1162" s="70"/>
    </row>
    <row r="1163" spans="1:28" s="60" customFormat="1">
      <c r="A1163" s="70"/>
      <c r="B1163" s="70"/>
      <c r="C1163" s="70"/>
      <c r="D1163" s="70"/>
      <c r="E1163" s="70"/>
      <c r="F1163" s="70"/>
      <c r="G1163" s="306"/>
      <c r="H1163" s="306"/>
      <c r="I1163" s="301"/>
      <c r="J1163" s="301"/>
      <c r="K1163" s="301"/>
      <c r="L1163" s="301"/>
      <c r="M1163" s="301"/>
      <c r="N1163" s="301"/>
      <c r="O1163" s="301"/>
      <c r="P1163" s="301"/>
      <c r="Q1163" s="301"/>
      <c r="R1163" s="301"/>
      <c r="S1163" s="306"/>
      <c r="T1163" s="306"/>
      <c r="U1163" s="306"/>
      <c r="V1163" s="301"/>
      <c r="W1163" s="301"/>
      <c r="X1163" s="70"/>
      <c r="Y1163" s="70"/>
      <c r="Z1163" s="70"/>
      <c r="AA1163" s="70"/>
      <c r="AB1163" s="70"/>
    </row>
    <row r="1164" spans="1:28" s="60" customFormat="1">
      <c r="A1164" s="70"/>
      <c r="B1164" s="70"/>
      <c r="C1164" s="70"/>
      <c r="D1164" s="70"/>
      <c r="E1164" s="70"/>
      <c r="F1164" s="70"/>
      <c r="G1164" s="306"/>
      <c r="H1164" s="306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306"/>
      <c r="T1164" s="306"/>
      <c r="U1164" s="306"/>
      <c r="V1164" s="70"/>
      <c r="W1164" s="70"/>
      <c r="X1164" s="70"/>
      <c r="Y1164" s="70"/>
      <c r="Z1164" s="70"/>
      <c r="AA1164" s="70"/>
      <c r="AB1164" s="70"/>
    </row>
    <row r="1165" spans="1:28" s="60" customFormat="1">
      <c r="A1165" s="70"/>
      <c r="B1165" s="70"/>
      <c r="C1165" s="70"/>
      <c r="D1165" s="70"/>
      <c r="E1165" s="70"/>
      <c r="F1165" s="70"/>
      <c r="G1165" s="306"/>
      <c r="H1165" s="306"/>
      <c r="I1165" s="299"/>
      <c r="J1165" s="299"/>
      <c r="K1165" s="299"/>
      <c r="L1165" s="299"/>
      <c r="M1165" s="299"/>
      <c r="N1165" s="299"/>
      <c r="O1165" s="299"/>
      <c r="P1165" s="299"/>
      <c r="Q1165" s="299"/>
      <c r="R1165" s="299"/>
      <c r="S1165" s="306"/>
      <c r="T1165" s="306"/>
      <c r="U1165" s="306"/>
      <c r="V1165" s="299"/>
      <c r="W1165" s="299"/>
      <c r="X1165" s="70"/>
      <c r="Y1165" s="70"/>
      <c r="Z1165" s="70"/>
      <c r="AA1165" s="70"/>
      <c r="AB1165" s="70"/>
    </row>
    <row r="1166" spans="1:28" s="60" customFormat="1">
      <c r="A1166" s="70"/>
      <c r="B1166" s="70"/>
      <c r="C1166" s="70"/>
      <c r="D1166" s="70"/>
      <c r="E1166" s="70"/>
      <c r="F1166" s="70"/>
      <c r="G1166" s="306"/>
      <c r="H1166" s="306"/>
      <c r="I1166" s="306"/>
      <c r="J1166" s="306"/>
      <c r="K1166" s="306"/>
      <c r="L1166" s="306"/>
      <c r="M1166" s="306"/>
      <c r="N1166" s="306"/>
      <c r="O1166" s="306"/>
      <c r="P1166" s="306"/>
      <c r="Q1166" s="306"/>
      <c r="R1166" s="306"/>
      <c r="S1166" s="306"/>
      <c r="T1166" s="306"/>
      <c r="U1166" s="306"/>
      <c r="V1166" s="306"/>
      <c r="W1166" s="306"/>
      <c r="X1166" s="70"/>
      <c r="Y1166" s="70"/>
      <c r="Z1166" s="70"/>
      <c r="AA1166" s="70"/>
      <c r="AB1166" s="70"/>
    </row>
    <row r="1167" spans="1:28">
      <c r="A1167" s="70"/>
      <c r="B1167" s="70"/>
      <c r="C1167" s="70"/>
      <c r="D1167" s="70"/>
      <c r="E1167" s="70"/>
      <c r="F1167" s="70"/>
      <c r="G1167" s="300"/>
      <c r="H1167" s="300"/>
      <c r="I1167" s="300"/>
      <c r="J1167" s="300"/>
      <c r="K1167" s="300"/>
      <c r="L1167" s="300"/>
      <c r="M1167" s="300"/>
      <c r="N1167" s="300"/>
      <c r="O1167" s="300"/>
      <c r="P1167" s="300"/>
      <c r="Q1167" s="300"/>
      <c r="R1167" s="300"/>
      <c r="S1167" s="300"/>
      <c r="T1167" s="300"/>
      <c r="U1167" s="300"/>
      <c r="V1167" s="300"/>
      <c r="W1167" s="300"/>
      <c r="X1167" s="69"/>
      <c r="Y1167" s="69"/>
      <c r="Z1167" s="69"/>
      <c r="AA1167" s="69"/>
      <c r="AB1167" s="69"/>
    </row>
    <row r="1168" spans="1:28">
      <c r="A1168" s="70"/>
      <c r="B1168" s="70"/>
      <c r="C1168" s="70"/>
      <c r="D1168" s="70"/>
      <c r="E1168" s="70"/>
      <c r="F1168" s="70"/>
      <c r="G1168" s="300"/>
      <c r="H1168" s="300"/>
      <c r="I1168" s="300"/>
      <c r="J1168" s="300"/>
      <c r="K1168" s="300"/>
      <c r="L1168" s="300"/>
      <c r="M1168" s="300"/>
      <c r="N1168" s="300"/>
      <c r="O1168" s="300"/>
      <c r="P1168" s="300"/>
      <c r="Q1168" s="300"/>
      <c r="R1168" s="300"/>
      <c r="S1168" s="300"/>
      <c r="T1168" s="300"/>
      <c r="U1168" s="300"/>
      <c r="V1168" s="300"/>
      <c r="W1168" s="300"/>
      <c r="X1168" s="69"/>
      <c r="Y1168" s="69"/>
      <c r="Z1168" s="69"/>
      <c r="AA1168" s="69"/>
      <c r="AB1168" s="69"/>
    </row>
    <row r="1169" spans="1:28">
      <c r="A1169" s="308"/>
      <c r="B1169" s="70"/>
      <c r="C1169" s="70"/>
      <c r="D1169" s="70"/>
      <c r="E1169" s="70"/>
      <c r="F1169" s="70"/>
      <c r="G1169" s="300"/>
      <c r="H1169" s="300"/>
      <c r="I1169" s="300"/>
      <c r="J1169" s="300"/>
      <c r="K1169" s="300"/>
      <c r="L1169" s="300"/>
      <c r="M1169" s="300"/>
      <c r="N1169" s="300"/>
      <c r="O1169" s="300"/>
      <c r="P1169" s="300"/>
      <c r="Q1169" s="300"/>
      <c r="R1169" s="300"/>
      <c r="S1169" s="300"/>
      <c r="T1169" s="300"/>
      <c r="U1169" s="300"/>
      <c r="V1169" s="300"/>
      <c r="W1169" s="300"/>
      <c r="X1169" s="69"/>
      <c r="Y1169" s="69"/>
      <c r="Z1169" s="69"/>
      <c r="AA1169" s="69"/>
      <c r="AB1169" s="69"/>
    </row>
    <row r="1170" spans="1:28">
      <c r="A1170" s="308"/>
      <c r="B1170" s="70"/>
      <c r="C1170" s="70"/>
      <c r="D1170" s="70"/>
      <c r="E1170" s="70"/>
      <c r="F1170" s="70"/>
      <c r="G1170" s="300"/>
      <c r="H1170" s="300"/>
      <c r="I1170" s="300"/>
      <c r="J1170" s="300"/>
      <c r="K1170" s="300"/>
      <c r="L1170" s="300"/>
      <c r="M1170" s="300"/>
      <c r="N1170" s="300"/>
      <c r="O1170" s="300"/>
      <c r="P1170" s="300"/>
      <c r="Q1170" s="300"/>
      <c r="R1170" s="300"/>
      <c r="S1170" s="300"/>
      <c r="T1170" s="300"/>
      <c r="U1170" s="300"/>
      <c r="V1170" s="300"/>
      <c r="W1170" s="300"/>
      <c r="X1170" s="69"/>
      <c r="Y1170" s="69"/>
      <c r="Z1170" s="69"/>
      <c r="AA1170" s="69"/>
      <c r="AB1170" s="69"/>
    </row>
    <row r="1171" spans="1:28">
      <c r="A1171" s="308"/>
      <c r="B1171" s="70"/>
      <c r="C1171" s="70"/>
      <c r="D1171" s="70"/>
      <c r="E1171" s="70"/>
      <c r="F1171" s="70"/>
      <c r="G1171" s="300"/>
      <c r="H1171" s="300"/>
      <c r="I1171" s="300"/>
      <c r="J1171" s="300"/>
      <c r="K1171" s="300"/>
      <c r="L1171" s="300"/>
      <c r="M1171" s="300"/>
      <c r="N1171" s="300"/>
      <c r="O1171" s="300"/>
      <c r="P1171" s="300"/>
      <c r="Q1171" s="300"/>
      <c r="R1171" s="300"/>
      <c r="S1171" s="300"/>
      <c r="T1171" s="300"/>
      <c r="U1171" s="300"/>
      <c r="V1171" s="300"/>
      <c r="W1171" s="300"/>
      <c r="X1171" s="69"/>
      <c r="Y1171" s="69"/>
      <c r="Z1171" s="69"/>
      <c r="AA1171" s="69"/>
      <c r="AB1171" s="69"/>
    </row>
    <row r="1172" spans="1:28">
      <c r="A1172" s="308"/>
      <c r="B1172" s="70"/>
      <c r="C1172" s="70"/>
      <c r="D1172" s="70"/>
      <c r="E1172" s="70"/>
      <c r="F1172" s="70"/>
      <c r="G1172" s="300"/>
      <c r="H1172" s="300"/>
      <c r="I1172" s="300"/>
      <c r="J1172" s="300"/>
      <c r="K1172" s="300"/>
      <c r="L1172" s="300"/>
      <c r="M1172" s="300"/>
      <c r="N1172" s="300"/>
      <c r="O1172" s="300"/>
      <c r="P1172" s="300"/>
      <c r="Q1172" s="300"/>
      <c r="R1172" s="300"/>
      <c r="S1172" s="300"/>
      <c r="T1172" s="300"/>
      <c r="U1172" s="300"/>
      <c r="V1172" s="300"/>
      <c r="W1172" s="300"/>
      <c r="X1172" s="69"/>
      <c r="Y1172" s="69"/>
      <c r="Z1172" s="69"/>
      <c r="AA1172" s="69"/>
      <c r="AB1172" s="69"/>
    </row>
    <row r="1173" spans="1:28" ht="15">
      <c r="A1173" s="139"/>
      <c r="B1173" s="70"/>
      <c r="C1173" s="70"/>
      <c r="D1173" s="70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69"/>
      <c r="Y1173" s="69"/>
      <c r="Z1173" s="69"/>
      <c r="AA1173" s="69"/>
      <c r="AB1173" s="69"/>
    </row>
    <row r="1174" spans="1:28" ht="15">
      <c r="A1174" s="13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69"/>
      <c r="Y1174" s="69"/>
      <c r="Z1174" s="69"/>
      <c r="AA1174" s="69"/>
      <c r="AB1174" s="69"/>
    </row>
    <row r="1175" spans="1:28" ht="15">
      <c r="A1175" s="139"/>
      <c r="B1175" s="70"/>
      <c r="C1175" s="70"/>
      <c r="D1175" s="70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69"/>
      <c r="Y1175" s="69"/>
      <c r="Z1175" s="69"/>
      <c r="AA1175" s="69"/>
      <c r="AB1175" s="69"/>
    </row>
    <row r="1176" spans="1:28">
      <c r="A1176" s="70"/>
      <c r="B1176" s="70"/>
      <c r="C1176" s="70"/>
      <c r="D1176" s="70"/>
      <c r="E1176" s="70"/>
      <c r="F1176" s="70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303"/>
      <c r="Y1176" s="303"/>
      <c r="Z1176" s="303"/>
      <c r="AA1176" s="69"/>
      <c r="AB1176" s="69"/>
    </row>
    <row r="1177" spans="1:28" ht="16.5">
      <c r="A1177" s="70"/>
      <c r="B1177" s="70"/>
      <c r="C1177" s="70"/>
      <c r="D1177" s="70"/>
      <c r="E1177" s="70"/>
      <c r="F1177" s="70"/>
      <c r="G1177" s="309"/>
      <c r="H1177" s="309"/>
      <c r="I1177" s="309"/>
      <c r="J1177" s="309"/>
      <c r="K1177" s="309"/>
      <c r="L1177" s="309"/>
      <c r="M1177" s="309"/>
      <c r="N1177" s="309"/>
      <c r="O1177" s="309"/>
      <c r="P1177" s="309"/>
      <c r="Q1177" s="309"/>
      <c r="R1177" s="309"/>
      <c r="S1177" s="309"/>
      <c r="T1177" s="309"/>
      <c r="U1177" s="309"/>
      <c r="V1177" s="309"/>
      <c r="W1177" s="309"/>
      <c r="X1177" s="303"/>
      <c r="Y1177" s="303"/>
      <c r="Z1177" s="303"/>
      <c r="AA1177" s="69"/>
      <c r="AB1177" s="69"/>
    </row>
    <row r="1178" spans="1:28">
      <c r="A1178" s="70"/>
      <c r="B1178" s="70"/>
      <c r="C1178" s="70"/>
      <c r="D1178" s="70"/>
      <c r="E1178" s="70"/>
      <c r="F1178" s="70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303"/>
      <c r="Y1178" s="303"/>
      <c r="Z1178" s="303"/>
      <c r="AA1178" s="69"/>
      <c r="AB1178" s="69"/>
    </row>
    <row r="1179" spans="1:28" ht="15">
      <c r="A1179" s="139"/>
      <c r="B1179" s="70"/>
      <c r="C1179" s="70"/>
      <c r="D1179" s="70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69"/>
      <c r="Y1179" s="69"/>
      <c r="Z1179" s="69"/>
      <c r="AA1179" s="69"/>
      <c r="AB1179" s="69"/>
    </row>
    <row r="1180" spans="1:28" ht="15">
      <c r="A1180" s="139"/>
      <c r="B1180" s="70"/>
      <c r="C1180" s="70"/>
      <c r="D1180" s="70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69"/>
      <c r="Y1180" s="69"/>
      <c r="Z1180" s="69"/>
      <c r="AA1180" s="69"/>
      <c r="AB1180" s="69"/>
    </row>
    <row r="1181" spans="1:28">
      <c r="A1181" s="70"/>
      <c r="B1181" s="70"/>
      <c r="C1181" s="70"/>
      <c r="D1181" s="70"/>
      <c r="E1181" s="70"/>
      <c r="F1181" s="70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303"/>
      <c r="Y1181" s="303"/>
      <c r="Z1181" s="303"/>
      <c r="AA1181" s="69"/>
      <c r="AB1181" s="69"/>
    </row>
    <row r="1182" spans="1:28" ht="16.5">
      <c r="A1182" s="70"/>
      <c r="B1182" s="70"/>
      <c r="C1182" s="70"/>
      <c r="D1182" s="70"/>
      <c r="E1182" s="70"/>
      <c r="F1182" s="70"/>
      <c r="G1182" s="309"/>
      <c r="H1182" s="309"/>
      <c r="I1182" s="309"/>
      <c r="J1182" s="309"/>
      <c r="K1182" s="309"/>
      <c r="L1182" s="309"/>
      <c r="M1182" s="309"/>
      <c r="N1182" s="309"/>
      <c r="O1182" s="309"/>
      <c r="P1182" s="309"/>
      <c r="Q1182" s="309"/>
      <c r="R1182" s="309"/>
      <c r="S1182" s="309"/>
      <c r="T1182" s="309"/>
      <c r="U1182" s="309"/>
      <c r="V1182" s="309"/>
      <c r="W1182" s="309"/>
      <c r="X1182" s="303"/>
      <c r="Y1182" s="303"/>
      <c r="Z1182" s="303"/>
      <c r="AA1182" s="69"/>
      <c r="AB1182" s="69"/>
    </row>
    <row r="1183" spans="1:28">
      <c r="A1183" s="70"/>
      <c r="B1183" s="70"/>
      <c r="C1183" s="70"/>
      <c r="D1183" s="70"/>
      <c r="E1183" s="70"/>
      <c r="F1183" s="70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303"/>
      <c r="Y1183" s="303"/>
      <c r="Z1183" s="303"/>
      <c r="AA1183" s="69"/>
      <c r="AB1183" s="69"/>
    </row>
    <row r="1184" spans="1:28">
      <c r="A1184" s="70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69"/>
      <c r="Y1184" s="69"/>
      <c r="Z1184" s="69"/>
      <c r="AA1184" s="69"/>
      <c r="AB1184" s="69"/>
    </row>
    <row r="1185" spans="1:28" ht="15">
      <c r="A1185" s="139"/>
      <c r="B1185" s="70"/>
      <c r="C1185" s="70"/>
      <c r="D1185" s="70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69"/>
      <c r="Y1185" s="69"/>
      <c r="Z1185" s="69"/>
      <c r="AA1185" s="69"/>
      <c r="AB1185" s="69"/>
    </row>
    <row r="1186" spans="1:28">
      <c r="A1186" s="70"/>
      <c r="B1186" s="70"/>
      <c r="C1186" s="70"/>
      <c r="D1186" s="70"/>
      <c r="E1186" s="70"/>
      <c r="F1186" s="70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303"/>
      <c r="Y1186" s="303"/>
      <c r="Z1186" s="303"/>
      <c r="AA1186" s="69"/>
      <c r="AB1186" s="69"/>
    </row>
    <row r="1187" spans="1:28" ht="16.5">
      <c r="A1187" s="70"/>
      <c r="B1187" s="70"/>
      <c r="C1187" s="70"/>
      <c r="D1187" s="70"/>
      <c r="E1187" s="70"/>
      <c r="F1187" s="70"/>
      <c r="G1187" s="309"/>
      <c r="H1187" s="309"/>
      <c r="I1187" s="309"/>
      <c r="J1187" s="309"/>
      <c r="K1187" s="309"/>
      <c r="L1187" s="309"/>
      <c r="M1187" s="309"/>
      <c r="N1187" s="309"/>
      <c r="O1187" s="309"/>
      <c r="P1187" s="309"/>
      <c r="Q1187" s="309"/>
      <c r="R1187" s="309"/>
      <c r="S1187" s="309"/>
      <c r="T1187" s="309"/>
      <c r="U1187" s="309"/>
      <c r="V1187" s="309"/>
      <c r="W1187" s="309"/>
      <c r="X1187" s="303"/>
      <c r="Y1187" s="303"/>
      <c r="Z1187" s="303"/>
      <c r="AA1187" s="69"/>
      <c r="AB1187" s="69"/>
    </row>
    <row r="1188" spans="1:28">
      <c r="A1188" s="70"/>
      <c r="B1188" s="70"/>
      <c r="C1188" s="70"/>
      <c r="D1188" s="70"/>
      <c r="E1188" s="70"/>
      <c r="F1188" s="70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303"/>
      <c r="Y1188" s="303"/>
      <c r="Z1188" s="303"/>
      <c r="AA1188" s="69"/>
      <c r="AB1188" s="69"/>
    </row>
    <row r="1189" spans="1:28">
      <c r="A1189" s="70"/>
      <c r="B1189" s="70"/>
      <c r="C1189" s="70"/>
      <c r="D1189" s="70"/>
      <c r="E1189" s="70"/>
      <c r="F1189" s="70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303"/>
      <c r="Y1189" s="303"/>
      <c r="Z1189" s="303"/>
      <c r="AA1189" s="69"/>
      <c r="AB1189" s="69"/>
    </row>
    <row r="1190" spans="1:28" ht="15">
      <c r="A1190" s="139"/>
      <c r="B1190" s="70"/>
      <c r="C1190" s="70"/>
      <c r="D1190" s="70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69"/>
      <c r="Y1190" s="69"/>
      <c r="Z1190" s="69"/>
      <c r="AA1190" s="69"/>
      <c r="AB1190" s="69"/>
    </row>
    <row r="1191" spans="1:28">
      <c r="A1191" s="70"/>
      <c r="B1191" s="70"/>
      <c r="C1191" s="70"/>
      <c r="D1191" s="70"/>
      <c r="E1191" s="70"/>
      <c r="F1191" s="70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303"/>
      <c r="Y1191" s="303"/>
      <c r="Z1191" s="303"/>
      <c r="AA1191" s="69"/>
      <c r="AB1191" s="69"/>
    </row>
    <row r="1192" spans="1:28" ht="16.5">
      <c r="A1192" s="70"/>
      <c r="B1192" s="70"/>
      <c r="C1192" s="70"/>
      <c r="D1192" s="70"/>
      <c r="E1192" s="70"/>
      <c r="F1192" s="70"/>
      <c r="G1192" s="309"/>
      <c r="H1192" s="309"/>
      <c r="I1192" s="309"/>
      <c r="J1192" s="309"/>
      <c r="K1192" s="309"/>
      <c r="L1192" s="309"/>
      <c r="M1192" s="309"/>
      <c r="N1192" s="309"/>
      <c r="O1192" s="309"/>
      <c r="P1192" s="309"/>
      <c r="Q1192" s="309"/>
      <c r="R1192" s="309"/>
      <c r="S1192" s="309"/>
      <c r="T1192" s="309"/>
      <c r="U1192" s="309"/>
      <c r="V1192" s="309"/>
      <c r="W1192" s="309"/>
      <c r="X1192" s="303"/>
      <c r="Y1192" s="303"/>
      <c r="Z1192" s="303"/>
      <c r="AA1192" s="69"/>
      <c r="AB1192" s="69"/>
    </row>
    <row r="1193" spans="1:28">
      <c r="A1193" s="70"/>
      <c r="B1193" s="70"/>
      <c r="C1193" s="70"/>
      <c r="D1193" s="70"/>
      <c r="E1193" s="70"/>
      <c r="F1193" s="70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303"/>
      <c r="Y1193" s="303"/>
      <c r="Z1193" s="303"/>
      <c r="AA1193" s="69"/>
      <c r="AB1193" s="69"/>
    </row>
    <row r="1194" spans="1:28">
      <c r="A1194" s="70"/>
      <c r="B1194" s="70"/>
      <c r="C1194" s="70"/>
      <c r="D1194" s="70"/>
      <c r="E1194" s="70"/>
      <c r="F1194" s="70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303"/>
      <c r="Y1194" s="303"/>
      <c r="Z1194" s="303"/>
      <c r="AA1194" s="69"/>
      <c r="AB1194" s="69"/>
    </row>
    <row r="1195" spans="1:28" ht="15">
      <c r="A1195" s="139"/>
      <c r="B1195" s="70"/>
      <c r="C1195" s="70"/>
      <c r="D1195" s="70"/>
      <c r="E1195" s="70"/>
      <c r="F1195" s="70"/>
      <c r="G1195" s="70"/>
      <c r="H1195" s="70"/>
      <c r="I1195" s="70"/>
      <c r="J1195" s="70"/>
      <c r="K1195" s="70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69"/>
      <c r="Y1195" s="69"/>
      <c r="Z1195" s="69"/>
      <c r="AA1195" s="69"/>
      <c r="AB1195" s="69"/>
    </row>
    <row r="1196" spans="1:28">
      <c r="A1196" s="70"/>
      <c r="B1196" s="70"/>
      <c r="C1196" s="70"/>
      <c r="D1196" s="70"/>
      <c r="E1196" s="70"/>
      <c r="F1196" s="70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303"/>
      <c r="Y1196" s="303"/>
      <c r="Z1196" s="303"/>
      <c r="AA1196" s="69"/>
      <c r="AB1196" s="69"/>
    </row>
    <row r="1197" spans="1:28" ht="16.5">
      <c r="A1197" s="70"/>
      <c r="B1197" s="70"/>
      <c r="C1197" s="70"/>
      <c r="D1197" s="70"/>
      <c r="E1197" s="70"/>
      <c r="F1197" s="70"/>
      <c r="G1197" s="309"/>
      <c r="H1197" s="309"/>
      <c r="I1197" s="309"/>
      <c r="J1197" s="309"/>
      <c r="K1197" s="309"/>
      <c r="L1197" s="309"/>
      <c r="M1197" s="309"/>
      <c r="N1197" s="309"/>
      <c r="O1197" s="309"/>
      <c r="P1197" s="309"/>
      <c r="Q1197" s="309"/>
      <c r="R1197" s="309"/>
      <c r="S1197" s="309"/>
      <c r="T1197" s="309"/>
      <c r="U1197" s="309"/>
      <c r="V1197" s="309"/>
      <c r="W1197" s="309"/>
      <c r="X1197" s="303"/>
      <c r="Y1197" s="303"/>
      <c r="Z1197" s="303"/>
      <c r="AA1197" s="69"/>
      <c r="AB1197" s="69"/>
    </row>
    <row r="1198" spans="1:28">
      <c r="A1198" s="70"/>
      <c r="B1198" s="70"/>
      <c r="C1198" s="70"/>
      <c r="D1198" s="70"/>
      <c r="E1198" s="70"/>
      <c r="F1198" s="70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303"/>
      <c r="Y1198" s="303"/>
      <c r="Z1198" s="303"/>
      <c r="AA1198" s="69"/>
      <c r="AB1198" s="69"/>
    </row>
    <row r="1199" spans="1:28">
      <c r="A1199" s="70"/>
      <c r="B1199" s="70"/>
      <c r="C1199" s="70"/>
      <c r="D1199" s="70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69"/>
      <c r="Y1199" s="69"/>
      <c r="Z1199" s="69"/>
      <c r="AA1199" s="69"/>
      <c r="AB1199" s="69"/>
    </row>
    <row r="1200" spans="1:28" ht="15">
      <c r="A1200" s="139"/>
      <c r="B1200" s="70"/>
      <c r="C1200" s="70"/>
      <c r="D1200" s="70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69"/>
      <c r="Y1200" s="69"/>
      <c r="Z1200" s="69"/>
      <c r="AA1200" s="69"/>
      <c r="AB1200" s="69"/>
    </row>
    <row r="1201" spans="1:28">
      <c r="A1201" s="70"/>
      <c r="B1201" s="70"/>
      <c r="C1201" s="70"/>
      <c r="D1201" s="70"/>
      <c r="E1201" s="70"/>
      <c r="F1201" s="70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303"/>
      <c r="Y1201" s="303"/>
      <c r="Z1201" s="303"/>
      <c r="AA1201" s="69"/>
      <c r="AB1201" s="69"/>
    </row>
    <row r="1202" spans="1:28" ht="16.5">
      <c r="A1202" s="70"/>
      <c r="B1202" s="70"/>
      <c r="C1202" s="70"/>
      <c r="D1202" s="70"/>
      <c r="E1202" s="70"/>
      <c r="F1202" s="70"/>
      <c r="G1202" s="309"/>
      <c r="H1202" s="309"/>
      <c r="I1202" s="309"/>
      <c r="J1202" s="309"/>
      <c r="K1202" s="309"/>
      <c r="L1202" s="309"/>
      <c r="M1202" s="309"/>
      <c r="N1202" s="309"/>
      <c r="O1202" s="309"/>
      <c r="P1202" s="309"/>
      <c r="Q1202" s="309"/>
      <c r="R1202" s="309"/>
      <c r="S1202" s="309"/>
      <c r="T1202" s="309"/>
      <c r="U1202" s="309"/>
      <c r="V1202" s="309"/>
      <c r="W1202" s="309"/>
      <c r="X1202" s="303"/>
      <c r="Y1202" s="303"/>
      <c r="Z1202" s="303"/>
      <c r="AA1202" s="69"/>
      <c r="AB1202" s="69"/>
    </row>
    <row r="1203" spans="1:28">
      <c r="A1203" s="70"/>
      <c r="B1203" s="70"/>
      <c r="C1203" s="70"/>
      <c r="D1203" s="70"/>
      <c r="E1203" s="70"/>
      <c r="F1203" s="70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303"/>
      <c r="Y1203" s="303"/>
      <c r="Z1203" s="303"/>
      <c r="AA1203" s="69"/>
      <c r="AB1203" s="69"/>
    </row>
    <row r="1204" spans="1:28">
      <c r="A1204" s="70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69"/>
      <c r="Y1204" s="69"/>
      <c r="Z1204" s="69"/>
      <c r="AA1204" s="69"/>
      <c r="AB1204" s="69"/>
    </row>
    <row r="1205" spans="1:28" ht="15">
      <c r="A1205" s="139"/>
      <c r="B1205" s="70"/>
      <c r="C1205" s="70"/>
      <c r="D1205" s="70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69"/>
      <c r="Y1205" s="69"/>
      <c r="Z1205" s="69"/>
      <c r="AA1205" s="69"/>
      <c r="AB1205" s="69"/>
    </row>
    <row r="1206" spans="1:28">
      <c r="A1206" s="70"/>
      <c r="B1206" s="70"/>
      <c r="C1206" s="70"/>
      <c r="D1206" s="70"/>
      <c r="E1206" s="70"/>
      <c r="F1206" s="70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303"/>
      <c r="Y1206" s="303"/>
      <c r="Z1206" s="303"/>
      <c r="AA1206" s="69"/>
      <c r="AB1206" s="69"/>
    </row>
    <row r="1207" spans="1:28" ht="16.5">
      <c r="A1207" s="70"/>
      <c r="B1207" s="70"/>
      <c r="C1207" s="70"/>
      <c r="D1207" s="70"/>
      <c r="E1207" s="70"/>
      <c r="F1207" s="70"/>
      <c r="G1207" s="309"/>
      <c r="H1207" s="309"/>
      <c r="I1207" s="309"/>
      <c r="J1207" s="309"/>
      <c r="K1207" s="309"/>
      <c r="L1207" s="309"/>
      <c r="M1207" s="309"/>
      <c r="N1207" s="309"/>
      <c r="O1207" s="309"/>
      <c r="P1207" s="309"/>
      <c r="Q1207" s="309"/>
      <c r="R1207" s="309"/>
      <c r="S1207" s="309"/>
      <c r="T1207" s="309"/>
      <c r="U1207" s="309"/>
      <c r="V1207" s="309"/>
      <c r="W1207" s="309"/>
      <c r="X1207" s="303"/>
      <c r="Y1207" s="303"/>
      <c r="Z1207" s="303"/>
      <c r="AA1207" s="69"/>
      <c r="AB1207" s="69"/>
    </row>
    <row r="1208" spans="1:28">
      <c r="A1208" s="70"/>
      <c r="B1208" s="70"/>
      <c r="C1208" s="70"/>
      <c r="D1208" s="70"/>
      <c r="E1208" s="70"/>
      <c r="F1208" s="70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303"/>
      <c r="Y1208" s="303"/>
      <c r="Z1208" s="303"/>
      <c r="AA1208" s="69"/>
      <c r="AB1208" s="69"/>
    </row>
    <row r="1209" spans="1:28">
      <c r="A1209" s="70"/>
      <c r="B1209" s="70"/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69"/>
      <c r="Y1209" s="69"/>
      <c r="Z1209" s="69"/>
      <c r="AA1209" s="69"/>
      <c r="AB1209" s="69"/>
    </row>
    <row r="1210" spans="1:28" ht="15">
      <c r="A1210" s="139"/>
      <c r="B1210" s="70"/>
      <c r="C1210" s="70"/>
      <c r="D1210" s="70"/>
      <c r="E1210" s="70"/>
      <c r="F1210" s="70"/>
      <c r="G1210" s="70"/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69"/>
      <c r="Y1210" s="69"/>
      <c r="Z1210" s="69"/>
      <c r="AA1210" s="69"/>
      <c r="AB1210" s="69"/>
    </row>
    <row r="1211" spans="1:28">
      <c r="A1211" s="70"/>
      <c r="B1211" s="70"/>
      <c r="C1211" s="70"/>
      <c r="D1211" s="70"/>
      <c r="E1211" s="70"/>
      <c r="F1211" s="70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303"/>
      <c r="Y1211" s="303"/>
      <c r="Z1211" s="303"/>
      <c r="AA1211" s="69"/>
      <c r="AB1211" s="69"/>
    </row>
    <row r="1212" spans="1:28" ht="16.5">
      <c r="A1212" s="70"/>
      <c r="B1212" s="70"/>
      <c r="C1212" s="70"/>
      <c r="D1212" s="70"/>
      <c r="E1212" s="70"/>
      <c r="F1212" s="70"/>
      <c r="G1212" s="309"/>
      <c r="H1212" s="309"/>
      <c r="I1212" s="309"/>
      <c r="J1212" s="309"/>
      <c r="K1212" s="309"/>
      <c r="L1212" s="309"/>
      <c r="M1212" s="309"/>
      <c r="N1212" s="309"/>
      <c r="O1212" s="309"/>
      <c r="P1212" s="309"/>
      <c r="Q1212" s="309"/>
      <c r="R1212" s="309"/>
      <c r="S1212" s="309"/>
      <c r="T1212" s="309"/>
      <c r="U1212" s="309"/>
      <c r="V1212" s="309"/>
      <c r="W1212" s="309"/>
      <c r="X1212" s="310"/>
      <c r="Y1212" s="310"/>
      <c r="Z1212" s="310"/>
      <c r="AA1212" s="69"/>
      <c r="AB1212" s="69"/>
    </row>
    <row r="1213" spans="1:28">
      <c r="A1213" s="70"/>
      <c r="B1213" s="70"/>
      <c r="C1213" s="70"/>
      <c r="D1213" s="70"/>
      <c r="E1213" s="70"/>
      <c r="F1213" s="70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303"/>
      <c r="Y1213" s="303"/>
      <c r="Z1213" s="303"/>
      <c r="AA1213" s="69"/>
      <c r="AB1213" s="69"/>
    </row>
    <row r="1214" spans="1:28">
      <c r="A1214" s="70"/>
      <c r="B1214" s="70"/>
      <c r="C1214" s="70"/>
      <c r="D1214" s="70"/>
      <c r="E1214" s="70"/>
      <c r="F1214" s="70"/>
      <c r="G1214" s="70"/>
      <c r="H1214" s="70"/>
      <c r="I1214" s="70"/>
      <c r="J1214" s="162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69"/>
      <c r="Y1214" s="69"/>
      <c r="Z1214" s="69"/>
      <c r="AA1214" s="69"/>
      <c r="AB1214" s="69"/>
    </row>
    <row r="1215" spans="1:28" ht="15">
      <c r="A1215" s="139"/>
      <c r="B1215" s="70"/>
      <c r="C1215" s="70"/>
      <c r="D1215" s="70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69"/>
      <c r="Y1215" s="69"/>
      <c r="Z1215" s="69"/>
      <c r="AA1215" s="69"/>
      <c r="AB1215" s="69"/>
    </row>
    <row r="1216" spans="1:28">
      <c r="A1216" s="70"/>
      <c r="B1216" s="70"/>
      <c r="C1216" s="70"/>
      <c r="D1216" s="70"/>
      <c r="E1216" s="70"/>
      <c r="F1216" s="70"/>
      <c r="G1216" s="299"/>
      <c r="H1216" s="299"/>
      <c r="I1216" s="299"/>
      <c r="J1216" s="299"/>
      <c r="K1216" s="299"/>
      <c r="L1216" s="299"/>
      <c r="M1216" s="299"/>
      <c r="N1216" s="299"/>
      <c r="O1216" s="299"/>
      <c r="P1216" s="299"/>
      <c r="Q1216" s="299"/>
      <c r="R1216" s="299"/>
      <c r="S1216" s="299"/>
      <c r="T1216" s="299"/>
      <c r="U1216" s="299"/>
      <c r="V1216" s="299"/>
      <c r="W1216" s="299"/>
      <c r="X1216" s="311"/>
      <c r="Y1216" s="311"/>
      <c r="Z1216" s="311"/>
      <c r="AA1216" s="69"/>
      <c r="AB1216" s="69"/>
    </row>
    <row r="1217" spans="1:28" ht="16.5">
      <c r="A1217" s="70"/>
      <c r="B1217" s="70"/>
      <c r="C1217" s="70"/>
      <c r="D1217" s="70"/>
      <c r="E1217" s="70"/>
      <c r="F1217" s="70"/>
      <c r="G1217" s="312"/>
      <c r="H1217" s="312"/>
      <c r="I1217" s="312"/>
      <c r="J1217" s="312"/>
      <c r="K1217" s="312"/>
      <c r="L1217" s="312"/>
      <c r="M1217" s="312"/>
      <c r="N1217" s="312"/>
      <c r="O1217" s="312"/>
      <c r="P1217" s="312"/>
      <c r="Q1217" s="312"/>
      <c r="R1217" s="312"/>
      <c r="S1217" s="312"/>
      <c r="T1217" s="312"/>
      <c r="U1217" s="313"/>
      <c r="V1217" s="312"/>
      <c r="W1217" s="312"/>
      <c r="X1217" s="314"/>
      <c r="Y1217" s="314"/>
      <c r="Z1217" s="314"/>
      <c r="AA1217" s="69"/>
      <c r="AB1217" s="69"/>
    </row>
    <row r="1218" spans="1:28">
      <c r="A1218" s="70"/>
      <c r="B1218" s="70"/>
      <c r="C1218" s="70"/>
      <c r="D1218" s="70"/>
      <c r="E1218" s="70"/>
      <c r="F1218" s="70"/>
      <c r="G1218" s="299"/>
      <c r="H1218" s="299"/>
      <c r="I1218" s="299"/>
      <c r="J1218" s="299"/>
      <c r="K1218" s="299"/>
      <c r="L1218" s="299"/>
      <c r="M1218" s="299"/>
      <c r="N1218" s="299"/>
      <c r="O1218" s="299"/>
      <c r="P1218" s="299"/>
      <c r="Q1218" s="299"/>
      <c r="R1218" s="299"/>
      <c r="S1218" s="299"/>
      <c r="T1218" s="299"/>
      <c r="U1218" s="299"/>
      <c r="V1218" s="299"/>
      <c r="W1218" s="299"/>
      <c r="X1218" s="311"/>
      <c r="Y1218" s="311"/>
      <c r="Z1218" s="311"/>
      <c r="AA1218" s="69"/>
      <c r="AB1218" s="69"/>
    </row>
    <row r="1219" spans="1:28">
      <c r="A1219" s="70"/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69"/>
      <c r="Y1219" s="69"/>
      <c r="Z1219" s="69"/>
      <c r="AA1219" s="69"/>
      <c r="AB1219" s="69"/>
    </row>
    <row r="1220" spans="1:28">
      <c r="A1220" s="70"/>
      <c r="B1220" s="70"/>
      <c r="C1220" s="70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69"/>
      <c r="Y1220" s="69"/>
      <c r="Z1220" s="69"/>
      <c r="AA1220" s="69"/>
      <c r="AB1220" s="69"/>
    </row>
    <row r="1221" spans="1:28">
      <c r="A1221" s="70"/>
      <c r="B1221" s="70"/>
      <c r="C1221" s="70"/>
      <c r="D1221" s="70"/>
      <c r="E1221" s="70"/>
      <c r="F1221" s="70"/>
      <c r="G1221" s="218"/>
      <c r="H1221" s="70"/>
      <c r="I1221" s="70"/>
      <c r="J1221" s="70"/>
      <c r="K1221" s="218"/>
      <c r="L1221" s="218"/>
      <c r="M1221" s="70"/>
      <c r="N1221" s="70"/>
      <c r="O1221" s="218"/>
      <c r="P1221" s="218"/>
      <c r="Q1221" s="70"/>
      <c r="R1221" s="70"/>
      <c r="S1221" s="219"/>
      <c r="T1221" s="70"/>
      <c r="U1221" s="70"/>
      <c r="V1221" s="70"/>
      <c r="W1221" s="70"/>
      <c r="X1221" s="69"/>
      <c r="Y1221" s="69"/>
      <c r="Z1221" s="69"/>
      <c r="AA1221" s="69"/>
      <c r="AB1221" s="69"/>
    </row>
    <row r="1222" spans="1:28">
      <c r="A1222" s="70"/>
      <c r="B1222" s="70"/>
      <c r="C1222" s="70"/>
      <c r="D1222" s="70"/>
      <c r="E1222" s="70"/>
      <c r="F1222" s="70"/>
      <c r="G1222" s="218"/>
      <c r="H1222" s="70"/>
      <c r="I1222" s="70"/>
      <c r="J1222" s="70"/>
      <c r="K1222" s="218"/>
      <c r="L1222" s="218"/>
      <c r="M1222" s="70"/>
      <c r="N1222" s="70"/>
      <c r="O1222" s="218"/>
      <c r="P1222" s="218"/>
      <c r="Q1222" s="70"/>
      <c r="R1222" s="70"/>
      <c r="S1222" s="219"/>
      <c r="T1222" s="70"/>
      <c r="U1222" s="70"/>
      <c r="V1222" s="70"/>
      <c r="W1222" s="70"/>
      <c r="X1222" s="69"/>
      <c r="Y1222" s="69"/>
      <c r="Z1222" s="69"/>
      <c r="AA1222" s="69"/>
      <c r="AB1222" s="69"/>
    </row>
    <row r="1223" spans="1:28">
      <c r="A1223" s="70"/>
      <c r="B1223" s="70"/>
      <c r="C1223" s="70"/>
      <c r="D1223" s="70"/>
      <c r="E1223" s="70"/>
      <c r="F1223" s="70"/>
      <c r="G1223" s="218"/>
      <c r="H1223" s="70"/>
      <c r="I1223" s="70"/>
      <c r="J1223" s="70"/>
      <c r="K1223" s="218"/>
      <c r="L1223" s="218"/>
      <c r="M1223" s="70"/>
      <c r="N1223" s="70"/>
      <c r="O1223" s="218"/>
      <c r="P1223" s="218"/>
      <c r="Q1223" s="70"/>
      <c r="R1223" s="70"/>
      <c r="S1223" s="219"/>
      <c r="T1223" s="70"/>
      <c r="U1223" s="70"/>
      <c r="V1223" s="70"/>
      <c r="W1223" s="70"/>
      <c r="X1223" s="69"/>
      <c r="Y1223" s="69"/>
      <c r="Z1223" s="69"/>
      <c r="AA1223" s="69"/>
      <c r="AB1223" s="69"/>
    </row>
    <row r="1224" spans="1:28">
      <c r="A1224" s="70"/>
      <c r="B1224" s="70"/>
      <c r="C1224" s="70"/>
      <c r="D1224" s="70"/>
      <c r="E1224" s="70"/>
      <c r="F1224" s="70"/>
      <c r="G1224" s="219"/>
      <c r="H1224" s="70"/>
      <c r="I1224" s="70"/>
      <c r="J1224" s="70"/>
      <c r="K1224" s="219"/>
      <c r="L1224" s="219"/>
      <c r="M1224" s="70"/>
      <c r="N1224" s="70"/>
      <c r="O1224" s="219"/>
      <c r="P1224" s="219"/>
      <c r="Q1224" s="70"/>
      <c r="R1224" s="70"/>
      <c r="S1224" s="153"/>
      <c r="T1224" s="70"/>
      <c r="U1224" s="70"/>
      <c r="V1224" s="70"/>
      <c r="W1224" s="70"/>
      <c r="X1224" s="69"/>
      <c r="Y1224" s="69"/>
      <c r="Z1224" s="69"/>
      <c r="AA1224" s="69"/>
      <c r="AB1224" s="69"/>
    </row>
    <row r="1225" spans="1:28">
      <c r="A1225" s="70"/>
      <c r="B1225" s="70"/>
      <c r="C1225" s="70"/>
      <c r="D1225" s="70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299"/>
      <c r="T1225" s="70"/>
      <c r="U1225" s="70"/>
      <c r="V1225" s="70"/>
      <c r="W1225" s="70"/>
      <c r="X1225" s="69"/>
      <c r="Y1225" s="69"/>
      <c r="Z1225" s="69"/>
      <c r="AA1225" s="69"/>
      <c r="AB1225" s="69"/>
    </row>
    <row r="1226" spans="1:28">
      <c r="A1226" s="70"/>
      <c r="B1226" s="70"/>
      <c r="C1226" s="70"/>
      <c r="D1226" s="70"/>
      <c r="E1226" s="70"/>
      <c r="F1226" s="70"/>
      <c r="G1226" s="215"/>
      <c r="H1226" s="70"/>
      <c r="I1226" s="70"/>
      <c r="J1226" s="70"/>
      <c r="K1226" s="215"/>
      <c r="L1226" s="215"/>
      <c r="M1226" s="70"/>
      <c r="N1226" s="70"/>
      <c r="O1226" s="215"/>
      <c r="P1226" s="215"/>
      <c r="Q1226" s="70"/>
      <c r="R1226" s="70"/>
      <c r="S1226" s="153"/>
      <c r="T1226" s="70"/>
      <c r="U1226" s="70"/>
      <c r="V1226" s="70"/>
      <c r="W1226" s="70"/>
      <c r="X1226" s="69"/>
      <c r="Y1226" s="69"/>
      <c r="Z1226" s="69"/>
      <c r="AA1226" s="69"/>
      <c r="AB1226" s="69"/>
    </row>
    <row r="1227" spans="1:28">
      <c r="A1227" s="70"/>
      <c r="B1227" s="70"/>
      <c r="C1227" s="70"/>
      <c r="D1227" s="70"/>
      <c r="E1227" s="70"/>
      <c r="F1227" s="70"/>
      <c r="G1227" s="215"/>
      <c r="H1227" s="70"/>
      <c r="I1227" s="70"/>
      <c r="J1227" s="70"/>
      <c r="K1227" s="215"/>
      <c r="L1227" s="215"/>
      <c r="M1227" s="70"/>
      <c r="N1227" s="70"/>
      <c r="O1227" s="215"/>
      <c r="P1227" s="215"/>
      <c r="Q1227" s="70"/>
      <c r="R1227" s="70"/>
      <c r="S1227" s="218"/>
      <c r="T1227" s="70"/>
      <c r="U1227" s="70"/>
      <c r="V1227" s="70"/>
      <c r="W1227" s="70"/>
      <c r="X1227" s="69"/>
      <c r="Y1227" s="69"/>
      <c r="Z1227" s="69"/>
      <c r="AA1227" s="69"/>
      <c r="AB1227" s="69"/>
    </row>
    <row r="1228" spans="1:28">
      <c r="A1228" s="70"/>
      <c r="B1228" s="70"/>
      <c r="C1228" s="70"/>
      <c r="D1228" s="70"/>
      <c r="E1228" s="70"/>
      <c r="F1228" s="70"/>
      <c r="G1228" s="215"/>
      <c r="H1228" s="70"/>
      <c r="I1228" s="70"/>
      <c r="J1228" s="70"/>
      <c r="K1228" s="215"/>
      <c r="L1228" s="215"/>
      <c r="M1228" s="70"/>
      <c r="N1228" s="70"/>
      <c r="O1228" s="215"/>
      <c r="P1228" s="215"/>
      <c r="Q1228" s="70"/>
      <c r="R1228" s="70"/>
      <c r="S1228" s="70"/>
      <c r="T1228" s="70"/>
      <c r="U1228" s="70"/>
      <c r="V1228" s="70"/>
      <c r="W1228" s="70"/>
      <c r="X1228" s="69"/>
      <c r="Y1228" s="69"/>
      <c r="Z1228" s="69"/>
      <c r="AA1228" s="69"/>
      <c r="AB1228" s="69"/>
    </row>
    <row r="1229" spans="1:28">
      <c r="A1229" s="70"/>
      <c r="B1229" s="70"/>
      <c r="C1229" s="70"/>
      <c r="D1229" s="70"/>
      <c r="E1229" s="70"/>
      <c r="F1229" s="70"/>
      <c r="G1229" s="220"/>
      <c r="H1229" s="70"/>
      <c r="I1229" s="70"/>
      <c r="J1229" s="70"/>
      <c r="K1229" s="220"/>
      <c r="L1229" s="220"/>
      <c r="M1229" s="70"/>
      <c r="N1229" s="70"/>
      <c r="O1229" s="220"/>
      <c r="P1229" s="220"/>
      <c r="Q1229" s="70"/>
      <c r="R1229" s="70"/>
      <c r="S1229" s="70"/>
      <c r="T1229" s="70"/>
      <c r="U1229" s="70"/>
      <c r="V1229" s="70"/>
      <c r="W1229" s="70"/>
      <c r="X1229" s="69"/>
      <c r="Y1229" s="69"/>
      <c r="Z1229" s="69"/>
      <c r="AA1229" s="69"/>
      <c r="AB1229" s="69"/>
    </row>
    <row r="1230" spans="1:28">
      <c r="A1230" s="70"/>
      <c r="B1230" s="70"/>
      <c r="C1230" s="70"/>
      <c r="D1230" s="70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315"/>
      <c r="T1230" s="70"/>
      <c r="U1230" s="70"/>
      <c r="V1230" s="70"/>
      <c r="W1230" s="70"/>
      <c r="X1230" s="69"/>
      <c r="Y1230" s="69"/>
      <c r="Z1230" s="69"/>
      <c r="AA1230" s="69"/>
      <c r="AB1230" s="69"/>
    </row>
    <row r="1231" spans="1:28">
      <c r="A1231" s="70"/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69"/>
      <c r="Y1231" s="69"/>
      <c r="Z1231" s="69"/>
      <c r="AA1231" s="69"/>
      <c r="AB1231" s="69"/>
    </row>
    <row r="1232" spans="1:28"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  <c r="Q1232" s="80"/>
      <c r="R1232" s="80"/>
      <c r="S1232" s="80"/>
      <c r="T1232" s="80"/>
      <c r="U1232" s="80"/>
      <c r="V1232" s="80"/>
      <c r="W1232" s="80"/>
      <c r="X1232" s="64"/>
      <c r="Y1232" s="64"/>
      <c r="Z1232" s="64"/>
      <c r="AA1232" s="64"/>
      <c r="AB1232" s="58"/>
    </row>
    <row r="1233" spans="6:28"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  <c r="Q1233" s="80"/>
      <c r="R1233" s="80"/>
      <c r="S1233" s="80"/>
      <c r="T1233" s="80"/>
      <c r="U1233" s="80"/>
      <c r="V1233" s="80"/>
      <c r="W1233" s="80"/>
      <c r="X1233" s="64"/>
      <c r="Y1233" s="64"/>
      <c r="Z1233" s="64"/>
      <c r="AA1233" s="64"/>
      <c r="AB1233" s="58"/>
    </row>
    <row r="1234" spans="6:28"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  <c r="Q1234" s="80"/>
      <c r="R1234" s="80"/>
      <c r="S1234" s="80"/>
      <c r="T1234" s="80"/>
      <c r="U1234" s="80"/>
      <c r="V1234" s="80"/>
      <c r="W1234" s="80"/>
      <c r="X1234" s="64"/>
      <c r="Y1234" s="64"/>
      <c r="Z1234" s="64"/>
      <c r="AA1234" s="64"/>
      <c r="AB1234" s="58"/>
    </row>
    <row r="1235" spans="6:28"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  <c r="Q1235" s="80"/>
      <c r="R1235" s="80"/>
      <c r="S1235" s="80"/>
      <c r="T1235" s="80"/>
      <c r="U1235" s="80"/>
      <c r="V1235" s="80"/>
      <c r="W1235" s="80"/>
      <c r="X1235" s="80"/>
      <c r="Y1235" s="80"/>
      <c r="Z1235" s="80"/>
      <c r="AA1235" s="64"/>
      <c r="AB1235" s="58"/>
    </row>
    <row r="1236" spans="6:28"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  <c r="Q1236" s="80"/>
      <c r="R1236" s="80"/>
      <c r="S1236" s="80"/>
      <c r="T1236" s="80"/>
      <c r="U1236" s="80"/>
      <c r="V1236" s="80"/>
      <c r="W1236" s="80"/>
      <c r="X1236" s="80"/>
      <c r="Y1236" s="80"/>
      <c r="Z1236" s="80"/>
      <c r="AA1236" s="64"/>
      <c r="AB1236" s="58"/>
    </row>
    <row r="1237" spans="6:28"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  <c r="Q1237" s="80"/>
      <c r="R1237" s="80"/>
      <c r="S1237" s="80"/>
      <c r="T1237" s="80"/>
      <c r="U1237" s="80"/>
      <c r="V1237" s="80"/>
      <c r="W1237" s="80"/>
      <c r="X1237" s="80"/>
      <c r="Y1237" s="80"/>
      <c r="Z1237" s="80"/>
      <c r="AA1237" s="64"/>
      <c r="AB1237" s="58"/>
    </row>
    <row r="1238" spans="6:28">
      <c r="F1238" s="112"/>
      <c r="G1238" s="112"/>
      <c r="H1238" s="112"/>
      <c r="I1238" s="112"/>
      <c r="J1238" s="112"/>
      <c r="K1238" s="112"/>
      <c r="L1238" s="112"/>
      <c r="M1238" s="112"/>
      <c r="N1238" s="112"/>
      <c r="O1238" s="112"/>
      <c r="P1238" s="112"/>
      <c r="Q1238" s="112"/>
      <c r="R1238" s="112"/>
      <c r="S1238" s="112"/>
      <c r="T1238" s="112"/>
      <c r="U1238" s="112"/>
      <c r="V1238" s="112"/>
      <c r="W1238" s="112"/>
      <c r="X1238" s="112"/>
      <c r="Y1238" s="112"/>
      <c r="Z1238" s="112"/>
      <c r="AA1238" s="64"/>
      <c r="AB1238" s="58"/>
    </row>
    <row r="1239" spans="6:28"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  <c r="Q1239" s="80"/>
      <c r="R1239" s="80"/>
      <c r="S1239" s="80"/>
      <c r="T1239" s="80"/>
      <c r="U1239" s="80"/>
      <c r="V1239" s="80"/>
      <c r="W1239" s="80"/>
      <c r="X1239" s="80"/>
      <c r="Y1239" s="80"/>
      <c r="Z1239" s="80"/>
      <c r="AA1239" s="64"/>
      <c r="AB1239" s="58"/>
    </row>
    <row r="1240" spans="6:28"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  <c r="Q1240" s="80"/>
      <c r="R1240" s="80"/>
      <c r="S1240" s="80"/>
      <c r="T1240" s="80"/>
      <c r="U1240" s="80"/>
      <c r="V1240" s="80"/>
      <c r="W1240" s="80"/>
      <c r="X1240" s="80"/>
      <c r="Y1240" s="80"/>
      <c r="Z1240" s="80"/>
      <c r="AA1240" s="64"/>
      <c r="AB1240" s="58"/>
    </row>
    <row r="1241" spans="6:28">
      <c r="X1241" s="60"/>
      <c r="Y1241" s="60"/>
      <c r="Z1241" s="60"/>
      <c r="AA1241" s="64"/>
      <c r="AB1241" s="58"/>
    </row>
    <row r="1242" spans="6:28">
      <c r="F1242" s="152"/>
      <c r="G1242" s="152"/>
      <c r="H1242" s="152"/>
      <c r="I1242" s="152"/>
      <c r="J1242" s="152"/>
      <c r="K1242" s="152"/>
      <c r="L1242" s="152"/>
      <c r="M1242" s="152"/>
      <c r="N1242" s="152"/>
      <c r="O1242" s="152"/>
      <c r="P1242" s="152"/>
      <c r="Q1242" s="152"/>
      <c r="R1242" s="152"/>
      <c r="S1242" s="152"/>
      <c r="T1242" s="152"/>
      <c r="U1242" s="152"/>
      <c r="V1242" s="152"/>
      <c r="W1242" s="152"/>
      <c r="X1242" s="74"/>
      <c r="Y1242" s="74"/>
      <c r="Z1242" s="74"/>
      <c r="AA1242" s="64"/>
      <c r="AB1242" s="58"/>
    </row>
    <row r="1243" spans="6:28">
      <c r="F1243" s="134"/>
      <c r="G1243" s="134"/>
      <c r="H1243" s="134"/>
      <c r="I1243" s="134"/>
      <c r="J1243" s="134"/>
      <c r="K1243" s="134"/>
      <c r="L1243" s="134"/>
      <c r="M1243" s="134"/>
      <c r="N1243" s="134"/>
      <c r="O1243" s="134"/>
      <c r="P1243" s="134"/>
      <c r="Q1243" s="134"/>
      <c r="R1243" s="134"/>
      <c r="S1243" s="134"/>
      <c r="T1243" s="134"/>
      <c r="U1243" s="134"/>
      <c r="V1243" s="134"/>
      <c r="W1243" s="134"/>
      <c r="X1243" s="134"/>
      <c r="Y1243" s="134"/>
      <c r="Z1243" s="134"/>
      <c r="AA1243" s="64"/>
      <c r="AB1243" s="58"/>
    </row>
    <row r="1244" spans="6:28"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  <c r="Q1244" s="80"/>
      <c r="R1244" s="80"/>
      <c r="S1244" s="80"/>
      <c r="T1244" s="80"/>
      <c r="U1244" s="80"/>
      <c r="V1244" s="80"/>
      <c r="W1244" s="80"/>
      <c r="X1244" s="80"/>
      <c r="Y1244" s="80"/>
      <c r="Z1244" s="80"/>
      <c r="AA1244" s="64"/>
      <c r="AB1244" s="58"/>
    </row>
  </sheetData>
  <autoFilter ref="D2:E1240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2018&amp;R&amp;"Times New Roman,Bold"&amp;12Exhibit WSS-23
Page &amp;P of &amp;N</oddHeader>
  </headerFooter>
  <rowBreaks count="26" manualBreakCount="26">
    <brk id="63" max="20" man="1"/>
    <brk id="120" max="20" man="1"/>
    <brk id="177" max="20" man="1"/>
    <brk id="234" max="20" man="1"/>
    <brk id="291" max="20" man="1"/>
    <brk id="348" max="20" man="1"/>
    <brk id="406" max="20" man="1"/>
    <brk id="463" max="20" man="1"/>
    <brk id="520" max="20" man="1"/>
    <brk id="578" max="20" man="1"/>
    <brk id="635" max="20" man="1"/>
    <brk id="692" max="20" man="1"/>
    <brk id="735" max="20" man="1"/>
    <brk id="751" max="20" man="1"/>
    <brk id="837" max="20" man="1"/>
    <brk id="849" max="16383" man="1"/>
    <brk id="879" max="20" man="1"/>
    <brk id="914" max="20" man="1"/>
    <brk id="955" max="20" man="1"/>
    <brk id="990" max="20" man="1"/>
    <brk id="1039" max="20" man="1"/>
    <brk id="1063" max="20" man="1"/>
    <brk id="1103" max="16383" man="1"/>
    <brk id="1154" max="16383" man="1"/>
    <brk id="1172" max="16383" man="1"/>
    <brk id="1220" max="34" man="1"/>
  </rowBreaks>
  <colBreaks count="2" manualBreakCount="2">
    <brk id="11" max="1101" man="1"/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V81"/>
  <sheetViews>
    <sheetView view="pageBreakPreview" topLeftCell="A24" zoomScale="80" zoomScaleNormal="90" zoomScaleSheetLayoutView="80" workbookViewId="0">
      <selection activeCell="C55" sqref="C55"/>
    </sheetView>
  </sheetViews>
  <sheetFormatPr defaultRowHeight="15"/>
  <cols>
    <col min="1" max="1" width="38.28515625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8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 hidden="1">
      <c r="A1" s="27" t="s">
        <v>617</v>
      </c>
    </row>
    <row r="2" spans="1:74" hidden="1">
      <c r="A2" s="5" t="s">
        <v>1281</v>
      </c>
      <c r="B2" s="20"/>
      <c r="C2" s="252"/>
      <c r="D2" s="252"/>
      <c r="E2" s="252"/>
      <c r="F2" s="252"/>
      <c r="H2" s="380"/>
      <c r="I2" s="380"/>
      <c r="J2" s="380"/>
      <c r="K2" s="380"/>
      <c r="M2" s="380"/>
      <c r="N2" s="380"/>
      <c r="O2" s="380"/>
      <c r="P2" s="380"/>
    </row>
    <row r="3" spans="1:74" hidden="1">
      <c r="A3" s="20"/>
      <c r="B3" s="20"/>
      <c r="C3" s="15"/>
      <c r="D3" s="21"/>
      <c r="E3" s="21"/>
      <c r="F3" s="22"/>
      <c r="G3" s="20"/>
      <c r="H3" s="23"/>
      <c r="I3" s="23"/>
      <c r="J3" s="23"/>
      <c r="K3" s="24"/>
      <c r="L3" s="20"/>
      <c r="M3" s="23"/>
      <c r="N3" s="23"/>
      <c r="O3" s="23"/>
      <c r="P3" s="24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hidden="1"/>
    <row r="5" spans="1:74" hidden="1">
      <c r="A5" s="10"/>
      <c r="B5" s="12"/>
      <c r="K5" s="8"/>
      <c r="P5" s="8"/>
    </row>
    <row r="6" spans="1:74" hidden="1">
      <c r="A6" s="13"/>
      <c r="B6" s="12"/>
      <c r="K6" s="8"/>
      <c r="P6" s="8"/>
    </row>
    <row r="7" spans="1:74" hidden="1">
      <c r="A7" s="13"/>
      <c r="B7" s="12"/>
      <c r="D7" s="14" t="s">
        <v>167</v>
      </c>
      <c r="E7" s="14" t="s">
        <v>169</v>
      </c>
      <c r="F7" s="29"/>
      <c r="G7" s="1"/>
      <c r="K7" s="8"/>
      <c r="P7" s="8"/>
    </row>
    <row r="8" spans="1:74" ht="15.75" hidden="1" thickBot="1">
      <c r="A8" s="25"/>
      <c r="B8" s="26"/>
      <c r="C8" s="28" t="s">
        <v>1129</v>
      </c>
      <c r="D8" s="28" t="s">
        <v>168</v>
      </c>
      <c r="E8" s="28" t="s">
        <v>1128</v>
      </c>
      <c r="F8" s="30" t="s">
        <v>965</v>
      </c>
      <c r="G8" s="28" t="s">
        <v>170</v>
      </c>
      <c r="K8" s="8"/>
      <c r="P8" s="8"/>
    </row>
    <row r="9" spans="1:74" hidden="1">
      <c r="A9" s="13"/>
      <c r="B9" s="12"/>
      <c r="K9" s="8"/>
      <c r="P9" s="8"/>
    </row>
    <row r="10" spans="1:74" hidden="1">
      <c r="A10" s="31" t="s">
        <v>1278</v>
      </c>
      <c r="B10" s="12"/>
      <c r="C10" s="2">
        <f>Allocation!G710</f>
        <v>405988994.16238278</v>
      </c>
      <c r="D10" s="2">
        <f>Allocation!G726</f>
        <v>372721995.42893672</v>
      </c>
      <c r="E10" s="2">
        <f>C10-D10</f>
        <v>33266998.733446062</v>
      </c>
      <c r="F10" s="2">
        <f>Allocation!G730</f>
        <v>1151746077.2153518</v>
      </c>
      <c r="G10" s="18">
        <f>E10/F10</f>
        <v>2.8883969645355993E-2</v>
      </c>
      <c r="H10" s="18"/>
      <c r="K10" s="8"/>
      <c r="P10" s="8"/>
    </row>
    <row r="11" spans="1:74" hidden="1">
      <c r="A11" s="31" t="s">
        <v>1341</v>
      </c>
      <c r="B11" s="12"/>
      <c r="C11" s="4">
        <f>Allocation!H710</f>
        <v>142823559.18654126</v>
      </c>
      <c r="D11" s="4">
        <f>Allocation!H726</f>
        <v>119725786.46773888</v>
      </c>
      <c r="E11" s="4">
        <f>C11-D11</f>
        <v>23097772.718802378</v>
      </c>
      <c r="F11" s="4">
        <f>Allocation!H730</f>
        <v>302071164.72748941</v>
      </c>
      <c r="G11" s="18">
        <f>E11/F11</f>
        <v>7.6464672619909982E-2</v>
      </c>
      <c r="H11" s="18"/>
      <c r="K11" s="8"/>
      <c r="P11" s="8"/>
    </row>
    <row r="12" spans="1:74" hidden="1">
      <c r="A12" s="32" t="s">
        <v>1279</v>
      </c>
      <c r="C12" s="4">
        <f>Allocation!J710</f>
        <v>12222622.640936047</v>
      </c>
      <c r="D12" s="4">
        <f>Allocation!J726</f>
        <v>10733031.328126846</v>
      </c>
      <c r="E12" s="36">
        <f>C12-D12</f>
        <v>1489591.312809201</v>
      </c>
      <c r="F12" s="4">
        <f>Allocation!J730</f>
        <v>22598765.024464671</v>
      </c>
      <c r="G12" s="18">
        <f>E12/F12</f>
        <v>6.5914721941514015E-2</v>
      </c>
      <c r="H12" s="18"/>
    </row>
    <row r="13" spans="1:74" hidden="1">
      <c r="A13" s="32" t="s">
        <v>1280</v>
      </c>
      <c r="C13" s="4">
        <f>Allocation!K710</f>
        <v>159865881.54324916</v>
      </c>
      <c r="D13" s="4">
        <f>Allocation!K726</f>
        <v>134301383.34892192</v>
      </c>
      <c r="E13" s="4">
        <f>C13-D13</f>
        <v>25564498.194327235</v>
      </c>
      <c r="F13" s="4">
        <f>Allocation!K730</f>
        <v>290318355.05589318</v>
      </c>
      <c r="G13" s="18">
        <f>E13/F13</f>
        <v>8.8056775429874085E-2</v>
      </c>
      <c r="H13" s="18"/>
    </row>
    <row r="14" spans="1:74" hidden="1">
      <c r="A14" s="32" t="s">
        <v>1340</v>
      </c>
      <c r="B14" s="12"/>
      <c r="C14" s="4">
        <f>Allocation!N710</f>
        <v>124721696.03527898</v>
      </c>
      <c r="D14" s="4">
        <f>Allocation!N726</f>
        <v>113220697.46382819</v>
      </c>
      <c r="E14" s="4">
        <f t="shared" ref="E14:E21" si="0">C14-D14</f>
        <v>11500998.571450785</v>
      </c>
      <c r="F14" s="4">
        <f>Allocation!N730</f>
        <v>242194583.63978818</v>
      </c>
      <c r="G14" s="18">
        <f t="shared" ref="G14:G22" si="1">E14/F14</f>
        <v>4.7486605185836944E-2</v>
      </c>
      <c r="H14" s="18"/>
    </row>
    <row r="15" spans="1:74" hidden="1">
      <c r="A15" s="32" t="s">
        <v>1339</v>
      </c>
      <c r="B15" s="12"/>
      <c r="C15" s="4">
        <f>Allocation!O710</f>
        <v>81216847.279131055</v>
      </c>
      <c r="D15" s="4">
        <f>Allocation!O726</f>
        <v>64331240.389036208</v>
      </c>
      <c r="E15" s="4">
        <f t="shared" si="0"/>
        <v>16885606.890094846</v>
      </c>
      <c r="F15" s="4">
        <f>Allocation!O730</f>
        <v>143524479.34195939</v>
      </c>
      <c r="G15" s="18">
        <f t="shared" si="1"/>
        <v>0.1176496648342715</v>
      </c>
      <c r="H15" s="18"/>
    </row>
    <row r="16" spans="1:74" hidden="1">
      <c r="A16" s="32" t="s">
        <v>1343</v>
      </c>
      <c r="B16" s="12"/>
      <c r="C16" s="4">
        <f>Allocation!P710</f>
        <v>68908304.470544368</v>
      </c>
      <c r="D16" s="4">
        <f>Allocation!P726</f>
        <v>64162435.572467119</v>
      </c>
      <c r="E16" s="4">
        <f t="shared" si="0"/>
        <v>4745868.8980772495</v>
      </c>
      <c r="F16" s="4">
        <f>Allocation!P730</f>
        <v>127237257.44781397</v>
      </c>
      <c r="G16" s="18">
        <f t="shared" si="1"/>
        <v>3.7299364928733668E-2</v>
      </c>
      <c r="H16" s="18"/>
    </row>
    <row r="17" spans="1:16" hidden="1">
      <c r="A17" s="31" t="s">
        <v>1345</v>
      </c>
      <c r="B17" s="12"/>
      <c r="C17" s="4">
        <f>Allocation!Q710</f>
        <v>6805597.9195119208</v>
      </c>
      <c r="D17" s="4">
        <f>Allocation!Q726</f>
        <v>6505771.9677781062</v>
      </c>
      <c r="E17" s="4">
        <f t="shared" si="0"/>
        <v>299825.95173381455</v>
      </c>
      <c r="F17" s="4">
        <f>Allocation!Q730</f>
        <v>15203335.994018935</v>
      </c>
      <c r="G17" s="18">
        <f t="shared" si="1"/>
        <v>1.9721063314772989E-2</v>
      </c>
      <c r="H17" s="18"/>
    </row>
    <row r="18" spans="1:16" hidden="1">
      <c r="A18" s="31" t="s">
        <v>1348</v>
      </c>
      <c r="B18" s="12"/>
      <c r="C18" s="36">
        <f>Allocation!R710</f>
        <v>3536392.0676816972</v>
      </c>
      <c r="D18" s="36">
        <f>Allocation!R726</f>
        <v>3343411.1257372517</v>
      </c>
      <c r="E18" s="36">
        <f t="shared" si="0"/>
        <v>192980.94194444548</v>
      </c>
      <c r="F18" s="36">
        <f>Allocation!R730</f>
        <v>7082689.0574253704</v>
      </c>
      <c r="G18" s="37">
        <f t="shared" si="1"/>
        <v>2.7246846554999836E-2</v>
      </c>
      <c r="H18" s="18"/>
    </row>
    <row r="19" spans="1:16" hidden="1">
      <c r="A19" s="32" t="s">
        <v>1311</v>
      </c>
      <c r="B19" s="12"/>
      <c r="C19" s="4">
        <f>Allocation!S710</f>
        <v>19025879.11428098</v>
      </c>
      <c r="D19" s="4">
        <f>Allocation!S726</f>
        <v>14656231.903749093</v>
      </c>
      <c r="E19" s="36">
        <f t="shared" si="0"/>
        <v>4369647.2105318867</v>
      </c>
      <c r="F19" s="4">
        <f>Allocation!S730</f>
        <v>78174244.52773416</v>
      </c>
      <c r="G19" s="18">
        <f t="shared" si="1"/>
        <v>5.5896251213296354E-2</v>
      </c>
      <c r="H19" s="18"/>
    </row>
    <row r="20" spans="1:16" hidden="1">
      <c r="A20" s="32" t="s">
        <v>1312</v>
      </c>
      <c r="B20" s="12"/>
      <c r="C20" s="4">
        <f>Allocation!T710</f>
        <v>225151.42482732132</v>
      </c>
      <c r="D20" s="4">
        <f>Allocation!T726</f>
        <v>199175.56339998255</v>
      </c>
      <c r="E20" s="36">
        <f t="shared" si="0"/>
        <v>25975.861427338765</v>
      </c>
      <c r="F20" s="4">
        <f>Allocation!T730</f>
        <v>308732.70736411982</v>
      </c>
      <c r="G20" s="18">
        <f t="shared" si="1"/>
        <v>8.4137057097428927E-2</v>
      </c>
      <c r="H20" s="18"/>
    </row>
    <row r="21" spans="1:16" hidden="1">
      <c r="A21" s="41" t="s">
        <v>1313</v>
      </c>
      <c r="B21" s="40"/>
      <c r="C21" s="33">
        <f>Allocation!U710</f>
        <v>283986.15563438524</v>
      </c>
      <c r="D21" s="33">
        <f>Allocation!U726</f>
        <v>247028.68297776376</v>
      </c>
      <c r="E21" s="33">
        <f t="shared" si="0"/>
        <v>36957.472656621481</v>
      </c>
      <c r="F21" s="33">
        <f>Allocation!U730</f>
        <v>474242.50220579916</v>
      </c>
      <c r="G21" s="34">
        <f t="shared" si="1"/>
        <v>7.7929482247425519E-2</v>
      </c>
      <c r="H21" s="18"/>
    </row>
    <row r="22" spans="1:16" hidden="1">
      <c r="C22" s="4">
        <f>SUM(C10:C21)</f>
        <v>1025624911.9999999</v>
      </c>
      <c r="D22" s="3">
        <f>SUM(D10:D21)</f>
        <v>904148189.24269819</v>
      </c>
      <c r="E22" s="3">
        <f>SUM(E10:E21)</f>
        <v>121476722.75730187</v>
      </c>
      <c r="F22" s="3">
        <f>SUM(F10:F21)</f>
        <v>2380933927.2415094</v>
      </c>
      <c r="G22" s="18">
        <f t="shared" si="1"/>
        <v>5.1020618996362392E-2</v>
      </c>
    </row>
    <row r="23" spans="1:16" hidden="1">
      <c r="B23" s="12"/>
      <c r="C23" s="236"/>
      <c r="D23" s="236"/>
      <c r="E23" s="35"/>
      <c r="F23" s="36"/>
      <c r="G23" s="37"/>
    </row>
    <row r="24" spans="1:16" ht="18.75">
      <c r="A24" s="27" t="s">
        <v>617</v>
      </c>
      <c r="B24" s="12"/>
    </row>
    <row r="25" spans="1:16">
      <c r="A25" s="5" t="s">
        <v>1309</v>
      </c>
    </row>
    <row r="29" spans="1:16">
      <c r="A29" s="13"/>
      <c r="B29" s="12"/>
      <c r="D29" s="14" t="s">
        <v>167</v>
      </c>
      <c r="E29" s="14" t="s">
        <v>169</v>
      </c>
      <c r="F29" s="29"/>
      <c r="G29" s="1"/>
      <c r="I29" s="289"/>
      <c r="J29" s="290"/>
      <c r="K29" s="8"/>
      <c r="P29" s="8"/>
    </row>
    <row r="30" spans="1:16" ht="15.75" thickBot="1">
      <c r="A30" s="25"/>
      <c r="B30" s="26"/>
      <c r="C30" s="28" t="s">
        <v>1129</v>
      </c>
      <c r="D30" s="28" t="s">
        <v>168</v>
      </c>
      <c r="E30" s="28" t="s">
        <v>1128</v>
      </c>
      <c r="F30" s="30" t="s">
        <v>965</v>
      </c>
      <c r="G30" s="28" t="s">
        <v>170</v>
      </c>
      <c r="I30" s="291"/>
      <c r="J30" s="290"/>
      <c r="K30" s="8"/>
      <c r="P30" s="8"/>
    </row>
    <row r="31" spans="1:16">
      <c r="A31" s="13"/>
      <c r="B31" s="12"/>
      <c r="I31" s="292"/>
      <c r="J31" s="290"/>
      <c r="K31" s="8"/>
      <c r="P31" s="8"/>
    </row>
    <row r="32" spans="1:16">
      <c r="A32" s="184" t="str">
        <f t="shared" ref="A32:A37" si="2">A10</f>
        <v>Residential Rate RS</v>
      </c>
      <c r="B32" s="12"/>
      <c r="C32" s="2">
        <f>Allocation!G770</f>
        <v>402691157.59861892</v>
      </c>
      <c r="D32" s="2">
        <f>Allocation!G821</f>
        <v>372178374.85302812</v>
      </c>
      <c r="E32" s="2">
        <f t="shared" ref="E32:E37" si="3">C32-D32</f>
        <v>30512782.745590806</v>
      </c>
      <c r="F32" s="2">
        <f>Allocation!G834</f>
        <v>1151746077.2153518</v>
      </c>
      <c r="G32" s="18">
        <f t="shared" ref="G32:G37" si="4">E32/F32</f>
        <v>2.6492630059017402E-2</v>
      </c>
      <c r="H32" s="18"/>
      <c r="I32" s="292"/>
      <c r="J32" s="292"/>
      <c r="K32" s="8"/>
      <c r="P32" s="8"/>
    </row>
    <row r="33" spans="1:16">
      <c r="A33" s="184" t="str">
        <f t="shared" si="2"/>
        <v xml:space="preserve">General Service </v>
      </c>
      <c r="B33" s="12"/>
      <c r="C33" s="4">
        <f>Allocation!H770</f>
        <v>140975017.27178732</v>
      </c>
      <c r="D33" s="4">
        <f>Allocation!H821</f>
        <v>118798755.85954961</v>
      </c>
      <c r="E33" s="4">
        <f t="shared" si="3"/>
        <v>22176261.412237704</v>
      </c>
      <c r="F33" s="4">
        <f>Allocation!H834</f>
        <v>302071164.72748941</v>
      </c>
      <c r="G33" s="18">
        <f t="shared" si="4"/>
        <v>7.3414029545798606E-2</v>
      </c>
      <c r="H33" s="18"/>
      <c r="I33" s="292"/>
      <c r="J33" s="292"/>
      <c r="K33" s="8"/>
      <c r="P33" s="8"/>
    </row>
    <row r="34" spans="1:16">
      <c r="A34" s="184" t="str">
        <f t="shared" si="2"/>
        <v>Power Service Primary Rate PS</v>
      </c>
      <c r="C34" s="4">
        <f>Allocation!J770</f>
        <v>12142004.094456457</v>
      </c>
      <c r="D34" s="4">
        <f>Allocation!J821</f>
        <v>10674314.055227157</v>
      </c>
      <c r="E34" s="36">
        <f t="shared" si="3"/>
        <v>1467690.0392292999</v>
      </c>
      <c r="F34" s="4">
        <f>Allocation!J834</f>
        <v>22598765.024464671</v>
      </c>
      <c r="G34" s="18">
        <f t="shared" si="4"/>
        <v>6.4945586081382206E-2</v>
      </c>
      <c r="H34" s="18"/>
      <c r="I34" s="292"/>
      <c r="J34" s="292"/>
    </row>
    <row r="35" spans="1:16">
      <c r="A35" s="184" t="str">
        <f t="shared" si="2"/>
        <v>Power Service Secondary Rate PS</v>
      </c>
      <c r="C35" s="4">
        <f>Allocation!K770</f>
        <v>158862991.66252178</v>
      </c>
      <c r="D35" s="4">
        <f>Allocation!K821</f>
        <v>133211477.61188452</v>
      </c>
      <c r="E35" s="4">
        <f t="shared" si="3"/>
        <v>25651514.05063726</v>
      </c>
      <c r="F35" s="4">
        <f>Allocation!K834</f>
        <v>290318355.05589318</v>
      </c>
      <c r="G35" s="18">
        <f t="shared" si="4"/>
        <v>8.8356501075168792E-2</v>
      </c>
      <c r="H35" s="18"/>
      <c r="I35" s="292"/>
      <c r="J35" s="292"/>
    </row>
    <row r="36" spans="1:16">
      <c r="A36" s="184" t="str">
        <f t="shared" si="2"/>
        <v>TOD Rate TOD Primary</v>
      </c>
      <c r="B36" s="12"/>
      <c r="C36" s="4">
        <f>Allocation!N770</f>
        <v>123888502.46207795</v>
      </c>
      <c r="D36" s="4">
        <f>Allocation!N821</f>
        <v>112829253.62369046</v>
      </c>
      <c r="E36" s="4">
        <f t="shared" si="3"/>
        <v>11059248.838387489</v>
      </c>
      <c r="F36" s="4">
        <f>Allocation!N834</f>
        <v>242194583.63978818</v>
      </c>
      <c r="G36" s="18">
        <f t="shared" si="4"/>
        <v>4.5662659635839417E-2</v>
      </c>
      <c r="H36" s="18"/>
      <c r="I36" s="292"/>
      <c r="J36" s="292"/>
    </row>
    <row r="37" spans="1:16">
      <c r="A37" s="184" t="str">
        <f t="shared" si="2"/>
        <v>TOD Rate TOD Secondary</v>
      </c>
      <c r="B37" s="12"/>
      <c r="C37" s="4">
        <f>Allocation!O770</f>
        <v>80679093.725201458</v>
      </c>
      <c r="D37" s="4">
        <f>Allocation!O821</f>
        <v>63570257.386154547</v>
      </c>
      <c r="E37" s="4">
        <f t="shared" si="3"/>
        <v>17108836.33904691</v>
      </c>
      <c r="F37" s="4">
        <f>Allocation!O834</f>
        <v>143524479.34195939</v>
      </c>
      <c r="G37" s="18">
        <f t="shared" si="4"/>
        <v>0.11920500542826315</v>
      </c>
      <c r="H37" s="18"/>
      <c r="I37" s="292"/>
      <c r="J37" s="292"/>
    </row>
    <row r="38" spans="1:16">
      <c r="A38" s="184" t="str">
        <f t="shared" ref="A38:A43" si="5">A16</f>
        <v>Retail Transmission Service Rate RTS</v>
      </c>
      <c r="B38" s="12"/>
      <c r="C38" s="4">
        <f>Allocation!P770</f>
        <v>68446605.210421458</v>
      </c>
      <c r="D38" s="4">
        <f>Allocation!P821</f>
        <v>64020027.56778039</v>
      </c>
      <c r="E38" s="4">
        <f t="shared" ref="E38:E43" si="6">C38-D38</f>
        <v>4426577.6426410675</v>
      </c>
      <c r="F38" s="4">
        <f>Allocation!P834</f>
        <v>127237257.44781397</v>
      </c>
      <c r="G38" s="18">
        <f t="shared" ref="G38:G44" si="7">E38/F38</f>
        <v>3.4789948568772135E-2</v>
      </c>
      <c r="H38" s="18"/>
      <c r="I38" s="290"/>
      <c r="J38" s="292"/>
    </row>
    <row r="39" spans="1:16">
      <c r="A39" s="184" t="str">
        <f t="shared" si="5"/>
        <v>Special Contract #1</v>
      </c>
      <c r="B39" s="12"/>
      <c r="C39" s="4">
        <f>Allocation!Q770</f>
        <v>6762885.5315703759</v>
      </c>
      <c r="D39" s="4">
        <f>Allocation!Q821</f>
        <v>6504147.9048345136</v>
      </c>
      <c r="E39" s="4">
        <f t="shared" si="6"/>
        <v>258737.62673586234</v>
      </c>
      <c r="F39" s="4">
        <f>Allocation!Q834</f>
        <v>15203335.994018935</v>
      </c>
      <c r="G39" s="18">
        <f t="shared" si="7"/>
        <v>1.7018477184063484E-2</v>
      </c>
      <c r="H39" s="18">
        <f>(E39+E40)/(F39+F40)</f>
        <v>1.940728836501103E-2</v>
      </c>
      <c r="I39" s="292"/>
      <c r="J39" s="292"/>
    </row>
    <row r="40" spans="1:16">
      <c r="A40" s="184" t="str">
        <f t="shared" si="5"/>
        <v>Special Contract #2</v>
      </c>
      <c r="B40" s="12"/>
      <c r="C40" s="36">
        <f>Allocation!R770</f>
        <v>3513275.1177982604</v>
      </c>
      <c r="D40" s="36">
        <f>Allocation!R821</f>
        <v>3339501.4298508833</v>
      </c>
      <c r="E40" s="36">
        <f t="shared" si="6"/>
        <v>173773.6879473771</v>
      </c>
      <c r="F40" s="36">
        <f>Allocation!R834</f>
        <v>7082689.0574253704</v>
      </c>
      <c r="G40" s="37">
        <f t="shared" si="7"/>
        <v>2.4534987564531825E-2</v>
      </c>
      <c r="H40" s="18"/>
      <c r="I40" s="292"/>
      <c r="J40" s="292"/>
    </row>
    <row r="41" spans="1:16">
      <c r="A41" s="184" t="str">
        <f t="shared" si="5"/>
        <v>Lighting Rate RLS &amp; LS</v>
      </c>
      <c r="B41" s="12"/>
      <c r="C41" s="4">
        <f>Allocation!S770</f>
        <v>18735746.033272326</v>
      </c>
      <c r="D41" s="4">
        <f>Allocation!S821</f>
        <v>14519175.249503555</v>
      </c>
      <c r="E41" s="36">
        <f t="shared" si="6"/>
        <v>4216570.7837687712</v>
      </c>
      <c r="F41" s="4">
        <f>Allocation!S834</f>
        <v>78174244.52773416</v>
      </c>
      <c r="G41" s="18">
        <f t="shared" si="7"/>
        <v>5.3938107227538903E-2</v>
      </c>
      <c r="H41" s="18"/>
      <c r="I41" s="292"/>
      <c r="J41" s="292"/>
    </row>
    <row r="42" spans="1:16">
      <c r="A42" s="184" t="str">
        <f t="shared" si="5"/>
        <v>Lighting Rate LE</v>
      </c>
      <c r="B42" s="12"/>
      <c r="C42" s="4">
        <f>Allocation!T770</f>
        <v>222752.47327662929</v>
      </c>
      <c r="D42" s="4">
        <f>Allocation!T821</f>
        <v>198019.37477549116</v>
      </c>
      <c r="E42" s="36">
        <f t="shared" si="6"/>
        <v>24733.098501138127</v>
      </c>
      <c r="F42" s="4">
        <f>Allocation!T834</f>
        <v>308732.70736411982</v>
      </c>
      <c r="G42" s="18">
        <f t="shared" si="7"/>
        <v>8.0111688561613506E-2</v>
      </c>
      <c r="H42" s="18"/>
      <c r="I42" s="292"/>
      <c r="J42" s="292"/>
    </row>
    <row r="43" spans="1:16">
      <c r="A43" s="41" t="str">
        <f t="shared" si="5"/>
        <v>Lighting Rate TLE</v>
      </c>
      <c r="B43" s="40"/>
      <c r="C43" s="33">
        <f>Allocation!U770</f>
        <v>281621.28024605225</v>
      </c>
      <c r="D43" s="33">
        <f>Allocation!U821</f>
        <v>245470.20641885977</v>
      </c>
      <c r="E43" s="33">
        <f t="shared" si="6"/>
        <v>36151.073827192478</v>
      </c>
      <c r="F43" s="33">
        <f>Allocation!U834</f>
        <v>474242.50220579916</v>
      </c>
      <c r="G43" s="34">
        <f t="shared" si="7"/>
        <v>7.6229088829125227E-2</v>
      </c>
      <c r="H43" s="18"/>
      <c r="I43" s="292"/>
      <c r="J43" s="292"/>
    </row>
    <row r="44" spans="1:16">
      <c r="C44" s="4">
        <f>SUM(C32:C43)</f>
        <v>1017201652.4612489</v>
      </c>
      <c r="D44" s="4">
        <f>SUM(D32:D43)</f>
        <v>900088775.12269819</v>
      </c>
      <c r="E44" s="4">
        <f>SUM(E32:E43)</f>
        <v>117112877.33855088</v>
      </c>
      <c r="F44" s="4">
        <f>SUM(F32:F43)</f>
        <v>2380933927.2415094</v>
      </c>
      <c r="G44" s="18">
        <f t="shared" si="7"/>
        <v>4.918778971503629E-2</v>
      </c>
      <c r="I44" s="292"/>
      <c r="J44" s="292"/>
    </row>
    <row r="45" spans="1:16">
      <c r="I45" s="292"/>
      <c r="J45" s="292"/>
    </row>
    <row r="47" spans="1:16" ht="18.75">
      <c r="A47" s="27" t="s">
        <v>617</v>
      </c>
      <c r="B47" s="12"/>
    </row>
    <row r="48" spans="1:16">
      <c r="A48" s="5" t="s">
        <v>1310</v>
      </c>
    </row>
    <row r="49" spans="1:16">
      <c r="A49" s="213"/>
    </row>
    <row r="52" spans="1:16">
      <c r="A52" s="13"/>
      <c r="B52" s="12"/>
      <c r="D52" s="14" t="s">
        <v>167</v>
      </c>
      <c r="E52" s="14" t="s">
        <v>169</v>
      </c>
      <c r="F52" s="29"/>
      <c r="G52" s="1"/>
      <c r="K52" s="8"/>
      <c r="P52" s="8"/>
    </row>
    <row r="53" spans="1:16" ht="15.75" thickBot="1">
      <c r="A53" s="25"/>
      <c r="B53" s="26"/>
      <c r="C53" s="28" t="s">
        <v>1129</v>
      </c>
      <c r="D53" s="28" t="s">
        <v>168</v>
      </c>
      <c r="E53" s="28" t="s">
        <v>1128</v>
      </c>
      <c r="F53" s="30" t="s">
        <v>965</v>
      </c>
      <c r="G53" s="28" t="s">
        <v>170</v>
      </c>
      <c r="K53" s="8"/>
      <c r="P53" s="8"/>
    </row>
    <row r="54" spans="1:16">
      <c r="A54" s="13"/>
      <c r="B54" s="12"/>
      <c r="K54" s="8"/>
      <c r="P54" s="8"/>
    </row>
    <row r="55" spans="1:16">
      <c r="A55" s="184" t="str">
        <f>A32</f>
        <v>Residential Rate RS</v>
      </c>
      <c r="B55" s="12"/>
      <c r="C55" s="2">
        <f>Allocation!G968</f>
        <v>490633698.71452481</v>
      </c>
      <c r="D55" s="2">
        <f>Allocation!G981</f>
        <v>406383953.09881216</v>
      </c>
      <c r="E55" s="2">
        <f t="shared" ref="E55:E60" si="8">C55-D55</f>
        <v>84249745.615712643</v>
      </c>
      <c r="F55" s="2">
        <f>Allocation!G986</f>
        <v>1151746077.2153518</v>
      </c>
      <c r="G55" s="18">
        <f t="shared" ref="G55:G60" si="9">E55/F55</f>
        <v>7.3149583300000029E-2</v>
      </c>
      <c r="H55" s="18"/>
      <c r="K55" s="8"/>
      <c r="P55" s="8"/>
    </row>
    <row r="56" spans="1:16">
      <c r="A56" s="184" t="str">
        <f t="shared" ref="A56:A66" si="10">A33</f>
        <v xml:space="preserve">General Service </v>
      </c>
      <c r="B56" s="12"/>
      <c r="C56" s="4">
        <f>Allocation!H968</f>
        <v>140917698.61402401</v>
      </c>
      <c r="D56" s="4">
        <f>Allocation!H981</f>
        <v>118821318.78726248</v>
      </c>
      <c r="E56" s="4">
        <f t="shared" si="8"/>
        <v>22096379.826761529</v>
      </c>
      <c r="F56" s="4">
        <f>Allocation!H986</f>
        <v>302071164.72748941</v>
      </c>
      <c r="G56" s="18">
        <f t="shared" si="9"/>
        <v>7.3149583300000071E-2</v>
      </c>
      <c r="H56" s="18"/>
      <c r="K56" s="8"/>
      <c r="P56" s="8"/>
    </row>
    <row r="57" spans="1:16">
      <c r="A57" s="184" t="str">
        <f t="shared" si="10"/>
        <v>Power Service Primary Rate PS</v>
      </c>
      <c r="C57" s="4">
        <f>Allocation!J968</f>
        <v>12447734.449242355</v>
      </c>
      <c r="D57" s="4">
        <f>Allocation!J981</f>
        <v>10794644.204608157</v>
      </c>
      <c r="E57" s="36">
        <f t="shared" si="8"/>
        <v>1653090.244634198</v>
      </c>
      <c r="F57" s="4">
        <f>Allocation!J986</f>
        <v>22598765.024464671</v>
      </c>
      <c r="G57" s="18">
        <f t="shared" si="9"/>
        <v>7.3149583299999696E-2</v>
      </c>
      <c r="H57" s="18"/>
    </row>
    <row r="58" spans="1:16">
      <c r="A58" s="184" t="str">
        <f t="shared" si="10"/>
        <v>Power Service Secondary Rate PS</v>
      </c>
      <c r="C58" s="4">
        <f>Allocation!K968</f>
        <v>151716565.90769568</v>
      </c>
      <c r="D58" s="4">
        <f>Allocation!K981</f>
        <v>130479899.21101566</v>
      </c>
      <c r="E58" s="4">
        <f t="shared" si="8"/>
        <v>21236666.696680024</v>
      </c>
      <c r="F58" s="4">
        <f>Allocation!K986</f>
        <v>290318355.05589318</v>
      </c>
      <c r="G58" s="18">
        <f t="shared" si="9"/>
        <v>7.314958329999996E-2</v>
      </c>
      <c r="H58" s="18"/>
    </row>
    <row r="59" spans="1:16">
      <c r="A59" s="184" t="str">
        <f t="shared" si="10"/>
        <v>TOD Rate TOD Primary</v>
      </c>
      <c r="B59" s="12"/>
      <c r="C59" s="4">
        <f>Allocation!N968</f>
        <v>134773663.62990957</v>
      </c>
      <c r="D59" s="4">
        <f>Allocation!N981</f>
        <v>117057230.75914206</v>
      </c>
      <c r="E59" s="4">
        <f t="shared" si="8"/>
        <v>17716432.870767519</v>
      </c>
      <c r="F59" s="4">
        <f>Allocation!N986</f>
        <v>242194583.63978818</v>
      </c>
      <c r="G59" s="18">
        <f t="shared" si="9"/>
        <v>7.3149583300000071E-2</v>
      </c>
      <c r="H59" s="18"/>
    </row>
    <row r="60" spans="1:16">
      <c r="A60" s="184" t="str">
        <f t="shared" si="10"/>
        <v>TOD Rate TOD Secondary</v>
      </c>
      <c r="B60" s="12"/>
      <c r="C60" s="253">
        <f>Allocation!O968</f>
        <v>69930651.811512128</v>
      </c>
      <c r="D60" s="4">
        <f>Allocation!O981</f>
        <v>59431895.95429837</v>
      </c>
      <c r="E60" s="4">
        <f t="shared" si="8"/>
        <v>10498755.857213758</v>
      </c>
      <c r="F60" s="4">
        <f>Allocation!O986</f>
        <v>143524479.34195939</v>
      </c>
      <c r="G60" s="18">
        <f t="shared" si="9"/>
        <v>7.3149583299999793E-2</v>
      </c>
      <c r="H60" s="18"/>
    </row>
    <row r="61" spans="1:16">
      <c r="A61" s="184" t="str">
        <f t="shared" si="10"/>
        <v>Retail Transmission Service Rate RTS</v>
      </c>
      <c r="B61" s="12"/>
      <c r="C61" s="4">
        <f>Allocation!P968</f>
        <v>76420538.445534959</v>
      </c>
      <c r="D61" s="4">
        <f>Allocation!P981</f>
        <v>67113186.082992554</v>
      </c>
      <c r="E61" s="4">
        <f t="shared" ref="E61:E66" si="11">C61-D61</f>
        <v>9307352.3625424057</v>
      </c>
      <c r="F61" s="4">
        <f>Allocation!P986</f>
        <v>127237257.44781397</v>
      </c>
      <c r="G61" s="18">
        <f t="shared" ref="G61:G67" si="12">E61/F61</f>
        <v>7.3149583299999932E-2</v>
      </c>
      <c r="H61" s="18"/>
    </row>
    <row r="62" spans="1:16">
      <c r="A62" s="184" t="str">
        <f t="shared" si="10"/>
        <v>Special Contract #1</v>
      </c>
      <c r="B62" s="12"/>
      <c r="C62" s="4">
        <f>Allocation!Q968</f>
        <v>8155585.8122115629</v>
      </c>
      <c r="D62" s="4">
        <f>Allocation!Q981</f>
        <v>7043468.1194791868</v>
      </c>
      <c r="E62" s="4">
        <f t="shared" si="11"/>
        <v>1112117.692732376</v>
      </c>
      <c r="F62" s="4">
        <f>Allocation!Q986</f>
        <v>15203335.994018935</v>
      </c>
      <c r="G62" s="18">
        <f t="shared" si="12"/>
        <v>7.3149583299999973E-2</v>
      </c>
      <c r="H62" s="18">
        <f>(E62+E63)/(F62+F63)</f>
        <v>7.3149583299999973E-2</v>
      </c>
    </row>
    <row r="63" spans="1:16">
      <c r="A63" s="184" t="str">
        <f t="shared" si="10"/>
        <v>Special Contract #2</v>
      </c>
      <c r="B63" s="12"/>
      <c r="C63" s="36">
        <f>Allocation!R968</f>
        <v>4075427.893790625</v>
      </c>
      <c r="D63" s="36">
        <f>Allocation!R981</f>
        <v>3557332.1405964894</v>
      </c>
      <c r="E63" s="36">
        <f t="shared" si="11"/>
        <v>518095.75319413561</v>
      </c>
      <c r="F63" s="36">
        <f>Allocation!R986</f>
        <v>7082689.0574253704</v>
      </c>
      <c r="G63" s="37">
        <f t="shared" si="12"/>
        <v>7.3149583300000001E-2</v>
      </c>
      <c r="H63" s="18"/>
    </row>
    <row r="64" spans="1:16">
      <c r="A64" s="184" t="str">
        <f t="shared" si="10"/>
        <v>Lighting Rate RLS &amp; LS</v>
      </c>
      <c r="B64" s="12"/>
      <c r="C64" s="4">
        <f>Allocation!S968</f>
        <v>21248438.141696956</v>
      </c>
      <c r="D64" s="4">
        <f>Allocation!S981</f>
        <v>15530024.729700884</v>
      </c>
      <c r="E64" s="36">
        <f t="shared" si="11"/>
        <v>5718413.4119960722</v>
      </c>
      <c r="F64" s="4">
        <f>Allocation!S986</f>
        <v>78174244.52773416</v>
      </c>
      <c r="G64" s="18">
        <f t="shared" si="12"/>
        <v>7.3149583300000168E-2</v>
      </c>
      <c r="H64" s="18"/>
    </row>
    <row r="65" spans="1:8">
      <c r="A65" s="184" t="str">
        <f t="shared" si="10"/>
        <v>Lighting Rate LE</v>
      </c>
      <c r="B65" s="12"/>
      <c r="C65" s="4">
        <f>Allocation!T968</f>
        <v>219427.99529891394</v>
      </c>
      <c r="D65" s="4">
        <f>Allocation!T981</f>
        <v>196844.32640414775</v>
      </c>
      <c r="E65" s="36">
        <f t="shared" si="11"/>
        <v>22583.66889476619</v>
      </c>
      <c r="F65" s="4">
        <f>Allocation!T986</f>
        <v>308732.70736411982</v>
      </c>
      <c r="G65" s="18">
        <f t="shared" si="12"/>
        <v>7.3149583299999946E-2</v>
      </c>
      <c r="H65" s="18"/>
    </row>
    <row r="66" spans="1:8">
      <c r="A66" s="184" t="str">
        <f t="shared" si="10"/>
        <v>Lighting Rate TLE</v>
      </c>
      <c r="B66" s="40"/>
      <c r="C66" s="33">
        <f>Allocation!U968</f>
        <v>279948.07437439833</v>
      </c>
      <c r="D66" s="33">
        <f>Allocation!U981</f>
        <v>245257.43295489479</v>
      </c>
      <c r="E66" s="33">
        <f t="shared" si="11"/>
        <v>34690.641419503547</v>
      </c>
      <c r="F66" s="33">
        <f>Allocation!U986</f>
        <v>474242.50220579916</v>
      </c>
      <c r="G66" s="34">
        <f t="shared" si="12"/>
        <v>7.3149583300000015E-2</v>
      </c>
      <c r="H66" s="18"/>
    </row>
    <row r="67" spans="1:8">
      <c r="C67" s="4">
        <f>SUM(C55:C66)</f>
        <v>1110819379.489816</v>
      </c>
      <c r="D67" s="4">
        <f>SUM(D55:D66)</f>
        <v>936655054.84726703</v>
      </c>
      <c r="E67" s="4">
        <f>SUM(E55:E66)</f>
        <v>174164324.64254889</v>
      </c>
      <c r="F67" s="4">
        <f>SUM(F55:F66)</f>
        <v>2380933927.2415094</v>
      </c>
      <c r="G67" s="18">
        <f t="shared" si="12"/>
        <v>7.3149583299999987E-2</v>
      </c>
    </row>
    <row r="70" spans="1:8">
      <c r="A70" s="214"/>
    </row>
    <row r="71" spans="1:8">
      <c r="A71" s="214"/>
    </row>
    <row r="72" spans="1:8">
      <c r="A72" s="214"/>
    </row>
    <row r="73" spans="1:8">
      <c r="A73" s="214"/>
    </row>
    <row r="74" spans="1:8">
      <c r="A74" s="214"/>
    </row>
    <row r="75" spans="1:8">
      <c r="A75" s="214"/>
    </row>
    <row r="76" spans="1:8">
      <c r="A76" s="184"/>
    </row>
    <row r="77" spans="1:8">
      <c r="A77" s="184"/>
    </row>
    <row r="78" spans="1:8">
      <c r="A78" s="214"/>
    </row>
    <row r="79" spans="1:8">
      <c r="A79" s="214"/>
    </row>
    <row r="80" spans="1:8">
      <c r="A80" s="184"/>
    </row>
    <row r="81" spans="1:1">
      <c r="A81" s="20"/>
    </row>
  </sheetData>
  <mergeCells count="2">
    <mergeCell ref="H2:K2"/>
    <mergeCell ref="M2:P2"/>
  </mergeCells>
  <phoneticPr fontId="0" type="noConversion"/>
  <conditionalFormatting sqref="H32:H43 H10:H21 H55:H66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6"/>
  <sheetViews>
    <sheetView zoomScale="75" workbookViewId="0">
      <pane xSplit="1" topLeftCell="B1" activePane="topRight" state="frozen"/>
      <selection activeCell="F767" sqref="F767"/>
      <selection pane="topRight" activeCell="B1" sqref="B1"/>
    </sheetView>
  </sheetViews>
  <sheetFormatPr defaultColWidth="9.140625" defaultRowHeight="15"/>
  <cols>
    <col min="1" max="1" width="49.85546875" style="113" bestFit="1" customWidth="1"/>
    <col min="2" max="2" width="17.42578125" style="6" bestFit="1" customWidth="1"/>
    <col min="3" max="3" width="22.7109375" style="113" customWidth="1"/>
    <col min="4" max="5" width="22.7109375" style="113" hidden="1" customWidth="1"/>
    <col min="6" max="14" width="22.7109375" style="113" customWidth="1"/>
    <col min="15" max="15" width="18.42578125" style="113" bestFit="1" customWidth="1"/>
    <col min="16" max="16" width="16.140625" style="113" bestFit="1" customWidth="1"/>
    <col min="17" max="17" width="14.28515625" style="113" bestFit="1" customWidth="1"/>
    <col min="18" max="21" width="12" style="113" bestFit="1" customWidth="1"/>
    <col min="22" max="22" width="9.140625" style="113"/>
    <col min="23" max="23" width="11.85546875" style="113" bestFit="1" customWidth="1"/>
    <col min="24" max="16384" width="9.140625" style="113"/>
  </cols>
  <sheetData>
    <row r="1" spans="1:24">
      <c r="A1" s="5" t="s">
        <v>617</v>
      </c>
      <c r="B1" s="5"/>
    </row>
    <row r="2" spans="1:24" ht="15" customHeight="1">
      <c r="A2" s="6" t="s">
        <v>706</v>
      </c>
      <c r="E2" s="345"/>
    </row>
    <row r="3" spans="1:24">
      <c r="E3" s="345"/>
    </row>
    <row r="4" spans="1:24">
      <c r="A4" s="114"/>
      <c r="B4" s="9" t="s">
        <v>1321</v>
      </c>
      <c r="C4" s="39"/>
      <c r="D4" s="39"/>
      <c r="E4" s="345"/>
      <c r="F4" s="115"/>
      <c r="G4" s="9" t="s">
        <v>176</v>
      </c>
      <c r="H4" s="9"/>
      <c r="I4" s="9" t="s">
        <v>1296</v>
      </c>
      <c r="J4" s="9" t="s">
        <v>1297</v>
      </c>
      <c r="K4" s="9" t="s">
        <v>176</v>
      </c>
      <c r="L4" s="11"/>
      <c r="M4" s="11"/>
      <c r="N4" s="11"/>
      <c r="O4" s="11"/>
      <c r="P4" s="114"/>
      <c r="Q4" s="114"/>
      <c r="R4" s="114"/>
      <c r="U4" s="114"/>
    </row>
    <row r="5" spans="1:24">
      <c r="A5" s="114"/>
      <c r="B5" s="9" t="s">
        <v>871</v>
      </c>
      <c r="C5" s="9"/>
      <c r="D5" s="234" t="s">
        <v>922</v>
      </c>
      <c r="E5" s="38"/>
      <c r="F5" s="38" t="s">
        <v>630</v>
      </c>
      <c r="G5" s="9" t="s">
        <v>166</v>
      </c>
      <c r="H5" s="9" t="s">
        <v>183</v>
      </c>
      <c r="I5" s="9" t="s">
        <v>1294</v>
      </c>
      <c r="J5" s="9" t="s">
        <v>1295</v>
      </c>
      <c r="K5" s="9" t="s">
        <v>179</v>
      </c>
      <c r="L5" s="11"/>
      <c r="M5" s="11"/>
      <c r="N5" s="11"/>
      <c r="O5" s="11"/>
      <c r="P5" s="114"/>
      <c r="Q5" s="114"/>
      <c r="R5" s="114"/>
      <c r="U5" s="114"/>
      <c r="V5" s="114"/>
      <c r="W5" s="114"/>
      <c r="X5" s="114"/>
    </row>
    <row r="6" spans="1:24" ht="15.75" thickBot="1">
      <c r="A6" s="116"/>
      <c r="B6" s="245">
        <v>43281</v>
      </c>
      <c r="C6" s="246" t="s">
        <v>141</v>
      </c>
      <c r="D6" s="246" t="s">
        <v>1129</v>
      </c>
      <c r="E6" s="339"/>
      <c r="F6" s="235" t="s">
        <v>631</v>
      </c>
      <c r="G6" s="233" t="s">
        <v>929</v>
      </c>
      <c r="H6" s="233" t="s">
        <v>929</v>
      </c>
      <c r="I6" s="233" t="s">
        <v>929</v>
      </c>
      <c r="J6" s="233" t="s">
        <v>929</v>
      </c>
      <c r="K6" s="233" t="s">
        <v>180</v>
      </c>
      <c r="L6" s="11"/>
      <c r="M6" s="11"/>
      <c r="N6" s="11"/>
      <c r="O6" s="11"/>
      <c r="R6" s="117"/>
    </row>
    <row r="7" spans="1:24" s="123" customFormat="1">
      <c r="A7" s="122"/>
      <c r="B7" s="316"/>
      <c r="C7" s="243"/>
      <c r="D7" s="243"/>
      <c r="E7" s="243"/>
      <c r="F7" s="243"/>
      <c r="G7" s="243"/>
      <c r="H7" s="243"/>
      <c r="J7" s="243"/>
      <c r="L7" s="317"/>
      <c r="M7" s="317"/>
      <c r="N7" s="317"/>
      <c r="O7" s="317"/>
      <c r="P7" s="243"/>
      <c r="Q7" s="243"/>
      <c r="R7" s="244"/>
    </row>
    <row r="8" spans="1:24" s="123" customFormat="1">
      <c r="A8" s="65" t="s">
        <v>1278</v>
      </c>
      <c r="B8" s="318">
        <f>(4368714+596)/12</f>
        <v>364109.16666666669</v>
      </c>
      <c r="C8" s="318">
        <f>4179523067+503093+62671</f>
        <v>4180088831</v>
      </c>
      <c r="D8" s="319">
        <f>379152166+47907</f>
        <v>379200073</v>
      </c>
      <c r="E8" s="319"/>
      <c r="F8" s="320">
        <f>D8+E8</f>
        <v>379200073</v>
      </c>
      <c r="G8" s="318">
        <v>1559289.3204656634</v>
      </c>
      <c r="H8" s="318">
        <f>ROUND(C8/8760,2)</f>
        <v>477179.09</v>
      </c>
      <c r="I8" s="321">
        <v>798297.34339007991</v>
      </c>
      <c r="J8" s="321">
        <v>1069021.6735769615</v>
      </c>
      <c r="K8" s="318">
        <v>3273931.5009418679</v>
      </c>
      <c r="L8" s="127"/>
      <c r="M8" s="127"/>
      <c r="N8" s="322"/>
      <c r="O8" s="322"/>
      <c r="P8" s="323"/>
      <c r="Q8" s="243"/>
      <c r="R8" s="323"/>
    </row>
    <row r="9" spans="1:24" s="123" customFormat="1">
      <c r="A9" s="122"/>
      <c r="B9" s="318"/>
      <c r="C9" s="318"/>
      <c r="D9" s="324"/>
      <c r="E9" s="324"/>
      <c r="F9" s="324"/>
      <c r="G9" s="318"/>
      <c r="H9" s="318"/>
      <c r="I9" s="325"/>
      <c r="J9" s="325"/>
      <c r="K9" s="318"/>
      <c r="L9" s="127"/>
      <c r="M9" s="127"/>
      <c r="N9" s="322"/>
      <c r="O9" s="322"/>
      <c r="P9" s="243"/>
      <c r="Q9" s="243"/>
      <c r="R9" s="326"/>
      <c r="V9" s="327"/>
      <c r="X9" s="327"/>
    </row>
    <row r="10" spans="1:24" s="123" customFormat="1">
      <c r="A10" s="65" t="s">
        <v>1350</v>
      </c>
      <c r="B10" s="318">
        <f>(344482+198362)/12</f>
        <v>45237</v>
      </c>
      <c r="C10" s="318">
        <f>415089458+943289763</f>
        <v>1358379221</v>
      </c>
      <c r="D10" s="328">
        <v>135825835</v>
      </c>
      <c r="E10" s="319"/>
      <c r="F10" s="320">
        <f>D10+E10</f>
        <v>135825835</v>
      </c>
      <c r="G10" s="318">
        <v>448837.09044295392</v>
      </c>
      <c r="H10" s="318">
        <f>ROUND(C10/8760,2)</f>
        <v>155066.12</v>
      </c>
      <c r="I10" s="321">
        <v>261220.81239762629</v>
      </c>
      <c r="J10" s="321">
        <v>386317.95454455458</v>
      </c>
      <c r="K10" s="318">
        <v>599114.69817621191</v>
      </c>
      <c r="L10" s="127"/>
      <c r="M10" s="127"/>
      <c r="N10" s="329"/>
      <c r="O10" s="329"/>
      <c r="Q10" s="243"/>
      <c r="R10" s="243"/>
    </row>
    <row r="11" spans="1:24" s="123" customFormat="1">
      <c r="B11" s="318"/>
      <c r="C11" s="318"/>
      <c r="D11" s="318"/>
      <c r="E11" s="318"/>
      <c r="F11" s="318"/>
      <c r="G11" s="318"/>
      <c r="H11" s="318"/>
      <c r="I11" s="325"/>
      <c r="J11" s="325"/>
      <c r="K11" s="318"/>
      <c r="L11" s="127"/>
      <c r="M11" s="127"/>
      <c r="N11" s="127"/>
      <c r="O11" s="127"/>
      <c r="P11" s="243"/>
      <c r="Q11" s="243"/>
      <c r="R11" s="326"/>
      <c r="V11" s="327"/>
      <c r="X11" s="327"/>
    </row>
    <row r="12" spans="1:24" s="123" customFormat="1">
      <c r="A12" s="65" t="s">
        <v>1178</v>
      </c>
      <c r="B12" s="318">
        <f>864/12</f>
        <v>72</v>
      </c>
      <c r="C12" s="318">
        <v>165297553</v>
      </c>
      <c r="D12" s="328">
        <v>11517853</v>
      </c>
      <c r="E12" s="319"/>
      <c r="F12" s="320">
        <f>D12+E12</f>
        <v>11517853</v>
      </c>
      <c r="G12" s="318">
        <v>39879.56851315892</v>
      </c>
      <c r="H12" s="318">
        <f>ROUND(C12/8760,2)</f>
        <v>18869.580000000002</v>
      </c>
      <c r="I12" s="321">
        <v>20313.600974413446</v>
      </c>
      <c r="J12" s="321">
        <v>31860.342849534132</v>
      </c>
      <c r="K12" s="318">
        <v>57207.580171997855</v>
      </c>
      <c r="L12" s="127"/>
      <c r="M12" s="127"/>
      <c r="N12" s="330"/>
      <c r="O12" s="330"/>
      <c r="P12" s="323"/>
      <c r="Q12" s="323"/>
      <c r="R12" s="323"/>
    </row>
    <row r="13" spans="1:24" s="123" customFormat="1">
      <c r="A13" s="122"/>
      <c r="B13" s="318"/>
      <c r="C13" s="318"/>
      <c r="D13" s="318"/>
      <c r="E13" s="318"/>
      <c r="F13" s="318"/>
      <c r="G13" s="325"/>
      <c r="H13" s="325"/>
      <c r="I13" s="325"/>
      <c r="J13" s="325"/>
      <c r="K13" s="321"/>
      <c r="L13" s="329"/>
      <c r="M13" s="329"/>
      <c r="N13" s="329"/>
      <c r="O13" s="329"/>
    </row>
    <row r="14" spans="1:24" s="123" customFormat="1">
      <c r="A14" s="65" t="s">
        <v>1179</v>
      </c>
      <c r="B14" s="318">
        <f>33890/12</f>
        <v>2824.1666666666665</v>
      </c>
      <c r="C14" s="318">
        <f>1874492273</f>
        <v>1874492273</v>
      </c>
      <c r="D14" s="328">
        <v>151571212</v>
      </c>
      <c r="E14" s="319"/>
      <c r="F14" s="320">
        <f>D14+E14</f>
        <v>151571212</v>
      </c>
      <c r="G14" s="318">
        <v>462866.52612677042</v>
      </c>
      <c r="H14" s="318">
        <f>ROUND(C14/8760,2)</f>
        <v>213983.14</v>
      </c>
      <c r="I14" s="321">
        <v>273342.71120103268</v>
      </c>
      <c r="J14" s="321">
        <v>449716.42236431479</v>
      </c>
      <c r="K14" s="318">
        <v>527644.55780038284</v>
      </c>
      <c r="L14" s="127"/>
      <c r="M14" s="127"/>
      <c r="N14" s="329"/>
      <c r="O14" s="329"/>
      <c r="R14" s="243"/>
    </row>
    <row r="15" spans="1:24" s="123" customFormat="1">
      <c r="A15" s="122"/>
      <c r="B15" s="318"/>
      <c r="C15" s="318"/>
      <c r="D15" s="318"/>
      <c r="E15" s="318"/>
      <c r="F15" s="318"/>
      <c r="G15" s="325"/>
      <c r="H15" s="325"/>
      <c r="I15" s="325"/>
      <c r="J15" s="325"/>
      <c r="K15" s="321"/>
      <c r="L15" s="127"/>
      <c r="M15" s="127"/>
      <c r="N15" s="127"/>
      <c r="O15" s="127"/>
      <c r="P15" s="243"/>
      <c r="Q15" s="243"/>
      <c r="R15" s="244"/>
    </row>
    <row r="16" spans="1:24" s="123" customFormat="1">
      <c r="A16" s="65" t="s">
        <v>1351</v>
      </c>
      <c r="B16" s="318">
        <f>1266/12</f>
        <v>105.5</v>
      </c>
      <c r="C16" s="127">
        <v>1848687110</v>
      </c>
      <c r="D16" s="328">
        <v>116918595</v>
      </c>
      <c r="E16" s="319"/>
      <c r="F16" s="320">
        <f>D16+E16</f>
        <v>116918595</v>
      </c>
      <c r="G16" s="318">
        <v>421067.29567910882</v>
      </c>
      <c r="H16" s="318">
        <f>ROUND(C16/8760,2)</f>
        <v>211037.34</v>
      </c>
      <c r="I16" s="321">
        <v>217675.10580639745</v>
      </c>
      <c r="J16" s="321">
        <v>340132.15690513782</v>
      </c>
      <c r="K16" s="318">
        <v>573708.40465400543</v>
      </c>
      <c r="L16" s="127"/>
      <c r="M16" s="127"/>
      <c r="N16" s="330"/>
      <c r="O16" s="330"/>
      <c r="P16" s="323"/>
      <c r="Q16" s="323"/>
      <c r="R16" s="323"/>
    </row>
    <row r="17" spans="1:24" s="123" customFormat="1">
      <c r="A17" s="122"/>
      <c r="B17" s="318"/>
      <c r="C17" s="318"/>
      <c r="D17" s="318"/>
      <c r="E17" s="318"/>
      <c r="F17" s="318"/>
      <c r="G17" s="318"/>
      <c r="H17" s="331"/>
      <c r="I17" s="325"/>
      <c r="J17" s="325"/>
      <c r="K17" s="321"/>
      <c r="L17" s="127"/>
      <c r="M17" s="127"/>
      <c r="N17" s="127"/>
      <c r="O17" s="127"/>
      <c r="P17" s="243"/>
      <c r="Q17" s="243"/>
      <c r="R17" s="244"/>
    </row>
    <row r="18" spans="1:24" s="123" customFormat="1">
      <c r="A18" s="65" t="s">
        <v>1323</v>
      </c>
      <c r="B18" s="318">
        <f>3312/12</f>
        <v>276</v>
      </c>
      <c r="C18" s="318">
        <v>795801135</v>
      </c>
      <c r="D18" s="318">
        <v>77629237</v>
      </c>
      <c r="E18" s="319"/>
      <c r="F18" s="320">
        <f>D18+E18</f>
        <v>77629237</v>
      </c>
      <c r="G18" s="318">
        <v>250007.66146166611</v>
      </c>
      <c r="H18" s="318">
        <f>ROUND(C18/8760,2)</f>
        <v>90844.88</v>
      </c>
      <c r="I18" s="321">
        <v>145975.99411615593</v>
      </c>
      <c r="J18" s="321">
        <v>229731.99023415305</v>
      </c>
      <c r="K18" s="321">
        <v>289975.20955920167</v>
      </c>
      <c r="L18" s="127"/>
      <c r="M18" s="127"/>
      <c r="N18" s="127"/>
      <c r="O18" s="127"/>
      <c r="P18" s="243"/>
      <c r="Q18" s="243"/>
      <c r="R18" s="244"/>
    </row>
    <row r="19" spans="1:24" s="123" customFormat="1">
      <c r="A19" s="122"/>
      <c r="B19" s="318"/>
      <c r="C19" s="318"/>
      <c r="D19" s="318"/>
      <c r="E19" s="318"/>
      <c r="F19" s="318"/>
      <c r="G19" s="318"/>
      <c r="H19" s="331"/>
      <c r="I19" s="325"/>
      <c r="J19" s="325"/>
      <c r="K19" s="321"/>
      <c r="L19" s="127"/>
      <c r="M19" s="127"/>
      <c r="N19" s="127"/>
      <c r="O19" s="127"/>
      <c r="P19" s="243"/>
      <c r="Q19" s="243"/>
      <c r="R19" s="244"/>
    </row>
    <row r="20" spans="1:24" s="123" customFormat="1">
      <c r="A20" s="65" t="s">
        <v>1180</v>
      </c>
      <c r="B20" s="318">
        <f>156/12</f>
        <v>13</v>
      </c>
      <c r="C20" s="127">
        <v>1147609709</v>
      </c>
      <c r="D20" s="332">
        <v>64284636</v>
      </c>
      <c r="E20" s="319"/>
      <c r="F20" s="320">
        <f>D20+E20</f>
        <v>64284636</v>
      </c>
      <c r="G20" s="127">
        <v>258962.35245895264</v>
      </c>
      <c r="H20" s="318">
        <f>ROUND(C20/8760,2)</f>
        <v>131005.67</v>
      </c>
      <c r="I20" s="333">
        <v>130198.7316881914</v>
      </c>
      <c r="J20" s="333">
        <v>196715.93398402378</v>
      </c>
      <c r="K20" s="333">
        <v>346382.42473849928</v>
      </c>
      <c r="L20" s="127"/>
      <c r="M20" s="127"/>
      <c r="N20" s="330"/>
      <c r="O20" s="330"/>
      <c r="P20" s="323"/>
      <c r="Q20" s="323"/>
      <c r="R20" s="323"/>
    </row>
    <row r="21" spans="1:24" s="123" customFormat="1"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127"/>
      <c r="M21" s="127"/>
      <c r="N21" s="127"/>
      <c r="O21" s="127"/>
      <c r="P21" s="243"/>
      <c r="Q21" s="243"/>
      <c r="R21" s="326"/>
      <c r="V21" s="327"/>
      <c r="X21" s="327"/>
    </row>
    <row r="22" spans="1:24" s="123" customFormat="1">
      <c r="A22" s="65" t="s">
        <v>1345</v>
      </c>
      <c r="B22" s="318">
        <f>12/12</f>
        <v>1</v>
      </c>
      <c r="C22" s="318">
        <v>109874900</v>
      </c>
      <c r="D22" s="318">
        <v>6341748</v>
      </c>
      <c r="E22" s="319"/>
      <c r="F22" s="320">
        <f>D22+E22</f>
        <v>6341748</v>
      </c>
      <c r="G22" s="318">
        <v>26104.545320274483</v>
      </c>
      <c r="H22" s="318">
        <f>ROUND(C22/8760,2)</f>
        <v>12542.8</v>
      </c>
      <c r="I22" s="333">
        <v>15032.269312683648</v>
      </c>
      <c r="J22" s="333">
        <v>21240.770184933692</v>
      </c>
      <c r="K22" s="333">
        <v>41567.060227169168</v>
      </c>
      <c r="L22" s="127"/>
      <c r="M22" s="127"/>
      <c r="N22" s="127"/>
      <c r="O22" s="127"/>
      <c r="P22" s="243"/>
      <c r="Q22" s="243"/>
      <c r="R22" s="326"/>
      <c r="V22" s="327"/>
      <c r="X22" s="327"/>
    </row>
    <row r="23" spans="1:24" s="123" customFormat="1"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127"/>
      <c r="M23" s="127"/>
      <c r="N23" s="127"/>
      <c r="O23" s="127"/>
      <c r="P23" s="243"/>
      <c r="Q23" s="243"/>
      <c r="R23" s="326"/>
      <c r="V23" s="327"/>
      <c r="X23" s="327"/>
    </row>
    <row r="24" spans="1:24" s="123" customFormat="1">
      <c r="A24" s="65" t="s">
        <v>1352</v>
      </c>
      <c r="B24" s="318">
        <f>12/12</f>
        <v>1</v>
      </c>
      <c r="C24" s="318">
        <v>58046500</v>
      </c>
      <c r="D24" s="318">
        <v>3292762</v>
      </c>
      <c r="E24" s="319"/>
      <c r="F24" s="320">
        <f>D24+E24</f>
        <v>3292762</v>
      </c>
      <c r="G24" s="318">
        <v>13663.49459080668</v>
      </c>
      <c r="H24" s="318">
        <f>ROUND(C24/8760,2)</f>
        <v>6626.31</v>
      </c>
      <c r="I24" s="333">
        <v>5713.8239668660899</v>
      </c>
      <c r="J24" s="333">
        <v>8598.4009708705998</v>
      </c>
      <c r="K24" s="318">
        <v>20438.395438494859</v>
      </c>
      <c r="L24" s="127"/>
      <c r="M24" s="127"/>
      <c r="N24" s="127"/>
      <c r="O24" s="127"/>
      <c r="P24" s="243"/>
      <c r="Q24" s="243"/>
      <c r="R24" s="326"/>
      <c r="V24" s="327"/>
      <c r="X24" s="327"/>
    </row>
    <row r="25" spans="1:24" s="123" customFormat="1"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127"/>
      <c r="M25" s="127"/>
      <c r="N25" s="127"/>
      <c r="O25" s="127"/>
      <c r="P25" s="243"/>
      <c r="Q25" s="243"/>
      <c r="R25" s="326"/>
      <c r="V25" s="327"/>
      <c r="X25" s="327"/>
    </row>
    <row r="26" spans="1:24" s="123" customFormat="1">
      <c r="A26" s="65" t="s">
        <v>1292</v>
      </c>
      <c r="B26" s="318">
        <f>1036824/12</f>
        <v>86402</v>
      </c>
      <c r="C26" s="318">
        <v>101770582.1238485</v>
      </c>
      <c r="D26" s="318">
        <v>18141167.300000001</v>
      </c>
      <c r="E26" s="319"/>
      <c r="F26" s="320">
        <f>D26+E26</f>
        <v>18141167.300000001</v>
      </c>
      <c r="G26" s="318">
        <f>K26</f>
        <v>26916.48368426325</v>
      </c>
      <c r="H26" s="318">
        <f>ROUND(C26/8760,2)</f>
        <v>11617.65</v>
      </c>
      <c r="I26" s="333">
        <v>0</v>
      </c>
      <c r="J26" s="333">
        <v>0</v>
      </c>
      <c r="K26" s="318">
        <v>26916.48368426325</v>
      </c>
      <c r="L26" s="127"/>
      <c r="M26" s="127"/>
      <c r="N26" s="127"/>
      <c r="O26" s="127"/>
      <c r="P26" s="243"/>
      <c r="Q26" s="243"/>
      <c r="R26" s="326"/>
      <c r="V26" s="327"/>
      <c r="X26" s="327"/>
    </row>
    <row r="27" spans="1:24" s="123" customFormat="1">
      <c r="B27" s="318"/>
      <c r="C27" s="318"/>
      <c r="D27" s="277"/>
      <c r="E27" s="277"/>
      <c r="F27" s="318"/>
      <c r="G27" s="318"/>
      <c r="H27" s="318"/>
      <c r="I27" s="318"/>
      <c r="J27" s="318"/>
      <c r="K27" s="318"/>
      <c r="L27" s="127"/>
      <c r="M27" s="127"/>
      <c r="N27" s="127"/>
      <c r="O27" s="127"/>
      <c r="P27" s="243"/>
      <c r="Q27" s="243"/>
      <c r="R27" s="326"/>
      <c r="V27" s="327"/>
      <c r="X27" s="327"/>
    </row>
    <row r="28" spans="1:24" s="123" customFormat="1">
      <c r="A28" s="65" t="s">
        <v>1325</v>
      </c>
      <c r="B28" s="318">
        <f>1980/12</f>
        <v>165</v>
      </c>
      <c r="C28" s="318">
        <v>3317374</v>
      </c>
      <c r="D28" s="318">
        <v>210819</v>
      </c>
      <c r="E28" s="319"/>
      <c r="F28" s="320">
        <f>D28+E28</f>
        <v>210819</v>
      </c>
      <c r="G28" s="318">
        <f>K28</f>
        <v>860.86684661971549</v>
      </c>
      <c r="H28" s="318">
        <f>ROUND(C28/8760,2)</f>
        <v>378.7</v>
      </c>
      <c r="I28" s="333">
        <v>0</v>
      </c>
      <c r="J28" s="333">
        <v>0</v>
      </c>
      <c r="K28" s="318">
        <v>860.86684661971549</v>
      </c>
      <c r="L28" s="127"/>
      <c r="M28" s="127"/>
      <c r="N28" s="127"/>
      <c r="O28" s="127"/>
      <c r="P28" s="243"/>
      <c r="Q28" s="243"/>
      <c r="R28" s="326"/>
      <c r="V28" s="327"/>
      <c r="X28" s="327"/>
    </row>
    <row r="29" spans="1:24" s="123" customFormat="1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127"/>
      <c r="M29" s="127"/>
      <c r="N29" s="127"/>
      <c r="O29" s="127"/>
      <c r="P29" s="243"/>
      <c r="Q29" s="243"/>
      <c r="R29" s="326"/>
      <c r="V29" s="327"/>
      <c r="X29" s="327"/>
    </row>
    <row r="30" spans="1:24" s="123" customFormat="1">
      <c r="A30" s="334" t="s">
        <v>1324</v>
      </c>
      <c r="B30" s="335">
        <f>10860/12</f>
        <v>905</v>
      </c>
      <c r="C30" s="335">
        <v>3108713</v>
      </c>
      <c r="D30" s="335">
        <v>270128</v>
      </c>
      <c r="E30" s="341"/>
      <c r="F30" s="340">
        <f>D30+E30</f>
        <v>270128</v>
      </c>
      <c r="G30" s="318">
        <f>K30</f>
        <v>392.15358273782084</v>
      </c>
      <c r="H30" s="335">
        <f>ROUND(C30/8760,2)</f>
        <v>354.88</v>
      </c>
      <c r="I30" s="336">
        <v>386.34235936798433</v>
      </c>
      <c r="J30" s="336">
        <v>385.45737635222895</v>
      </c>
      <c r="K30" s="335">
        <v>392.15358273782084</v>
      </c>
      <c r="L30" s="127"/>
      <c r="M30" s="127"/>
      <c r="N30" s="127"/>
      <c r="O30" s="127"/>
      <c r="P30" s="243"/>
      <c r="Q30" s="243"/>
      <c r="R30" s="326"/>
      <c r="V30" s="327"/>
      <c r="X30" s="327"/>
    </row>
    <row r="31" spans="1:24" s="123" customFormat="1">
      <c r="A31" s="65" t="s">
        <v>922</v>
      </c>
      <c r="B31" s="318">
        <f>SUM(B8:B30)</f>
        <v>500110.83333333337</v>
      </c>
      <c r="C31" s="318">
        <f t="shared" ref="C31:K31" si="0">SUM(C8:C30)</f>
        <v>11646473901.123848</v>
      </c>
      <c r="D31" s="337">
        <f>SUM(D8:D30)</f>
        <v>965204065.29999995</v>
      </c>
      <c r="E31" s="324">
        <f>SUM(E8:E30)</f>
        <v>0</v>
      </c>
      <c r="F31" s="324">
        <f>SUM(F8:F30)</f>
        <v>965204065.29999995</v>
      </c>
      <c r="G31" s="338">
        <f t="shared" si="0"/>
        <v>3508847.3591729756</v>
      </c>
      <c r="H31" s="318">
        <f t="shared" si="0"/>
        <v>1329506.1599999997</v>
      </c>
      <c r="I31" s="318">
        <f t="shared" si="0"/>
        <v>1868156.7352128148</v>
      </c>
      <c r="J31" s="318">
        <f>SUM(J8:J30)</f>
        <v>2733721.1029908364</v>
      </c>
      <c r="K31" s="318">
        <f t="shared" si="0"/>
        <v>5758139.3358214516</v>
      </c>
      <c r="L31" s="127"/>
      <c r="M31" s="127"/>
      <c r="N31" s="127"/>
      <c r="O31" s="127"/>
      <c r="P31" s="243"/>
      <c r="Q31" s="243"/>
      <c r="R31" s="326"/>
      <c r="V31" s="327"/>
      <c r="X31" s="327"/>
    </row>
    <row r="32" spans="1:24">
      <c r="A32" s="45"/>
      <c r="B32" s="278"/>
      <c r="C32" s="243"/>
      <c r="D32" s="247"/>
      <c r="E32" s="125"/>
      <c r="F32" s="126"/>
      <c r="G32" s="243"/>
      <c r="H32" s="279"/>
      <c r="I32" s="243"/>
      <c r="J32" s="280"/>
      <c r="K32" s="243"/>
      <c r="L32" s="120"/>
      <c r="M32" s="120"/>
      <c r="N32" s="120"/>
      <c r="O32" s="120"/>
      <c r="P32" s="120"/>
      <c r="Q32" s="120"/>
      <c r="R32" s="120"/>
    </row>
    <row r="33" spans="1:24">
      <c r="A33" s="114"/>
      <c r="B33" s="281"/>
      <c r="C33" s="281"/>
      <c r="D33" s="277"/>
      <c r="E33" s="277"/>
      <c r="F33" s="277"/>
      <c r="G33" s="281"/>
      <c r="H33" s="281"/>
      <c r="I33" s="281"/>
      <c r="J33" s="281"/>
      <c r="K33" s="281"/>
      <c r="L33" s="84"/>
      <c r="M33" s="84"/>
      <c r="N33" s="84"/>
      <c r="O33" s="84"/>
      <c r="P33" s="84"/>
      <c r="Q33" s="84"/>
      <c r="R33" s="84"/>
    </row>
    <row r="34" spans="1:24">
      <c r="A34" s="114"/>
      <c r="B34" s="281"/>
      <c r="C34" s="281"/>
      <c r="D34" s="277"/>
      <c r="E34" s="277"/>
      <c r="F34" s="281"/>
      <c r="G34" s="281"/>
      <c r="H34" s="281"/>
      <c r="I34" s="281"/>
      <c r="J34" s="281"/>
      <c r="K34" s="281"/>
      <c r="L34" s="84"/>
      <c r="M34" s="84"/>
      <c r="N34" s="84"/>
    </row>
    <row r="35" spans="1:24" ht="17.25">
      <c r="C35" s="117"/>
      <c r="D35" s="117"/>
      <c r="E35" s="117"/>
      <c r="F35" s="117"/>
      <c r="G35" s="117"/>
      <c r="H35" s="117"/>
      <c r="I35" s="117"/>
      <c r="J35" s="117"/>
      <c r="K35" s="17"/>
      <c r="L35" s="117"/>
      <c r="M35" s="117"/>
      <c r="N35" s="117"/>
      <c r="O35" s="117"/>
      <c r="P35" s="117"/>
      <c r="Q35" s="117"/>
      <c r="R35" s="117"/>
    </row>
    <row r="36" spans="1:24"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1:24"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R37" s="118"/>
    </row>
    <row r="38" spans="1:24"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8"/>
    </row>
    <row r="39" spans="1:24"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</row>
    <row r="40" spans="1:24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V40" s="121"/>
      <c r="X40" s="121"/>
    </row>
    <row r="41" spans="1:24"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24"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24"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R43" s="118"/>
    </row>
    <row r="44" spans="1:24"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8"/>
    </row>
    <row r="45" spans="1:24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8"/>
    </row>
    <row r="46" spans="1:24"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V46" s="121"/>
      <c r="X46" s="121"/>
    </row>
    <row r="47" spans="1:24"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</row>
    <row r="48" spans="1:24"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</row>
    <row r="49" spans="3:24"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R49" s="118"/>
    </row>
    <row r="50" spans="3:24"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8"/>
    </row>
    <row r="51" spans="3:24"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8"/>
    </row>
    <row r="52" spans="3:24"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V52" s="121"/>
      <c r="X52" s="121"/>
    </row>
    <row r="53" spans="3:24"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</row>
    <row r="54" spans="3:24"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</row>
    <row r="55" spans="3:24"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R55" s="118"/>
    </row>
    <row r="56" spans="3:24"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8"/>
    </row>
    <row r="57" spans="3:24"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18"/>
      <c r="U57" s="129"/>
    </row>
    <row r="58" spans="3:24"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V58" s="121"/>
      <c r="X58" s="121"/>
    </row>
    <row r="59" spans="3:24"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U59" s="130"/>
    </row>
    <row r="60" spans="3:24"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</row>
    <row r="61" spans="3:24"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R61" s="118"/>
    </row>
    <row r="62" spans="3:24"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8"/>
    </row>
    <row r="63" spans="3:24"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28"/>
      <c r="O63" s="117"/>
      <c r="R63" s="118"/>
      <c r="U63" s="129"/>
    </row>
    <row r="64" spans="3:24"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V64" s="121"/>
      <c r="X64" s="121"/>
    </row>
    <row r="65" spans="3:24"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U65" s="130"/>
    </row>
    <row r="66" spans="3:24"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</row>
    <row r="67" spans="3:24"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R67" s="118"/>
    </row>
    <row r="68" spans="3:24"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8"/>
    </row>
    <row r="69" spans="3:24"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18"/>
      <c r="U69" s="129"/>
    </row>
    <row r="70" spans="3:24">
      <c r="C70" s="128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V70" s="121"/>
      <c r="X70" s="121"/>
    </row>
    <row r="71" spans="3:24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U71" s="130"/>
    </row>
    <row r="72" spans="3:24"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U72" s="130"/>
    </row>
    <row r="73" spans="3:24"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R73" s="118"/>
    </row>
    <row r="74" spans="3:24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28"/>
      <c r="R74" s="118"/>
    </row>
    <row r="75" spans="3:24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28"/>
      <c r="O75" s="117"/>
      <c r="P75" s="117"/>
      <c r="Q75" s="117"/>
      <c r="R75" s="118"/>
    </row>
    <row r="76" spans="3:24"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17"/>
      <c r="N76" s="120"/>
      <c r="O76" s="120"/>
      <c r="P76" s="120"/>
      <c r="Q76" s="120"/>
      <c r="R76" s="120"/>
      <c r="V76" s="121"/>
      <c r="X76" s="121"/>
    </row>
    <row r="77" spans="3:24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</row>
    <row r="78" spans="3:24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28"/>
      <c r="O78" s="117"/>
      <c r="R78" s="118"/>
    </row>
    <row r="79" spans="3:24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R79" s="118"/>
    </row>
    <row r="80" spans="3:24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28"/>
      <c r="O80" s="117"/>
      <c r="P80" s="117"/>
      <c r="Q80" s="117"/>
      <c r="R80" s="118"/>
    </row>
    <row r="81" spans="3:24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28"/>
      <c r="O81" s="117"/>
      <c r="R81" s="118"/>
    </row>
    <row r="82" spans="3:24"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</row>
    <row r="83" spans="3:24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28"/>
    </row>
    <row r="84" spans="3:24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8"/>
      <c r="V84" s="121"/>
      <c r="X84" s="121"/>
    </row>
    <row r="85" spans="3:24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8"/>
    </row>
    <row r="86" spans="3:24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X86" s="121"/>
    </row>
    <row r="87" spans="3:24"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19"/>
      <c r="P87" s="119"/>
      <c r="Q87" s="119"/>
      <c r="R87" s="119"/>
    </row>
    <row r="88" spans="3:24"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19"/>
      <c r="P88" s="119"/>
      <c r="Q88" s="119"/>
      <c r="R88" s="119"/>
    </row>
    <row r="89" spans="3:24"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19"/>
      <c r="P89" s="119"/>
      <c r="Q89" s="119"/>
      <c r="R89" s="119"/>
    </row>
    <row r="90" spans="3:24"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19"/>
      <c r="P90" s="119"/>
      <c r="Q90" s="119"/>
      <c r="R90" s="119"/>
    </row>
    <row r="91" spans="3:24">
      <c r="C91" s="117"/>
      <c r="D91" s="124"/>
      <c r="E91" s="124"/>
      <c r="F91" s="124"/>
      <c r="G91" s="124"/>
      <c r="H91" s="124"/>
      <c r="I91" s="124"/>
      <c r="J91" s="117"/>
      <c r="K91" s="128"/>
      <c r="L91" s="124"/>
      <c r="M91" s="128"/>
      <c r="N91" s="124"/>
      <c r="O91" s="124"/>
      <c r="P91" s="124"/>
      <c r="Q91" s="124"/>
    </row>
    <row r="92" spans="3:24">
      <c r="C92" s="117"/>
      <c r="D92" s="124"/>
      <c r="E92" s="124"/>
      <c r="F92" s="124"/>
      <c r="G92" s="124"/>
      <c r="H92" s="124"/>
      <c r="I92" s="124"/>
      <c r="J92" s="117"/>
      <c r="K92" s="128"/>
      <c r="L92" s="124"/>
      <c r="M92" s="128"/>
      <c r="N92" s="124"/>
      <c r="O92" s="124"/>
      <c r="P92" s="124"/>
      <c r="Q92" s="124"/>
    </row>
    <row r="93" spans="3:24">
      <c r="C93" s="117"/>
      <c r="D93" s="124"/>
      <c r="E93" s="124"/>
      <c r="F93" s="124"/>
      <c r="G93" s="124"/>
      <c r="H93" s="124"/>
      <c r="I93" s="124"/>
      <c r="J93" s="117"/>
      <c r="K93" s="128"/>
      <c r="L93" s="124"/>
      <c r="M93" s="128"/>
      <c r="N93" s="124"/>
      <c r="O93" s="124"/>
      <c r="P93" s="124"/>
      <c r="Q93" s="124"/>
    </row>
    <row r="94" spans="3:24" ht="17.25">
      <c r="C94" s="17"/>
      <c r="D94" s="124"/>
      <c r="E94" s="124"/>
      <c r="F94" s="124"/>
      <c r="G94" s="124"/>
      <c r="H94" s="124"/>
      <c r="I94" s="124"/>
      <c r="J94" s="17"/>
      <c r="K94" s="85"/>
      <c r="L94" s="124"/>
      <c r="M94" s="128"/>
      <c r="N94" s="16"/>
      <c r="O94" s="16"/>
      <c r="P94" s="16"/>
      <c r="Q94" s="16"/>
    </row>
    <row r="95" spans="3:24">
      <c r="C95" s="117"/>
      <c r="D95" s="124"/>
      <c r="E95" s="124"/>
      <c r="F95" s="124"/>
      <c r="G95" s="124"/>
      <c r="H95" s="124"/>
      <c r="I95" s="124"/>
      <c r="J95" s="117"/>
      <c r="K95" s="128"/>
      <c r="L95" s="124"/>
      <c r="M95" s="128"/>
      <c r="N95" s="124"/>
      <c r="O95" s="124"/>
      <c r="P95" s="124"/>
      <c r="Q95" s="124"/>
    </row>
    <row r="96" spans="3:24" ht="17.25">
      <c r="C96" s="17"/>
      <c r="D96" s="16"/>
      <c r="E96" s="16"/>
      <c r="F96" s="131"/>
      <c r="G96" s="16"/>
      <c r="H96" s="16"/>
      <c r="I96" s="16"/>
      <c r="J96" s="117"/>
      <c r="K96" s="128"/>
      <c r="L96" s="16"/>
      <c r="M96" s="85"/>
      <c r="N96" s="16"/>
      <c r="O96" s="16"/>
      <c r="P96" s="16"/>
      <c r="Q96" s="16"/>
    </row>
    <row r="97" spans="3:17">
      <c r="C97" s="117"/>
      <c r="D97" s="124"/>
      <c r="E97" s="124"/>
      <c r="F97" s="124"/>
      <c r="G97" s="124"/>
      <c r="H97" s="124"/>
      <c r="I97" s="124"/>
      <c r="J97" s="117"/>
      <c r="K97" s="128"/>
      <c r="L97" s="124"/>
      <c r="M97" s="128"/>
      <c r="N97" s="124"/>
      <c r="O97" s="124"/>
      <c r="P97" s="124"/>
      <c r="Q97" s="124"/>
    </row>
    <row r="98" spans="3:17" ht="17.25">
      <c r="C98" s="86"/>
      <c r="D98" s="16"/>
      <c r="E98" s="16"/>
      <c r="F98" s="131"/>
      <c r="G98" s="16"/>
      <c r="H98" s="16"/>
      <c r="I98" s="16"/>
      <c r="J98" s="117"/>
      <c r="K98" s="128"/>
      <c r="L98" s="16"/>
      <c r="M98" s="87"/>
    </row>
    <row r="99" spans="3:17">
      <c r="C99" s="117"/>
      <c r="D99" s="124"/>
      <c r="E99" s="124"/>
      <c r="F99" s="124"/>
      <c r="G99" s="124"/>
      <c r="H99" s="124"/>
      <c r="I99" s="124"/>
      <c r="J99" s="117"/>
      <c r="K99" s="128"/>
      <c r="L99" s="124"/>
      <c r="M99" s="128"/>
    </row>
    <row r="100" spans="3:17">
      <c r="C100" s="117"/>
      <c r="J100" s="117"/>
      <c r="K100" s="128"/>
      <c r="M100" s="128"/>
    </row>
    <row r="101" spans="3:17">
      <c r="C101" s="117"/>
      <c r="J101" s="117"/>
      <c r="K101" s="128"/>
      <c r="M101" s="128"/>
    </row>
    <row r="102" spans="3:17">
      <c r="C102" s="117"/>
      <c r="J102" s="117"/>
      <c r="K102" s="128"/>
      <c r="M102" s="128"/>
    </row>
    <row r="103" spans="3:17">
      <c r="C103" s="117"/>
      <c r="J103" s="117"/>
      <c r="K103" s="128"/>
      <c r="M103" s="128"/>
      <c r="N103" s="124"/>
      <c r="O103" s="124"/>
      <c r="P103" s="124"/>
      <c r="Q103" s="132"/>
    </row>
    <row r="104" spans="3:17">
      <c r="C104" s="117"/>
      <c r="J104" s="117"/>
      <c r="K104" s="128"/>
      <c r="M104" s="128"/>
      <c r="N104" s="124"/>
      <c r="O104" s="124"/>
      <c r="P104" s="124"/>
      <c r="Q104" s="132"/>
    </row>
    <row r="105" spans="3:17" ht="17.25">
      <c r="C105" s="17"/>
      <c r="D105" s="124"/>
      <c r="E105" s="124"/>
      <c r="F105" s="124"/>
      <c r="G105" s="124"/>
      <c r="H105" s="124"/>
      <c r="I105" s="124"/>
      <c r="J105" s="17"/>
      <c r="K105" s="85"/>
      <c r="L105" s="124"/>
      <c r="M105" s="128"/>
      <c r="N105" s="124"/>
      <c r="O105" s="124"/>
      <c r="P105" s="124"/>
      <c r="Q105" s="132"/>
    </row>
    <row r="106" spans="3:17">
      <c r="C106" s="117"/>
      <c r="D106" s="124"/>
      <c r="E106" s="124"/>
      <c r="F106" s="124"/>
      <c r="G106" s="124"/>
      <c r="H106" s="124"/>
      <c r="I106" s="124"/>
      <c r="J106" s="117"/>
      <c r="K106" s="128"/>
      <c r="L106" s="124"/>
      <c r="M106" s="128"/>
      <c r="N106" s="124"/>
      <c r="O106" s="124"/>
      <c r="P106" s="124"/>
      <c r="Q106" s="132"/>
    </row>
    <row r="107" spans="3:17">
      <c r="C107" s="117"/>
      <c r="D107" s="124"/>
      <c r="E107" s="124"/>
      <c r="F107" s="124"/>
      <c r="G107" s="124"/>
      <c r="H107" s="124"/>
      <c r="I107" s="124"/>
      <c r="J107" s="117"/>
      <c r="K107" s="128"/>
      <c r="L107" s="124"/>
      <c r="M107" s="128"/>
      <c r="N107" s="124"/>
      <c r="O107" s="124"/>
      <c r="P107" s="124"/>
      <c r="Q107" s="132"/>
    </row>
    <row r="108" spans="3:17">
      <c r="C108" s="117"/>
      <c r="D108" s="124"/>
      <c r="E108" s="124"/>
      <c r="F108" s="124"/>
      <c r="G108" s="124"/>
      <c r="H108" s="124"/>
      <c r="I108" s="124"/>
      <c r="J108" s="117"/>
      <c r="K108" s="128"/>
      <c r="L108" s="124"/>
      <c r="M108" s="128"/>
      <c r="N108" s="124"/>
      <c r="O108" s="124"/>
      <c r="P108" s="124"/>
      <c r="Q108" s="132"/>
    </row>
    <row r="109" spans="3:17" ht="17.25">
      <c r="C109" s="117"/>
      <c r="D109" s="124"/>
      <c r="E109" s="124"/>
      <c r="F109" s="124"/>
      <c r="G109" s="124"/>
      <c r="H109" s="124"/>
      <c r="I109" s="124"/>
      <c r="J109" s="117"/>
      <c r="K109" s="128"/>
      <c r="L109" s="124"/>
      <c r="M109" s="128"/>
      <c r="N109" s="16"/>
      <c r="O109" s="16"/>
      <c r="P109" s="16"/>
      <c r="Q109" s="88"/>
    </row>
    <row r="110" spans="3:17">
      <c r="C110" s="117"/>
      <c r="D110" s="124"/>
      <c r="E110" s="124"/>
      <c r="F110" s="124"/>
      <c r="G110" s="124"/>
      <c r="H110" s="124"/>
      <c r="I110" s="124"/>
      <c r="J110" s="117"/>
      <c r="K110" s="128"/>
      <c r="L110" s="124"/>
      <c r="M110" s="128"/>
      <c r="N110" s="124"/>
      <c r="O110" s="124"/>
      <c r="P110" s="124"/>
      <c r="Q110" s="124"/>
    </row>
    <row r="111" spans="3:17" ht="17.25">
      <c r="C111" s="86"/>
      <c r="D111" s="16"/>
      <c r="E111" s="16"/>
      <c r="F111" s="131"/>
      <c r="G111" s="16"/>
      <c r="H111" s="16"/>
      <c r="I111" s="16"/>
      <c r="J111" s="117"/>
      <c r="K111" s="128"/>
      <c r="L111" s="16"/>
      <c r="M111" s="87"/>
      <c r="N111" s="16"/>
      <c r="O111" s="16"/>
      <c r="P111" s="16"/>
      <c r="Q111" s="88"/>
    </row>
    <row r="112" spans="3:17">
      <c r="C112" s="117"/>
      <c r="D112" s="124"/>
      <c r="E112" s="124"/>
      <c r="F112" s="124"/>
      <c r="G112" s="124"/>
      <c r="H112" s="124"/>
      <c r="I112" s="124"/>
      <c r="J112" s="117"/>
      <c r="K112" s="128"/>
      <c r="L112" s="124"/>
      <c r="M112" s="128"/>
      <c r="N112" s="124"/>
      <c r="O112" s="124"/>
      <c r="P112" s="124"/>
      <c r="Q112" s="124"/>
    </row>
    <row r="113" spans="3:13" ht="17.25">
      <c r="C113" s="86"/>
      <c r="D113" s="16"/>
      <c r="E113" s="16"/>
      <c r="F113" s="131"/>
      <c r="G113" s="16"/>
      <c r="H113" s="16"/>
      <c r="I113" s="16"/>
      <c r="J113" s="117"/>
      <c r="K113" s="128"/>
      <c r="L113" s="16"/>
      <c r="M113" s="85"/>
    </row>
    <row r="114" spans="3:13" ht="17.25">
      <c r="C114" s="17"/>
      <c r="D114" s="124"/>
      <c r="E114" s="124"/>
      <c r="F114" s="124"/>
      <c r="G114" s="124"/>
      <c r="H114" s="124"/>
      <c r="I114" s="124"/>
      <c r="J114" s="17"/>
      <c r="K114" s="85"/>
      <c r="L114" s="124"/>
      <c r="M114" s="128"/>
    </row>
    <row r="115" spans="3:13">
      <c r="C115" s="118"/>
      <c r="J115" s="118"/>
      <c r="K115" s="118"/>
      <c r="M115" s="128"/>
    </row>
    <row r="116" spans="3:13">
      <c r="M116" s="128"/>
    </row>
    <row r="117" spans="3:13">
      <c r="C117" s="118"/>
      <c r="D117" s="118"/>
      <c r="E117" s="118"/>
      <c r="F117" s="118"/>
      <c r="G117" s="118"/>
      <c r="H117" s="118"/>
      <c r="I117" s="118"/>
      <c r="J117" s="118"/>
      <c r="K117" s="118"/>
      <c r="M117" s="128"/>
    </row>
    <row r="118" spans="3:13">
      <c r="I118" s="133"/>
    </row>
    <row r="119" spans="3:13">
      <c r="I119" s="133"/>
    </row>
    <row r="120" spans="3:13">
      <c r="I120" s="133"/>
    </row>
    <row r="121" spans="3:13">
      <c r="I121" s="133"/>
    </row>
    <row r="122" spans="3:13">
      <c r="I122" s="133"/>
    </row>
    <row r="123" spans="3:13">
      <c r="I123" s="133"/>
    </row>
    <row r="124" spans="3:13">
      <c r="I124" s="133"/>
    </row>
    <row r="125" spans="3:13">
      <c r="I125" s="133"/>
    </row>
    <row r="126" spans="3:13">
      <c r="I126" s="133"/>
    </row>
    <row r="127" spans="3:13">
      <c r="I127" s="133"/>
    </row>
    <row r="128" spans="3:13">
      <c r="I128" s="133"/>
    </row>
    <row r="129" spans="9:9">
      <c r="I129" s="133"/>
    </row>
    <row r="130" spans="9:9">
      <c r="I130" s="133"/>
    </row>
    <row r="131" spans="9:9">
      <c r="I131" s="133"/>
    </row>
    <row r="132" spans="9:9">
      <c r="I132" s="133"/>
    </row>
    <row r="133" spans="9:9">
      <c r="I133" s="133"/>
    </row>
    <row r="134" spans="9:9">
      <c r="I134" s="133"/>
    </row>
    <row r="135" spans="9:9">
      <c r="I135" s="133"/>
    </row>
    <row r="136" spans="9:9">
      <c r="I136" s="133"/>
    </row>
    <row r="137" spans="9:9">
      <c r="I137" s="133"/>
    </row>
    <row r="138" spans="9:9">
      <c r="I138" s="133"/>
    </row>
    <row r="139" spans="9:9">
      <c r="I139" s="133"/>
    </row>
    <row r="140" spans="9:9">
      <c r="I140" s="133"/>
    </row>
    <row r="141" spans="9:9">
      <c r="I141" s="133"/>
    </row>
    <row r="142" spans="9:9">
      <c r="I142" s="133"/>
    </row>
    <row r="143" spans="9:9">
      <c r="I143" s="133"/>
    </row>
    <row r="144" spans="9:9">
      <c r="I144" s="133"/>
    </row>
    <row r="145" spans="9:9">
      <c r="I145" s="133"/>
    </row>
    <row r="146" spans="9:9">
      <c r="I146" s="133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zoomScaleNormal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3.140625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705</v>
      </c>
    </row>
    <row r="6" spans="1:20" ht="12.75">
      <c r="C6" s="92" t="s">
        <v>145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145</v>
      </c>
      <c r="F7" s="104" t="s">
        <v>924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63.927524839999997</v>
      </c>
      <c r="D10" s="107">
        <f>'Billing Det'!B8</f>
        <v>364109.16666666669</v>
      </c>
      <c r="E10" s="99">
        <f>C10*D10</f>
        <v>23276597.796555035</v>
      </c>
      <c r="F10" s="98">
        <f>E10/$E$34</f>
        <v>0.69991996222812491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151.28</v>
      </c>
      <c r="D12" s="107">
        <f>'Billing Det'!B10</f>
        <v>45237</v>
      </c>
      <c r="E12" s="99">
        <f>C12*D12</f>
        <v>6843453.3600000003</v>
      </c>
      <c r="F12" s="98">
        <f>E12/$E$34</f>
        <v>0.20578048643990582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3700.0623955676192</v>
      </c>
      <c r="D14" s="107">
        <f>'Billing Det'!B12</f>
        <v>72</v>
      </c>
      <c r="E14" s="99">
        <f>C14*D14</f>
        <v>266404.49248086859</v>
      </c>
      <c r="F14" s="98">
        <f>E14/$E$34</f>
        <v>8.0106991556218293E-3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651.85749037777498</v>
      </c>
      <c r="D16" s="107">
        <f>'Billing Det'!B14</f>
        <v>2824.1666666666665</v>
      </c>
      <c r="E16" s="99">
        <f>C16*D16</f>
        <v>1840954.1957418993</v>
      </c>
      <c r="F16" s="98">
        <f>E16/$E$34</f>
        <v>5.535691265576969E-2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3954.1624985837757</v>
      </c>
      <c r="D18" s="107">
        <f>'Billing Det'!B16</f>
        <v>105.5</v>
      </c>
      <c r="E18" s="99">
        <f>C18*D18</f>
        <v>417164.14360058832</v>
      </c>
      <c r="F18" s="98">
        <f>E18/$E$34</f>
        <v>1.2543994366524883E-2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702.69269631831526</v>
      </c>
      <c r="D20" s="107">
        <f>'Billing Det'!B18</f>
        <v>276</v>
      </c>
      <c r="E20" s="99">
        <f>C20*D20</f>
        <v>193943.18418385502</v>
      </c>
      <c r="F20" s="98">
        <f>E20/$E$34</f>
        <v>5.8318104447573722E-3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26250.546715109092</v>
      </c>
      <c r="D22" s="242">
        <f>'Billing Det'!B20</f>
        <v>13</v>
      </c>
      <c r="E22" s="99">
        <f>C22*D22</f>
        <v>341257.10729641822</v>
      </c>
      <c r="F22" s="98">
        <f>E22/$E$34</f>
        <v>1.0261493700094724E-2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f>C18</f>
        <v>3954.1624985837757</v>
      </c>
      <c r="D24" s="107">
        <f>'Billing Det'!B22</f>
        <v>1</v>
      </c>
      <c r="E24" s="99">
        <f>C24*D24</f>
        <v>3954.1624985837757</v>
      </c>
      <c r="F24" s="98">
        <f>E24/$E$34</f>
        <v>1.1890042053578088E-4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f>C24</f>
        <v>3954.1624985837757</v>
      </c>
      <c r="D26" s="107">
        <f>'Billing Det'!B24</f>
        <v>1</v>
      </c>
      <c r="E26" s="99">
        <f>C26*D26</f>
        <v>3954.1624985837757</v>
      </c>
      <c r="F26" s="98">
        <f>E26/$E$34</f>
        <v>1.1890042053578088E-4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f>C10</f>
        <v>63.927524839999997</v>
      </c>
      <c r="D30" s="107">
        <f>'Billing Det'!B28</f>
        <v>165</v>
      </c>
      <c r="E30" s="99">
        <f>C30*D30</f>
        <v>10548.041598599999</v>
      </c>
      <c r="F30" s="98">
        <f>E30/$E$34</f>
        <v>3.1717628760872705E-4</v>
      </c>
    </row>
    <row r="31" spans="1:6">
      <c r="C31" s="238"/>
      <c r="D31" s="107"/>
      <c r="E31" s="99"/>
      <c r="F31" s="98"/>
    </row>
    <row r="32" spans="1:6">
      <c r="A32" s="184" t="s">
        <v>635</v>
      </c>
      <c r="C32" s="238">
        <f>C10</f>
        <v>63.927524839999997</v>
      </c>
      <c r="D32" s="107">
        <f>'Billing Det'!B30</f>
        <v>905</v>
      </c>
      <c r="E32" s="99">
        <f>C32*D32</f>
        <v>57854.409980199998</v>
      </c>
      <c r="F32" s="98">
        <f>E32/$E$34</f>
        <v>1.739663880520594E-3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33256085.056434628</v>
      </c>
      <c r="F34" s="98">
        <f>SUM(F10:F33)</f>
        <v>1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Assignment'!F43</f>
        <v>39970580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80" zoomScaleNormal="100" zoomScaleSheetLayoutView="80" workbookViewId="0">
      <selection sqref="A1:K1"/>
    </sheetView>
  </sheetViews>
  <sheetFormatPr defaultRowHeight="15"/>
  <cols>
    <col min="1" max="1" width="4.5703125" customWidth="1"/>
    <col min="2" max="2" width="36.140625" style="213" customWidth="1"/>
    <col min="3" max="3" width="30.7109375" hidden="1" customWidth="1"/>
    <col min="4" max="4" width="20.140625" customWidth="1"/>
    <col min="5" max="5" width="19.42578125" customWidth="1"/>
    <col min="6" max="6" width="19.140625" customWidth="1"/>
    <col min="7" max="7" width="20.28515625" customWidth="1"/>
    <col min="8" max="9" width="19.7109375" customWidth="1"/>
    <col min="10" max="10" width="28" customWidth="1"/>
    <col min="11" max="11" width="27" customWidth="1"/>
    <col min="12" max="12" width="17.85546875" customWidth="1"/>
  </cols>
  <sheetData>
    <row r="1" spans="1:14" ht="15.75">
      <c r="A1" s="383" t="s">
        <v>617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21"/>
      <c r="M1" s="221"/>
      <c r="N1" s="221"/>
    </row>
    <row r="2" spans="1:14" ht="15.75">
      <c r="A2" s="226"/>
      <c r="B2" s="356"/>
      <c r="C2" s="226"/>
      <c r="D2" s="226"/>
      <c r="E2" s="226"/>
      <c r="F2" s="226"/>
      <c r="G2" s="226"/>
      <c r="H2" s="226"/>
      <c r="I2" s="226"/>
      <c r="J2" s="226"/>
      <c r="K2" s="226"/>
      <c r="L2" s="183"/>
      <c r="M2" s="183"/>
      <c r="N2" s="183"/>
    </row>
    <row r="3" spans="1:14" ht="15.75">
      <c r="A3" s="383" t="s">
        <v>1188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221"/>
      <c r="M3" s="221"/>
      <c r="N3" s="221"/>
    </row>
    <row r="4" spans="1:14" ht="15.75">
      <c r="A4" s="383" t="s">
        <v>1358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221"/>
      <c r="M4" s="221"/>
      <c r="N4" s="221"/>
    </row>
    <row r="5" spans="1:14" ht="15.75">
      <c r="A5" s="227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0"/>
      <c r="M5" s="20"/>
      <c r="N5" s="20"/>
    </row>
    <row r="6" spans="1:14" ht="15.75">
      <c r="A6" s="383" t="s">
        <v>1189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221"/>
      <c r="M6" s="221"/>
      <c r="N6" s="221"/>
    </row>
    <row r="7" spans="1:14" ht="15.75" thickBot="1"/>
    <row r="8" spans="1:14" ht="15.75" thickBot="1">
      <c r="A8" s="185"/>
      <c r="B8" s="363"/>
      <c r="C8" s="186"/>
      <c r="D8" s="185"/>
      <c r="E8" s="381" t="s">
        <v>721</v>
      </c>
      <c r="F8" s="382"/>
      <c r="G8" s="187" t="s">
        <v>1130</v>
      </c>
      <c r="H8" s="381" t="s">
        <v>938</v>
      </c>
      <c r="I8" s="382"/>
      <c r="J8" s="256" t="s">
        <v>1190</v>
      </c>
      <c r="K8" s="186"/>
      <c r="L8" s="257"/>
    </row>
    <row r="9" spans="1:14">
      <c r="A9" s="189"/>
      <c r="B9" s="364"/>
      <c r="C9" s="190"/>
      <c r="D9" s="190"/>
      <c r="E9" s="186"/>
      <c r="F9" s="186"/>
      <c r="G9" s="186"/>
      <c r="H9" s="186"/>
      <c r="I9" s="186"/>
      <c r="J9" s="185"/>
      <c r="K9" s="190"/>
      <c r="L9" s="258"/>
    </row>
    <row r="10" spans="1:14">
      <c r="A10" s="189"/>
      <c r="B10" s="364"/>
      <c r="C10" s="190"/>
      <c r="D10" s="190"/>
      <c r="E10" s="190"/>
      <c r="F10" s="190"/>
      <c r="G10" s="190"/>
      <c r="H10" s="190"/>
      <c r="I10" s="190"/>
      <c r="J10" s="189"/>
      <c r="K10" s="190"/>
      <c r="L10" s="258"/>
    </row>
    <row r="11" spans="1:14" ht="15.75" thickBot="1">
      <c r="A11" s="192"/>
      <c r="B11" s="365" t="s">
        <v>925</v>
      </c>
      <c r="C11" s="259" t="s">
        <v>1191</v>
      </c>
      <c r="D11" s="259" t="s">
        <v>1252</v>
      </c>
      <c r="E11" s="193" t="s">
        <v>1192</v>
      </c>
      <c r="F11" s="193" t="s">
        <v>1193</v>
      </c>
      <c r="G11" s="193" t="s">
        <v>1192</v>
      </c>
      <c r="H11" s="193" t="s">
        <v>1192</v>
      </c>
      <c r="I11" s="193" t="s">
        <v>1194</v>
      </c>
      <c r="J11" s="271" t="s">
        <v>1194</v>
      </c>
      <c r="K11" s="194" t="s">
        <v>922</v>
      </c>
      <c r="L11" s="194" t="s">
        <v>1195</v>
      </c>
    </row>
    <row r="12" spans="1:14">
      <c r="A12" s="195"/>
      <c r="B12" s="366"/>
      <c r="C12" s="196"/>
      <c r="D12" s="197"/>
      <c r="E12" s="198"/>
      <c r="F12" s="198"/>
      <c r="G12" s="198"/>
      <c r="H12" s="198"/>
      <c r="I12" s="198"/>
      <c r="J12" s="198"/>
      <c r="K12" s="188"/>
      <c r="L12" s="191"/>
    </row>
    <row r="13" spans="1:14">
      <c r="A13" s="199" t="s">
        <v>1196</v>
      </c>
      <c r="B13" s="206" t="s">
        <v>965</v>
      </c>
      <c r="C13" s="200"/>
      <c r="D13" s="262">
        <f>Allocation!G176</f>
        <v>1151746077.2153518</v>
      </c>
      <c r="E13" s="346">
        <f>Allocation!G125+Allocation!G126+Allocation!G127</f>
        <v>515004027.33939111</v>
      </c>
      <c r="F13" s="346">
        <f>Allocation!G128</f>
        <v>18583061.593407668</v>
      </c>
      <c r="G13" s="346">
        <f>Allocation!G137</f>
        <v>111943212.22982559</v>
      </c>
      <c r="H13" s="346">
        <f>Allocation!G147+Allocation!G149+Allocation!G154+Allocation!G143</f>
        <v>184388867.25262314</v>
      </c>
      <c r="I13" s="346">
        <f>Allocation!G148+Allocation!G150+Allocation!G155+Allocation!G159+Allocation!G162+Allocation!G165</f>
        <v>319519898.39692187</v>
      </c>
      <c r="J13" s="346">
        <f>Allocation!G168+Allocation!G171</f>
        <v>2307010.4031823776</v>
      </c>
      <c r="K13" s="269">
        <f>SUM(E13:J13)</f>
        <v>1151746077.2153516</v>
      </c>
      <c r="L13" s="201" t="str">
        <f>IF(ABS(K13-D13)&lt;0.01,"ok","err")</f>
        <v>ok</v>
      </c>
    </row>
    <row r="14" spans="1:14">
      <c r="A14" s="202" t="s">
        <v>1197</v>
      </c>
      <c r="B14" s="206" t="s">
        <v>1198</v>
      </c>
      <c r="C14" s="200"/>
      <c r="D14" s="262">
        <f>Allocation!G831+Allocation!G832+Allocation!G833</f>
        <v>0</v>
      </c>
      <c r="E14" s="346">
        <f t="shared" ref="E14:J14" si="0">(E13/$D$13)*$D$14</f>
        <v>0</v>
      </c>
      <c r="F14" s="346">
        <f t="shared" si="0"/>
        <v>0</v>
      </c>
      <c r="G14" s="346">
        <f t="shared" si="0"/>
        <v>0</v>
      </c>
      <c r="H14" s="346">
        <f t="shared" si="0"/>
        <v>0</v>
      </c>
      <c r="I14" s="346">
        <f t="shared" si="0"/>
        <v>0</v>
      </c>
      <c r="J14" s="346">
        <f t="shared" si="0"/>
        <v>0</v>
      </c>
      <c r="K14" s="269">
        <f>SUM(E14:J14)</f>
        <v>0</v>
      </c>
      <c r="L14" s="201" t="str">
        <f>IF(ABS(K14-D14)&lt;0.01,"ok","err")</f>
        <v>ok</v>
      </c>
    </row>
    <row r="15" spans="1:14">
      <c r="A15" s="202" t="s">
        <v>1199</v>
      </c>
      <c r="B15" s="224" t="s">
        <v>1200</v>
      </c>
      <c r="C15" s="200"/>
      <c r="D15" s="262">
        <f>D13+D14</f>
        <v>1151746077.2153518</v>
      </c>
      <c r="E15" s="346">
        <f t="shared" ref="E15:K15" si="1">E13+E14</f>
        <v>515004027.33939111</v>
      </c>
      <c r="F15" s="346">
        <f t="shared" si="1"/>
        <v>18583061.593407668</v>
      </c>
      <c r="G15" s="346">
        <f t="shared" si="1"/>
        <v>111943212.22982559</v>
      </c>
      <c r="H15" s="346">
        <f t="shared" si="1"/>
        <v>184388867.25262314</v>
      </c>
      <c r="I15" s="346">
        <f t="shared" si="1"/>
        <v>319519898.39692187</v>
      </c>
      <c r="J15" s="346">
        <f t="shared" si="1"/>
        <v>2307010.4031823776</v>
      </c>
      <c r="K15" s="269">
        <f t="shared" si="1"/>
        <v>1151746077.2153516</v>
      </c>
      <c r="L15" s="201" t="str">
        <f>IF(ABS(K15-D15)&lt;0.01,"ok","err")</f>
        <v>ok</v>
      </c>
    </row>
    <row r="16" spans="1:14">
      <c r="A16" s="202"/>
      <c r="B16" s="367"/>
      <c r="C16" s="203"/>
      <c r="D16" s="261"/>
      <c r="E16" s="225"/>
      <c r="F16" s="225"/>
      <c r="G16" s="225"/>
      <c r="H16" s="225"/>
      <c r="I16" s="225"/>
      <c r="J16" s="69"/>
      <c r="K16" s="269"/>
      <c r="L16" s="204"/>
    </row>
    <row r="17" spans="1:12">
      <c r="A17" s="202" t="s">
        <v>1201</v>
      </c>
      <c r="B17" s="206" t="s">
        <v>1120</v>
      </c>
      <c r="C17" s="200"/>
      <c r="D17" s="347">
        <f>Allocation!G988</f>
        <v>7.3149583300000029E-2</v>
      </c>
      <c r="E17" s="348">
        <f t="shared" ref="E17:J17" si="2">D17</f>
        <v>7.3149583300000029E-2</v>
      </c>
      <c r="F17" s="348">
        <f t="shared" si="2"/>
        <v>7.3149583300000029E-2</v>
      </c>
      <c r="G17" s="348">
        <f t="shared" si="2"/>
        <v>7.3149583300000029E-2</v>
      </c>
      <c r="H17" s="348">
        <f t="shared" si="2"/>
        <v>7.3149583300000029E-2</v>
      </c>
      <c r="I17" s="348">
        <f t="shared" si="2"/>
        <v>7.3149583300000029E-2</v>
      </c>
      <c r="J17" s="348">
        <f t="shared" si="2"/>
        <v>7.3149583300000029E-2</v>
      </c>
      <c r="K17" s="269"/>
      <c r="L17" s="201"/>
    </row>
    <row r="18" spans="1:12">
      <c r="A18" s="205"/>
      <c r="B18" s="206"/>
      <c r="C18" s="203"/>
      <c r="D18" s="261"/>
      <c r="E18" s="225"/>
      <c r="F18" s="225"/>
      <c r="G18" s="225"/>
      <c r="H18" s="225"/>
      <c r="I18" s="225"/>
      <c r="J18" s="69"/>
      <c r="K18" s="269"/>
      <c r="L18" s="204"/>
    </row>
    <row r="19" spans="1:12">
      <c r="A19" s="202" t="s">
        <v>1202</v>
      </c>
      <c r="B19" s="206" t="s">
        <v>1203</v>
      </c>
      <c r="C19" s="200"/>
      <c r="D19" s="262">
        <f>D17*D15</f>
        <v>84249745.615712643</v>
      </c>
      <c r="E19" s="223">
        <f t="shared" ref="E19:J19" si="3">E17*E15</f>
        <v>37672329.997698285</v>
      </c>
      <c r="F19" s="223">
        <f t="shared" si="3"/>
        <v>1359343.2119960054</v>
      </c>
      <c r="G19" s="223">
        <f t="shared" si="3"/>
        <v>8188599.327875209</v>
      </c>
      <c r="H19" s="223">
        <f t="shared" si="3"/>
        <v>13487968.804688403</v>
      </c>
      <c r="I19" s="223">
        <f t="shared" si="3"/>
        <v>23372747.423793182</v>
      </c>
      <c r="J19" s="362">
        <f t="shared" si="3"/>
        <v>168756.84966155599</v>
      </c>
      <c r="K19" s="270">
        <f>SUM(E19:J19)</f>
        <v>84249745.615712643</v>
      </c>
      <c r="L19" s="201" t="str">
        <f>IF(ABS(K19-D19)&lt;0.01,"ok","err")</f>
        <v>ok</v>
      </c>
    </row>
    <row r="20" spans="1:12">
      <c r="A20" s="205"/>
      <c r="B20" s="206"/>
      <c r="C20" s="203"/>
      <c r="D20" s="261"/>
      <c r="E20" s="225"/>
      <c r="F20" s="225"/>
      <c r="G20" s="225"/>
      <c r="H20" s="225"/>
      <c r="I20" s="225"/>
      <c r="J20" s="69"/>
      <c r="K20" s="270"/>
      <c r="L20" s="204"/>
    </row>
    <row r="21" spans="1:12">
      <c r="A21" s="202" t="s">
        <v>1204</v>
      </c>
      <c r="B21" s="206" t="s">
        <v>806</v>
      </c>
      <c r="C21" s="200"/>
      <c r="D21" s="262">
        <f>Allocation!G743</f>
        <v>30245175.128357016</v>
      </c>
      <c r="E21" s="223">
        <f t="shared" ref="E21:J21" si="4">(E13/$D$13)*$D$21</f>
        <v>13524150.250504041</v>
      </c>
      <c r="F21" s="223">
        <f t="shared" si="4"/>
        <v>487996.41121640144</v>
      </c>
      <c r="G21" s="223">
        <f t="shared" si="4"/>
        <v>2939660.1606040029</v>
      </c>
      <c r="H21" s="223">
        <f t="shared" si="4"/>
        <v>4842103.3872835189</v>
      </c>
      <c r="I21" s="223">
        <f t="shared" si="4"/>
        <v>8390682.1782930139</v>
      </c>
      <c r="J21" s="362">
        <f t="shared" si="4"/>
        <v>60582.740456033636</v>
      </c>
      <c r="K21" s="270">
        <f>SUM(E21:J21)</f>
        <v>30245175.128357012</v>
      </c>
      <c r="L21" s="201" t="str">
        <f>IF(ABS(K21-D21)&lt;0.01,"ok","err")</f>
        <v>ok</v>
      </c>
    </row>
    <row r="22" spans="1:12">
      <c r="A22" s="205"/>
      <c r="B22" s="206"/>
      <c r="C22" s="203"/>
      <c r="D22" s="261"/>
      <c r="E22" s="225"/>
      <c r="F22" s="225"/>
      <c r="G22" s="225"/>
      <c r="H22" s="225"/>
      <c r="I22" s="225"/>
      <c r="J22" s="69"/>
      <c r="K22" s="270"/>
      <c r="L22" s="204"/>
    </row>
    <row r="23" spans="1:12">
      <c r="A23" s="202" t="s">
        <v>1205</v>
      </c>
      <c r="B23" s="206" t="s">
        <v>1206</v>
      </c>
      <c r="C23" s="200"/>
      <c r="D23" s="262">
        <f>D19-D21</f>
        <v>54004570.487355627</v>
      </c>
      <c r="E23" s="223">
        <f t="shared" ref="E23:J23" si="5">E19-E21</f>
        <v>24148179.747194245</v>
      </c>
      <c r="F23" s="223">
        <f t="shared" si="5"/>
        <v>871346.80077960389</v>
      </c>
      <c r="G23" s="223">
        <f t="shared" si="5"/>
        <v>5248939.1672712062</v>
      </c>
      <c r="H23" s="223">
        <f t="shared" si="5"/>
        <v>8645865.4174048845</v>
      </c>
      <c r="I23" s="223">
        <f t="shared" si="5"/>
        <v>14982065.245500168</v>
      </c>
      <c r="J23" s="362">
        <f t="shared" si="5"/>
        <v>108174.10920552234</v>
      </c>
      <c r="K23" s="270">
        <f>SUM(E23:J23)</f>
        <v>54004570.487355627</v>
      </c>
      <c r="L23" s="201" t="str">
        <f>IF(ABS(K23-D23)&lt;0.01,"ok","err")</f>
        <v>ok</v>
      </c>
    </row>
    <row r="24" spans="1:12">
      <c r="A24" s="205"/>
      <c r="B24" s="206"/>
      <c r="C24" s="203"/>
      <c r="D24" s="261"/>
      <c r="E24" s="225"/>
      <c r="F24" s="225"/>
      <c r="G24" s="225"/>
      <c r="H24" s="225"/>
      <c r="I24" s="225"/>
      <c r="J24" s="69"/>
      <c r="K24" s="270"/>
      <c r="L24" s="204"/>
    </row>
    <row r="25" spans="1:12">
      <c r="A25" s="202" t="s">
        <v>1207</v>
      </c>
      <c r="B25" s="206" t="s">
        <v>1208</v>
      </c>
      <c r="C25" s="203"/>
      <c r="D25" s="262">
        <f>Allocation!G783+Allocation!G979</f>
        <v>36434508.054131173</v>
      </c>
      <c r="E25" s="223">
        <f t="shared" ref="E25:J25" si="6">$D$25*(E23/$K$23)</f>
        <v>16291714.600299515</v>
      </c>
      <c r="F25" s="223">
        <f t="shared" si="6"/>
        <v>587859.35605911387</v>
      </c>
      <c r="G25" s="223">
        <f t="shared" si="6"/>
        <v>3541228.3560400493</v>
      </c>
      <c r="H25" s="223">
        <f t="shared" si="6"/>
        <v>5832985.0666829553</v>
      </c>
      <c r="I25" s="223">
        <f t="shared" si="6"/>
        <v>10107740.362132879</v>
      </c>
      <c r="J25" s="362">
        <f t="shared" si="6"/>
        <v>72980.312916660623</v>
      </c>
      <c r="K25" s="270">
        <f>SUM(E25:J25)</f>
        <v>36434508.054131173</v>
      </c>
      <c r="L25" s="201" t="str">
        <f>IF(ABS(K25-D25)&lt;0.01,"ok","err")</f>
        <v>ok</v>
      </c>
    </row>
    <row r="26" spans="1:12">
      <c r="A26" s="205"/>
      <c r="B26" s="206"/>
      <c r="C26" s="203"/>
      <c r="D26" s="261"/>
      <c r="E26" s="225"/>
      <c r="F26" s="225"/>
      <c r="G26" s="225"/>
      <c r="H26" s="225"/>
      <c r="I26" s="225"/>
      <c r="J26" s="69"/>
      <c r="K26" s="270"/>
      <c r="L26" s="204"/>
    </row>
    <row r="27" spans="1:12">
      <c r="A27" s="202" t="s">
        <v>1209</v>
      </c>
      <c r="B27" s="206" t="s">
        <v>975</v>
      </c>
      <c r="C27" s="200"/>
      <c r="D27" s="262">
        <f>Allocation!G774</f>
        <v>287977479.04383886</v>
      </c>
      <c r="E27" s="362">
        <f>Allocation!G182+Allocation!G183+Allocation!G184</f>
        <v>38079049.395119704</v>
      </c>
      <c r="F27" s="362">
        <f>Allocation!G185</f>
        <v>168422502.43944997</v>
      </c>
      <c r="G27" s="362">
        <f>Allocation!G194</f>
        <v>9843945.0934296139</v>
      </c>
      <c r="H27" s="362">
        <f>Allocation!G200+Allocation!G204+Allocation!G206+Allocation!G211</f>
        <v>15549876.538997941</v>
      </c>
      <c r="I27" s="362">
        <f>Allocation!G205+Allocation!G207+Allocation!G212+Allocation!G216+Allocation!G219</f>
        <v>37393230.61419341</v>
      </c>
      <c r="J27" s="362">
        <f>Allocation!G225+Allocation!G228</f>
        <v>18688874.962648217</v>
      </c>
      <c r="K27" s="269">
        <f>SUM(E27:J27)</f>
        <v>287977479.04383886</v>
      </c>
      <c r="L27" s="201" t="str">
        <f>IF(ABS(K27-D27)&lt;0.01,"ok","err")</f>
        <v>ok</v>
      </c>
    </row>
    <row r="28" spans="1:12">
      <c r="A28" s="202" t="s">
        <v>1210</v>
      </c>
      <c r="B28" s="206" t="s">
        <v>1071</v>
      </c>
      <c r="C28" s="200"/>
      <c r="D28" s="349">
        <f>Allocation!G775</f>
        <v>66956528.663069092</v>
      </c>
      <c r="E28" s="358">
        <f>Allocation!G302</f>
        <v>32589861.887140639</v>
      </c>
      <c r="F28" s="358">
        <v>0</v>
      </c>
      <c r="G28" s="358">
        <f>Allocation!G308</f>
        <v>5230791.5018595681</v>
      </c>
      <c r="H28" s="358">
        <f>Allocation!G314+Allocation!G318+Allocation!G320+Allocation!G325</f>
        <v>10666046.542608526</v>
      </c>
      <c r="I28" s="358">
        <f>Allocation!G319+Allocation!G321+Allocation!G326+Allocation!G330+Allocation!G333</f>
        <v>18469828.731460355</v>
      </c>
      <c r="J28" s="358">
        <v>0</v>
      </c>
      <c r="K28" s="269">
        <f>SUM(E28:J28)</f>
        <v>66956528.663069092</v>
      </c>
      <c r="L28" s="201" t="str">
        <f>IF(ABS(K28-D28)&lt;0.01,"ok","err")</f>
        <v>ok</v>
      </c>
    </row>
    <row r="29" spans="1:12">
      <c r="A29" s="202" t="s">
        <v>1211</v>
      </c>
      <c r="B29" s="206" t="s">
        <v>1212</v>
      </c>
      <c r="C29" s="200"/>
      <c r="D29" s="349">
        <f>Allocation!G780+Allocation!G781</f>
        <v>15333621.874158604</v>
      </c>
      <c r="E29" s="358">
        <f>Allocation!G417+Allocation!G474+Allocation!G359+Allocation!G531+Allocation!G589</f>
        <v>6986846.9336919747</v>
      </c>
      <c r="F29" s="358">
        <f>Allocation!G356+Allocation!G357+Allocation!G358+Allocation!G414+Allocation!G415+Allocation!G416+Allocation!G471+Allocation!G472+Allocation!G473+Allocation!G528+Allocation!G529+Allocation!G530+Allocation!G586+Allocation!G587+Allocation!G588</f>
        <v>0</v>
      </c>
      <c r="G29" s="358">
        <f>Allocation!G365+Allocation!G423+Allocation!G480+Allocation!G537+Allocation!G595</f>
        <v>1492320.7842309314</v>
      </c>
      <c r="H29" s="358">
        <f>Allocation!G371+Allocation!G375+Allocation!G377+Allocation!G382+Allocation!G429+Allocation!G433+Allocation!G435+Allocation!G440+Allocation!G486+Allocation!G490+Allocation!G492+Allocation!G497+Allocation!G543+Allocation!G547+Allocation!G549+Allocation!G554+Allocation!G601+Allocation!G605+Allocation!G607+Allocation!G612</f>
        <v>2509275.1244598692</v>
      </c>
      <c r="I29" s="358">
        <f>Allocation!G376+Allocation!G378+Allocation!G383+Allocation!G387+Allocation!G391+Allocation!G434+Allocation!G436+Allocation!G441+Allocation!G445+Allocation!G448+Allocation!G491+Allocation!G493+Allocation!G498+Allocation!G502+Allocation!G505+Allocation!G548+Allocation!G550+Allocation!G555+Allocation!G559+Allocation!G562+Allocation!G606+Allocation!G608+Allocation!G613+Allocation!G617+Allocation!G620</f>
        <v>4345179.0317758312</v>
      </c>
      <c r="J29" s="358">
        <v>0</v>
      </c>
      <c r="K29" s="269">
        <f>SUM(E29:J29)</f>
        <v>15333621.874158606</v>
      </c>
      <c r="L29" s="201" t="str">
        <f>IF(ABS(K29-D29)&lt;0.01,"ok","err")</f>
        <v>ok</v>
      </c>
    </row>
    <row r="30" spans="1:12">
      <c r="A30" s="202" t="s">
        <v>1213</v>
      </c>
      <c r="B30" s="206" t="s">
        <v>1240</v>
      </c>
      <c r="C30" s="200"/>
      <c r="D30" s="260">
        <f>Allocation!G717+Allocation!G718</f>
        <v>0</v>
      </c>
      <c r="E30" s="357">
        <f t="shared" ref="E30:J30" si="7">$D$30*(E13/$K$13)</f>
        <v>0</v>
      </c>
      <c r="F30" s="357">
        <f t="shared" si="7"/>
        <v>0</v>
      </c>
      <c r="G30" s="357">
        <f t="shared" si="7"/>
        <v>0</v>
      </c>
      <c r="H30" s="357">
        <f t="shared" si="7"/>
        <v>0</v>
      </c>
      <c r="I30" s="357">
        <f t="shared" si="7"/>
        <v>0</v>
      </c>
      <c r="J30" s="357">
        <f t="shared" si="7"/>
        <v>0</v>
      </c>
      <c r="K30" s="269">
        <f>SUM(E30:J30)</f>
        <v>0</v>
      </c>
      <c r="L30" s="201" t="str">
        <f>IF(ABS(K30-D30)&lt;0.01,"ok","err")</f>
        <v>ok</v>
      </c>
    </row>
    <row r="31" spans="1:12">
      <c r="A31" s="202" t="s">
        <v>1214</v>
      </c>
      <c r="B31" s="206" t="s">
        <v>1215</v>
      </c>
      <c r="C31" s="200"/>
      <c r="D31" s="260">
        <f>Allocation!G801</f>
        <v>0</v>
      </c>
      <c r="E31" s="357">
        <f>D31</f>
        <v>0</v>
      </c>
      <c r="F31" s="357">
        <v>0</v>
      </c>
      <c r="G31" s="357">
        <v>0</v>
      </c>
      <c r="H31" s="357">
        <v>0</v>
      </c>
      <c r="I31" s="357">
        <v>0</v>
      </c>
      <c r="J31" s="357">
        <v>0</v>
      </c>
      <c r="K31" s="269">
        <f>SUM(E31:J31)</f>
        <v>0</v>
      </c>
      <c r="L31" s="201" t="str">
        <f t="shared" ref="L31:L38" si="8">IF(ABS(K31-D31)&lt;0.01,"ok","err")</f>
        <v>ok</v>
      </c>
    </row>
    <row r="32" spans="1:12">
      <c r="A32" s="202" t="s">
        <v>1216</v>
      </c>
      <c r="B32" s="206" t="s">
        <v>1217</v>
      </c>
      <c r="C32" s="200"/>
      <c r="D32" s="260">
        <f>Allocation!G788+Allocation!G791+Allocation!G792</f>
        <v>0</v>
      </c>
      <c r="E32" s="357">
        <v>0</v>
      </c>
      <c r="F32" s="357">
        <f>D32</f>
        <v>0</v>
      </c>
      <c r="G32" s="357">
        <v>0</v>
      </c>
      <c r="H32" s="357">
        <v>0</v>
      </c>
      <c r="I32" s="357">
        <v>0</v>
      </c>
      <c r="J32" s="357">
        <v>0</v>
      </c>
      <c r="K32" s="269">
        <f t="shared" ref="K32:K38" si="9">SUM(E32:J32)</f>
        <v>0</v>
      </c>
      <c r="L32" s="201" t="str">
        <f t="shared" si="8"/>
        <v>ok</v>
      </c>
    </row>
    <row r="33" spans="1:12">
      <c r="A33" s="202" t="s">
        <v>1218</v>
      </c>
      <c r="B33" s="206" t="s">
        <v>1219</v>
      </c>
      <c r="C33" s="200"/>
      <c r="D33" s="260">
        <f>Allocation!G799+Allocation!G802</f>
        <v>0</v>
      </c>
      <c r="E33" s="357">
        <v>0</v>
      </c>
      <c r="F33" s="357">
        <v>0</v>
      </c>
      <c r="G33" s="357">
        <f>D33</f>
        <v>0</v>
      </c>
      <c r="H33" s="357">
        <v>0</v>
      </c>
      <c r="I33" s="357">
        <v>0</v>
      </c>
      <c r="J33" s="357">
        <v>0</v>
      </c>
      <c r="K33" s="269">
        <f t="shared" si="9"/>
        <v>0</v>
      </c>
      <c r="L33" s="201" t="str">
        <f t="shared" si="8"/>
        <v>ok</v>
      </c>
    </row>
    <row r="34" spans="1:12">
      <c r="A34" s="202" t="s">
        <v>1220</v>
      </c>
      <c r="B34" s="206" t="s">
        <v>1221</v>
      </c>
      <c r="C34" s="200"/>
      <c r="D34" s="260">
        <f>Allocation!G793</f>
        <v>0</v>
      </c>
      <c r="E34" s="357">
        <v>0</v>
      </c>
      <c r="F34" s="357">
        <v>0</v>
      </c>
      <c r="G34" s="357">
        <v>0</v>
      </c>
      <c r="H34" s="357">
        <f>(H13/($I$13+$H$13)*$D$34)</f>
        <v>0</v>
      </c>
      <c r="I34" s="357">
        <f>(I13/($I$13+$H$13)*$D$34)</f>
        <v>0</v>
      </c>
      <c r="J34" s="357">
        <v>0</v>
      </c>
      <c r="K34" s="269">
        <f t="shared" si="9"/>
        <v>0</v>
      </c>
      <c r="L34" s="201" t="str">
        <f t="shared" si="8"/>
        <v>ok</v>
      </c>
    </row>
    <row r="35" spans="1:12">
      <c r="A35" s="207" t="s">
        <v>1222</v>
      </c>
      <c r="B35" s="206" t="s">
        <v>1223</v>
      </c>
      <c r="C35" s="200"/>
      <c r="D35" s="349">
        <f>Allocation!G800+Allocation!G813+Allocation!G976+Allocation!G977-Allocation!G966</f>
        <v>-297350.18116601103</v>
      </c>
      <c r="E35" s="357">
        <f t="shared" ref="E35:J35" si="10">(E13/($D$13)*$D$35)</f>
        <v>-132960.33202113523</v>
      </c>
      <c r="F35" s="357">
        <f t="shared" si="10"/>
        <v>-4797.651878944258</v>
      </c>
      <c r="G35" s="357">
        <f t="shared" si="10"/>
        <v>-28900.757810543015</v>
      </c>
      <c r="H35" s="357">
        <f t="shared" si="10"/>
        <v>-47604.297654847906</v>
      </c>
      <c r="I35" s="357">
        <f t="shared" si="10"/>
        <v>-82491.533120025939</v>
      </c>
      <c r="J35" s="357">
        <f t="shared" si="10"/>
        <v>-595.6086805146432</v>
      </c>
      <c r="K35" s="269">
        <f t="shared" si="9"/>
        <v>-297350.18116601097</v>
      </c>
      <c r="L35" s="201" t="str">
        <f t="shared" si="8"/>
        <v>ok</v>
      </c>
    </row>
    <row r="36" spans="1:12">
      <c r="A36" s="207" t="s">
        <v>1224</v>
      </c>
      <c r="B36" s="206" t="s">
        <v>1373</v>
      </c>
      <c r="C36" s="353"/>
      <c r="D36" s="349">
        <f>-Allocation!G767-Allocation!G965</f>
        <v>2508690.1700856597</v>
      </c>
      <c r="E36" s="357">
        <f>D36</f>
        <v>2508690.1700856597</v>
      </c>
      <c r="F36" s="357">
        <v>0</v>
      </c>
      <c r="G36" s="357">
        <v>0</v>
      </c>
      <c r="H36" s="357">
        <v>0</v>
      </c>
      <c r="I36" s="357">
        <v>0</v>
      </c>
      <c r="J36" s="357">
        <v>0</v>
      </c>
      <c r="K36" s="269">
        <f t="shared" si="9"/>
        <v>2508690.1700856597</v>
      </c>
      <c r="L36" s="201" t="str">
        <f t="shared" si="8"/>
        <v>ok</v>
      </c>
    </row>
    <row r="37" spans="1:12">
      <c r="A37" s="202"/>
      <c r="B37" s="206"/>
      <c r="D37" s="262"/>
      <c r="E37" s="223"/>
      <c r="F37" s="223"/>
      <c r="G37" s="223"/>
      <c r="H37" s="223"/>
      <c r="I37" s="223"/>
      <c r="J37" s="223"/>
      <c r="K37" s="269"/>
      <c r="L37" s="201"/>
    </row>
    <row r="38" spans="1:12" s="44" customFormat="1">
      <c r="A38" s="202" t="s">
        <v>1225</v>
      </c>
      <c r="B38" s="206" t="s">
        <v>1374</v>
      </c>
      <c r="C38" s="200"/>
      <c r="D38" s="262">
        <f t="shared" ref="D38:J38" si="11">SUM(D31:D36)</f>
        <v>2211339.9889196488</v>
      </c>
      <c r="E38" s="346">
        <f t="shared" si="11"/>
        <v>2375729.8380645243</v>
      </c>
      <c r="F38" s="346">
        <f t="shared" si="11"/>
        <v>-4797.651878944258</v>
      </c>
      <c r="G38" s="346">
        <f t="shared" si="11"/>
        <v>-28900.757810543015</v>
      </c>
      <c r="H38" s="346">
        <f t="shared" si="11"/>
        <v>-47604.297654847906</v>
      </c>
      <c r="I38" s="346">
        <f t="shared" si="11"/>
        <v>-82491.533120025939</v>
      </c>
      <c r="J38" s="346">
        <f t="shared" si="11"/>
        <v>-595.6086805146432</v>
      </c>
      <c r="K38" s="269">
        <f t="shared" si="9"/>
        <v>2211339.9889196488</v>
      </c>
      <c r="L38" s="201" t="str">
        <f t="shared" si="8"/>
        <v>ok</v>
      </c>
    </row>
    <row r="39" spans="1:12">
      <c r="A39" s="205"/>
      <c r="B39" s="206"/>
      <c r="C39" s="203"/>
      <c r="D39" s="222"/>
      <c r="E39" s="225"/>
      <c r="F39" s="225"/>
      <c r="G39" s="225"/>
      <c r="H39" s="225"/>
      <c r="I39" s="225"/>
      <c r="J39" s="225"/>
      <c r="K39" s="269"/>
      <c r="L39" s="204"/>
    </row>
    <row r="40" spans="1:12" s="44" customFormat="1">
      <c r="A40" s="202" t="s">
        <v>1227</v>
      </c>
      <c r="B40" s="206" t="s">
        <v>1226</v>
      </c>
      <c r="C40" s="208"/>
      <c r="D40" s="262">
        <f t="shared" ref="D40:J40" si="12">SUM(D27:D30)+D21+D25+D38+D23</f>
        <v>493163223.23983002</v>
      </c>
      <c r="E40" s="362">
        <f t="shared" si="12"/>
        <v>133995532.65201466</v>
      </c>
      <c r="F40" s="362">
        <f t="shared" si="12"/>
        <v>170364907.35562614</v>
      </c>
      <c r="G40" s="362">
        <f t="shared" si="12"/>
        <v>28267984.305624828</v>
      </c>
      <c r="H40" s="362">
        <f t="shared" si="12"/>
        <v>47998547.779782854</v>
      </c>
      <c r="I40" s="362">
        <f t="shared" si="12"/>
        <v>93606234.630235627</v>
      </c>
      <c r="J40" s="362">
        <f t="shared" si="12"/>
        <v>18930016.516545914</v>
      </c>
      <c r="K40" s="269">
        <f>SUM(E40:J40)</f>
        <v>493163223.23982996</v>
      </c>
      <c r="L40" s="201" t="str">
        <f>IF(ABS(K40-D40)&lt;0.01,"ok","err")</f>
        <v>ok</v>
      </c>
    </row>
    <row r="41" spans="1:12">
      <c r="A41" s="205"/>
      <c r="B41" s="206"/>
      <c r="C41" s="203"/>
      <c r="D41" s="263"/>
      <c r="E41" s="225"/>
      <c r="F41" s="225"/>
      <c r="G41" s="225"/>
      <c r="H41" s="225"/>
      <c r="I41" s="225"/>
      <c r="J41" s="225"/>
      <c r="K41" s="269"/>
      <c r="L41" s="204"/>
    </row>
    <row r="42" spans="1:12">
      <c r="A42" s="202" t="s">
        <v>1228</v>
      </c>
      <c r="B42" s="206" t="s">
        <v>1382</v>
      </c>
      <c r="C42" s="203"/>
      <c r="D42" s="262">
        <f>-Allocation!G703</f>
        <v>1781296.7047978356</v>
      </c>
      <c r="E42" s="298">
        <f>D42</f>
        <v>1781296.7047978356</v>
      </c>
      <c r="F42" s="298"/>
      <c r="G42" s="298"/>
      <c r="H42" s="298"/>
      <c r="I42" s="298"/>
      <c r="J42" s="298"/>
      <c r="K42" s="269">
        <f>SUM(E42:J42)</f>
        <v>1781296.7047978356</v>
      </c>
      <c r="L42" s="201" t="str">
        <f>IF(ABS(K42-D42)&lt;0.01,"ok","err")</f>
        <v>ok</v>
      </c>
    </row>
    <row r="43" spans="1:12">
      <c r="A43" s="202" t="s">
        <v>1230</v>
      </c>
      <c r="B43" s="206" t="s">
        <v>1229</v>
      </c>
      <c r="C43" s="200"/>
      <c r="D43" s="349">
        <f>-(Allocation!G699+Allocation!G700+Allocation!G701+Allocation!G702)</f>
        <v>-15545979.971223349</v>
      </c>
      <c r="E43" s="358">
        <v>0</v>
      </c>
      <c r="F43" s="358">
        <f>D43</f>
        <v>-15545979.971223349</v>
      </c>
      <c r="G43" s="358">
        <v>0</v>
      </c>
      <c r="H43" s="358">
        <v>0</v>
      </c>
      <c r="I43" s="358">
        <v>0</v>
      </c>
      <c r="J43" s="358">
        <v>0</v>
      </c>
      <c r="K43" s="269">
        <f>SUM(E43:J43)</f>
        <v>-15545979.971223349</v>
      </c>
      <c r="L43" s="201" t="str">
        <f>IF(ABS(K43-D43)&lt;0.01,"ok","err")</f>
        <v>ok</v>
      </c>
    </row>
    <row r="44" spans="1:12">
      <c r="A44" s="202" t="s">
        <v>1232</v>
      </c>
      <c r="B44" s="206" t="s">
        <v>1231</v>
      </c>
      <c r="C44" s="200"/>
      <c r="D44" s="350">
        <f>-(Allocation!G698+Allocation!G704+Allocation!G705+Allocation!G706+Allocation!G707)</f>
        <v>-13024237.895957291</v>
      </c>
      <c r="E44" s="358">
        <f>-(Allocation!G698)-(E13/($D$13)*(Allocation!G704+Allocation!G705+Allocation!G706+Allocation!G707))</f>
        <v>-5823796.6702361573</v>
      </c>
      <c r="F44" s="358">
        <f>(F13/($D$13)*-(Allocation!G704+Allocation!G705+Allocation!G706+Allocation!G707))</f>
        <v>-210141.99207254098</v>
      </c>
      <c r="G44" s="358">
        <f>(G13/($D$13)*-(Allocation!G704+Allocation!G705+Allocation!G706+Allocation!G707))</f>
        <v>-1265882.3466053568</v>
      </c>
      <c r="H44" s="358">
        <f>(H13/($D$13)*-(Allocation!G704+Allocation!G705+Allocation!G706+Allocation!G707))</f>
        <v>-2085116.2595409639</v>
      </c>
      <c r="I44" s="358">
        <f>(I13/($D$13)*-(Allocation!G704+Allocation!G705+Allocation!G706+Allocation!G707))</f>
        <v>-3613212.3664576639</v>
      </c>
      <c r="J44" s="358">
        <f>(J13/($D$13)*-(Allocation!G704+Allocation!G705+Allocation!G706+Allocation!G707))</f>
        <v>-26088.261044606515</v>
      </c>
      <c r="K44" s="269">
        <f>SUM(E44:J44)</f>
        <v>-13024237.895957289</v>
      </c>
      <c r="L44" s="201" t="str">
        <f>IF(ABS(K44-D44)&lt;0.01,"ok","err")</f>
        <v>ok</v>
      </c>
    </row>
    <row r="45" spans="1:12">
      <c r="A45" s="202" t="s">
        <v>1234</v>
      </c>
      <c r="B45" s="206" t="s">
        <v>1233</v>
      </c>
      <c r="C45" s="200"/>
      <c r="D45" s="350">
        <f>SUM(D42:D44)</f>
        <v>-26788921.162382804</v>
      </c>
      <c r="E45" s="146">
        <f>SUM(E42:E44)</f>
        <v>-4042499.9654383217</v>
      </c>
      <c r="F45" s="146">
        <f>SUM(F43:F44)</f>
        <v>-15756121.96329589</v>
      </c>
      <c r="G45" s="146">
        <f>SUM(G43:G44)</f>
        <v>-1265882.3466053568</v>
      </c>
      <c r="H45" s="146">
        <f>SUM(H43:H44)</f>
        <v>-2085116.2595409639</v>
      </c>
      <c r="I45" s="146">
        <f>SUM(I43:I44)</f>
        <v>-3613212.3664576639</v>
      </c>
      <c r="J45" s="146">
        <f>SUM(J43:J44)</f>
        <v>-26088.261044606515</v>
      </c>
      <c r="K45" s="269">
        <f>SUM(E45:J45)</f>
        <v>-26788921.162382804</v>
      </c>
      <c r="L45" s="201" t="str">
        <f>IF(ABS(K45-D45)&lt;0.01,"ok","err")</f>
        <v>ok</v>
      </c>
    </row>
    <row r="46" spans="1:12">
      <c r="A46" s="205"/>
      <c r="B46" s="206"/>
      <c r="D46" s="264"/>
      <c r="E46" s="225"/>
      <c r="F46" s="225"/>
      <c r="G46" s="225"/>
      <c r="H46" s="225"/>
      <c r="I46" s="225"/>
      <c r="J46" s="225"/>
      <c r="K46" s="269"/>
      <c r="L46" s="204"/>
    </row>
    <row r="47" spans="1:12">
      <c r="A47" s="202" t="s">
        <v>1236</v>
      </c>
      <c r="B47" s="206" t="s">
        <v>1235</v>
      </c>
      <c r="C47" s="209">
        <f>Allocation!G968-SUM(Allocation!G698:G707)-Allocation!G767-Allocation!G965-Allocation!G966</f>
        <v>466374302.07744718</v>
      </c>
      <c r="D47" s="262">
        <f t="shared" ref="D47:J47" si="13">D40+D45</f>
        <v>466374302.07744724</v>
      </c>
      <c r="E47" s="346">
        <f t="shared" si="13"/>
        <v>129953032.68657634</v>
      </c>
      <c r="F47" s="346">
        <f t="shared" si="13"/>
        <v>154608785.39233026</v>
      </c>
      <c r="G47" s="346">
        <f t="shared" si="13"/>
        <v>27002101.959019471</v>
      </c>
      <c r="H47" s="346">
        <f t="shared" si="13"/>
        <v>45913431.520241886</v>
      </c>
      <c r="I47" s="346">
        <f t="shared" si="13"/>
        <v>89993022.263777956</v>
      </c>
      <c r="J47" s="346">
        <f t="shared" si="13"/>
        <v>18903928.255501308</v>
      </c>
      <c r="K47" s="269">
        <f>SUM(E47:J47)</f>
        <v>466374302.07744724</v>
      </c>
      <c r="L47" s="201" t="str">
        <f>IF(ABS(K47-D47)&lt;0.01,"ok","err")</f>
        <v>ok</v>
      </c>
    </row>
    <row r="48" spans="1:12">
      <c r="A48" s="205"/>
      <c r="B48" s="206"/>
      <c r="C48" s="203"/>
      <c r="D48" s="265"/>
      <c r="E48" s="225"/>
      <c r="F48" s="225"/>
      <c r="G48" s="225"/>
      <c r="H48" s="225"/>
      <c r="I48" s="225"/>
      <c r="J48" s="225"/>
      <c r="K48" s="269"/>
      <c r="L48" s="204"/>
    </row>
    <row r="49" spans="1:12">
      <c r="A49" s="202" t="s">
        <v>1238</v>
      </c>
      <c r="B49" s="206" t="s">
        <v>1237</v>
      </c>
      <c r="C49" s="200"/>
      <c r="D49" s="266"/>
      <c r="E49" s="359">
        <f>Allocation!G1006</f>
        <v>4180088831</v>
      </c>
      <c r="F49" s="359">
        <f>Allocation!G1006</f>
        <v>4180088831</v>
      </c>
      <c r="G49" s="359">
        <f>Allocation!G1006</f>
        <v>4180088831</v>
      </c>
      <c r="H49" s="359">
        <f>Allocation!G1006</f>
        <v>4180088831</v>
      </c>
      <c r="I49" s="359">
        <f>Allocation!$G$1022*12</f>
        <v>4369310</v>
      </c>
      <c r="J49" s="359">
        <f>Allocation!$G$1022*12</f>
        <v>4369310</v>
      </c>
      <c r="K49" s="258"/>
      <c r="L49" s="204"/>
    </row>
    <row r="50" spans="1:12" ht="15.75" thickBot="1">
      <c r="A50" s="205"/>
      <c r="B50" s="206"/>
      <c r="C50" s="203"/>
      <c r="D50" s="264"/>
      <c r="E50" s="69"/>
      <c r="F50" s="69"/>
      <c r="G50" s="69"/>
      <c r="H50" s="69"/>
      <c r="I50" s="69"/>
      <c r="J50" s="69"/>
      <c r="K50" s="258"/>
      <c r="L50" s="204"/>
    </row>
    <row r="51" spans="1:12" ht="15.75" thickBot="1">
      <c r="A51" s="210" t="s">
        <v>1375</v>
      </c>
      <c r="B51" s="368" t="s">
        <v>1239</v>
      </c>
      <c r="C51" s="211"/>
      <c r="D51" s="267"/>
      <c r="E51" s="360">
        <f t="shared" ref="E51:J51" si="14">E47/E49</f>
        <v>3.108858159253227E-2</v>
      </c>
      <c r="F51" s="360">
        <f t="shared" si="14"/>
        <v>3.6986961675487477E-2</v>
      </c>
      <c r="G51" s="360">
        <f t="shared" si="14"/>
        <v>6.4596957267436285E-3</v>
      </c>
      <c r="H51" s="360">
        <f t="shared" si="14"/>
        <v>1.0983841103983918E-2</v>
      </c>
      <c r="I51" s="361">
        <f t="shared" si="14"/>
        <v>20.596621037138121</v>
      </c>
      <c r="J51" s="361">
        <f t="shared" si="14"/>
        <v>4.3265248415656723</v>
      </c>
      <c r="K51" s="369">
        <f>I51+J51</f>
        <v>24.923145878703792</v>
      </c>
      <c r="L51" s="212"/>
    </row>
    <row r="52" spans="1:12" ht="15.75" thickBot="1"/>
    <row r="53" spans="1:12" ht="15.75" thickBot="1">
      <c r="J53" s="372" t="s">
        <v>1362</v>
      </c>
      <c r="K53" s="373">
        <f>I51+J51</f>
        <v>24.923145878703792</v>
      </c>
    </row>
    <row r="54" spans="1:12" ht="15.75" thickBot="1">
      <c r="J54" s="372" t="s">
        <v>1376</v>
      </c>
      <c r="K54" s="374">
        <f>E51+G51+H51</f>
        <v>4.8532118423259822E-2</v>
      </c>
    </row>
    <row r="55" spans="1:12" ht="15.75" thickBot="1">
      <c r="J55" s="372" t="s">
        <v>1384</v>
      </c>
      <c r="K55" s="374">
        <f>K65</f>
        <v>6.9100000000000003E-3</v>
      </c>
    </row>
    <row r="56" spans="1:12" ht="15.75" thickBot="1">
      <c r="J56" s="372" t="s">
        <v>1383</v>
      </c>
      <c r="K56" s="374">
        <f>K54+K55</f>
        <v>5.5442118423259822E-2</v>
      </c>
    </row>
    <row r="57" spans="1:12" ht="15.75" thickBot="1">
      <c r="J57" s="372" t="s">
        <v>1361</v>
      </c>
      <c r="K57" s="374">
        <f>F51</f>
        <v>3.6986961675487477E-2</v>
      </c>
    </row>
    <row r="58" spans="1:12">
      <c r="D58" s="251"/>
      <c r="E58" s="4">
        <f>G58*0.8187</f>
        <v>9032214.955106765</v>
      </c>
      <c r="F58" s="295"/>
      <c r="G58" s="4">
        <v>11032386.655804038</v>
      </c>
      <c r="H58" s="4">
        <f>G58</f>
        <v>11032386.655804038</v>
      </c>
    </row>
    <row r="59" spans="1:12">
      <c r="D59" s="251"/>
      <c r="E59" s="19"/>
      <c r="I59" s="19"/>
    </row>
    <row r="60" spans="1:12">
      <c r="E60" s="370">
        <f>E47/E58</f>
        <v>14.387725860432672</v>
      </c>
      <c r="G60" s="370">
        <f>G47/G58</f>
        <v>2.4475304212451539</v>
      </c>
      <c r="H60" s="370">
        <f>H47/H58</f>
        <v>4.1616952843188511</v>
      </c>
    </row>
    <row r="61" spans="1:12">
      <c r="I61" s="7"/>
      <c r="J61" s="225"/>
      <c r="K61" s="342"/>
    </row>
    <row r="62" spans="1:12">
      <c r="E62" s="352">
        <v>1.58391817114398</v>
      </c>
      <c r="G62" s="352">
        <v>1.58391817114398</v>
      </c>
      <c r="H62" s="352">
        <v>1.58391817114398</v>
      </c>
      <c r="J62" s="351" t="s">
        <v>1370</v>
      </c>
      <c r="K62" s="293">
        <v>22</v>
      </c>
    </row>
    <row r="63" spans="1:12">
      <c r="J63" s="351" t="s">
        <v>1371</v>
      </c>
      <c r="K63" s="35">
        <f>(K53-K62)*I49</f>
        <v>12772130.519279266</v>
      </c>
    </row>
    <row r="64" spans="1:12">
      <c r="E64" s="371">
        <f>E60/E62</f>
        <v>9.0836295223768921</v>
      </c>
      <c r="G64" s="371">
        <f>G60/G62</f>
        <v>1.5452379206417164</v>
      </c>
      <c r="H64" s="371">
        <f>H60/H62</f>
        <v>2.6274686155744269</v>
      </c>
      <c r="J64" s="351" t="s">
        <v>1372</v>
      </c>
      <c r="K64" s="355">
        <f>K63/H49</f>
        <v>3.0554686839570815E-3</v>
      </c>
    </row>
    <row r="65" spans="10:12">
      <c r="J65" s="351" t="s">
        <v>1378</v>
      </c>
      <c r="K65">
        <v>6.9100000000000003E-3</v>
      </c>
    </row>
    <row r="66" spans="10:12">
      <c r="J66" s="351" t="s">
        <v>1379</v>
      </c>
      <c r="K66" s="354">
        <f>K64+K65+K54</f>
        <v>5.8497587107216906E-2</v>
      </c>
      <c r="L66" s="354">
        <f>K66+K57</f>
        <v>9.5484548782704376E-2</v>
      </c>
    </row>
  </sheetData>
  <mergeCells count="6">
    <mergeCell ref="E8:F8"/>
    <mergeCell ref="H8:I8"/>
    <mergeCell ref="A1:K1"/>
    <mergeCell ref="A3:K3"/>
    <mergeCell ref="A4:K4"/>
    <mergeCell ref="A6:K6"/>
  </mergeCells>
  <pageMargins left="0.7" right="0.7" top="0.75" bottom="0.75" header="0.3" footer="0.3"/>
  <pageSetup scale="58" orientation="landscape" r:id="rId1"/>
  <headerFooter>
    <oddHeader>&amp;R&amp;"Times New Roman,Bold"&amp;12Exhibit WSS-2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="75" workbookViewId="0"/>
  </sheetViews>
  <sheetFormatPr defaultColWidth="9.140625" defaultRowHeight="15"/>
  <cols>
    <col min="1" max="1" width="9.140625" style="91"/>
    <col min="2" max="2" width="56.5703125" style="91" customWidth="1"/>
    <col min="3" max="3" width="12" bestFit="1" customWidth="1"/>
    <col min="4" max="4" width="13.7109375" style="91" bestFit="1" customWidth="1"/>
    <col min="5" max="5" width="16.140625" style="91" bestFit="1" customWidth="1"/>
    <col min="6" max="6" width="14.85546875" style="91" customWidth="1"/>
    <col min="7" max="11" width="9.140625" style="91"/>
    <col min="12" max="12" width="17.28515625" style="91" customWidth="1"/>
    <col min="13" max="13" width="13" style="91" customWidth="1"/>
    <col min="14" max="16384" width="9.140625" style="91"/>
  </cols>
  <sheetData>
    <row r="1" spans="1:20">
      <c r="A1" s="90" t="s">
        <v>617</v>
      </c>
    </row>
    <row r="2" spans="1:20">
      <c r="A2" s="91" t="s">
        <v>707</v>
      </c>
    </row>
    <row r="6" spans="1:20" ht="12.75">
      <c r="C6" s="92" t="s">
        <v>181</v>
      </c>
      <c r="D6" s="92" t="s">
        <v>1322</v>
      </c>
      <c r="E6" s="104" t="s">
        <v>922</v>
      </c>
      <c r="F6" s="90"/>
    </row>
    <row r="7" spans="1:20" ht="12.75">
      <c r="C7" s="105" t="s">
        <v>1298</v>
      </c>
      <c r="D7" s="105" t="s">
        <v>870</v>
      </c>
      <c r="E7" s="104" t="s">
        <v>181</v>
      </c>
      <c r="F7" s="104" t="s">
        <v>1085</v>
      </c>
    </row>
    <row r="8" spans="1:20" ht="13.5" thickBot="1">
      <c r="C8" s="96" t="s">
        <v>146</v>
      </c>
      <c r="D8" s="96" t="s">
        <v>144</v>
      </c>
      <c r="E8" s="106" t="s">
        <v>146</v>
      </c>
      <c r="F8" s="106" t="s">
        <v>696</v>
      </c>
    </row>
    <row r="9" spans="1:20">
      <c r="D9" s="89"/>
      <c r="F9" s="97"/>
    </row>
    <row r="10" spans="1:20">
      <c r="A10" s="31" t="s">
        <v>1278</v>
      </c>
      <c r="C10" s="238">
        <v>280.66427755499996</v>
      </c>
      <c r="D10" s="107">
        <f>'Billing Det'!B8</f>
        <v>364109.16666666669</v>
      </c>
      <c r="E10" s="99">
        <f>C10*D10</f>
        <v>102192436.21365307</v>
      </c>
      <c r="F10" s="98">
        <f>E10/$E$34</f>
        <v>0.76861640064540004</v>
      </c>
    </row>
    <row r="11" spans="1:20">
      <c r="C11" s="239"/>
      <c r="D11" s="107"/>
      <c r="E11" s="99"/>
      <c r="F11" s="98"/>
      <c r="O11" s="90"/>
      <c r="P11" s="90"/>
      <c r="Q11" s="90"/>
      <c r="R11" s="90"/>
      <c r="S11" s="90"/>
      <c r="T11" s="90"/>
    </row>
    <row r="12" spans="1:20">
      <c r="A12" s="184" t="s">
        <v>1350</v>
      </c>
      <c r="C12" s="238">
        <v>568.53002703000004</v>
      </c>
      <c r="D12" s="107">
        <f>'Billing Det'!B10</f>
        <v>45237</v>
      </c>
      <c r="E12" s="99">
        <f>C12*D12</f>
        <v>25718592.832756113</v>
      </c>
      <c r="F12" s="98">
        <f>E12/$E$34</f>
        <v>0.19343635385547825</v>
      </c>
      <c r="O12" s="90"/>
      <c r="P12" s="90"/>
      <c r="Q12" s="90"/>
      <c r="R12" s="90"/>
      <c r="S12" s="90"/>
      <c r="T12" s="90"/>
    </row>
    <row r="13" spans="1:20">
      <c r="C13" s="239"/>
      <c r="D13" s="107"/>
      <c r="E13" s="99"/>
      <c r="F13" s="98"/>
      <c r="G13" s="90"/>
      <c r="H13" s="90"/>
      <c r="I13" s="90"/>
      <c r="J13" s="90"/>
    </row>
    <row r="14" spans="1:20">
      <c r="A14" s="214" t="s">
        <v>1178</v>
      </c>
      <c r="C14" s="238">
        <v>0</v>
      </c>
      <c r="D14" s="107">
        <f>'Billing Det'!B12</f>
        <v>72</v>
      </c>
      <c r="E14" s="99">
        <f>C14*D14</f>
        <v>0</v>
      </c>
      <c r="F14" s="98">
        <f>E14/$E$34</f>
        <v>0</v>
      </c>
    </row>
    <row r="15" spans="1:20">
      <c r="C15" s="239"/>
      <c r="D15" s="107"/>
      <c r="E15" s="99"/>
      <c r="F15" s="98"/>
    </row>
    <row r="16" spans="1:20">
      <c r="A16" s="214" t="s">
        <v>1179</v>
      </c>
      <c r="C16" s="238">
        <v>1588.7069839999999</v>
      </c>
      <c r="D16" s="107">
        <f>'Billing Det'!B14</f>
        <v>2824.1666666666665</v>
      </c>
      <c r="E16" s="99">
        <f>C16*D16</f>
        <v>4486773.3073133333</v>
      </c>
      <c r="F16" s="98">
        <f>E16/$E$34</f>
        <v>3.3746211341601155E-2</v>
      </c>
    </row>
    <row r="17" spans="1:6">
      <c r="C17" s="239"/>
      <c r="D17" s="107"/>
      <c r="E17" s="99"/>
      <c r="F17" s="98"/>
    </row>
    <row r="18" spans="1:6">
      <c r="A18" s="214" t="s">
        <v>1351</v>
      </c>
      <c r="C18" s="238">
        <v>0</v>
      </c>
      <c r="D18" s="107">
        <f>'Billing Det'!B16</f>
        <v>105.5</v>
      </c>
      <c r="E18" s="99">
        <f>C18*D18</f>
        <v>0</v>
      </c>
      <c r="F18" s="98">
        <f>E18/$E$34</f>
        <v>0</v>
      </c>
    </row>
    <row r="19" spans="1:6">
      <c r="C19" s="238"/>
      <c r="D19" s="107"/>
      <c r="E19" s="99"/>
      <c r="F19" s="98"/>
    </row>
    <row r="20" spans="1:6">
      <c r="A20" s="214" t="s">
        <v>1323</v>
      </c>
      <c r="C20" s="238">
        <v>2023.7470845</v>
      </c>
      <c r="D20" s="107">
        <f>'Billing Det'!B18</f>
        <v>276</v>
      </c>
      <c r="E20" s="99">
        <f>C20*D20</f>
        <v>558554.19532199996</v>
      </c>
      <c r="F20" s="98">
        <f>E20/$E$34</f>
        <v>4.2010341575204205E-3</v>
      </c>
    </row>
    <row r="21" spans="1:6">
      <c r="C21" s="239"/>
      <c r="D21" s="107"/>
      <c r="E21" s="99"/>
      <c r="F21" s="98"/>
    </row>
    <row r="22" spans="1:6">
      <c r="A22" s="214" t="s">
        <v>1180</v>
      </c>
      <c r="C22" s="238">
        <v>0</v>
      </c>
      <c r="D22" s="107">
        <f>'Billing Det'!B20</f>
        <v>13</v>
      </c>
      <c r="E22" s="99">
        <f>C22*D22</f>
        <v>0</v>
      </c>
      <c r="F22" s="98">
        <f>E22/$E$34</f>
        <v>0</v>
      </c>
    </row>
    <row r="23" spans="1:6">
      <c r="C23" s="239"/>
      <c r="D23" s="107"/>
      <c r="E23" s="99"/>
      <c r="F23" s="98"/>
    </row>
    <row r="24" spans="1:6">
      <c r="A24" s="214" t="s">
        <v>1345</v>
      </c>
      <c r="C24" s="238">
        <v>0</v>
      </c>
      <c r="D24" s="107">
        <f>'Billing Det'!B22</f>
        <v>1</v>
      </c>
      <c r="E24" s="99">
        <f>C24*D24</f>
        <v>0</v>
      </c>
      <c r="F24" s="98">
        <f>E24/$E$34</f>
        <v>0</v>
      </c>
    </row>
    <row r="25" spans="1:6">
      <c r="C25" s="239"/>
      <c r="D25" s="107"/>
      <c r="E25" s="99"/>
      <c r="F25" s="98"/>
    </row>
    <row r="26" spans="1:6">
      <c r="A26" s="214" t="s">
        <v>1348</v>
      </c>
      <c r="C26" s="238">
        <v>0</v>
      </c>
      <c r="D26" s="107">
        <f>'Billing Det'!B24</f>
        <v>1</v>
      </c>
      <c r="E26" s="99">
        <f>C26*D26</f>
        <v>0</v>
      </c>
      <c r="F26" s="98">
        <f>E26/$E$34</f>
        <v>0</v>
      </c>
    </row>
    <row r="27" spans="1:6">
      <c r="C27" s="239"/>
      <c r="D27" s="107"/>
      <c r="E27" s="99"/>
      <c r="F27" s="98"/>
    </row>
    <row r="28" spans="1:6">
      <c r="A28" s="184" t="s">
        <v>1292</v>
      </c>
      <c r="C28" s="238">
        <v>0</v>
      </c>
      <c r="D28" s="107">
        <f>'Billing Det'!B26</f>
        <v>86402</v>
      </c>
      <c r="E28" s="99">
        <f>C28*D28</f>
        <v>0</v>
      </c>
      <c r="F28" s="98">
        <f>E28/$E$34</f>
        <v>0</v>
      </c>
    </row>
    <row r="29" spans="1:6">
      <c r="C29" s="239"/>
      <c r="D29" s="107"/>
      <c r="E29" s="99"/>
      <c r="F29" s="98"/>
    </row>
    <row r="30" spans="1:6">
      <c r="A30" s="214" t="s">
        <v>1181</v>
      </c>
      <c r="C30" s="238">
        <v>0</v>
      </c>
      <c r="D30" s="107">
        <f>'Billing Det'!B28</f>
        <v>165</v>
      </c>
      <c r="E30" s="99">
        <f>C30*D30</f>
        <v>0</v>
      </c>
      <c r="F30" s="98">
        <f>E30/$E$34</f>
        <v>0</v>
      </c>
    </row>
    <row r="31" spans="1:6">
      <c r="C31" s="239"/>
      <c r="D31" s="107"/>
      <c r="E31" s="99"/>
      <c r="F31" s="98"/>
    </row>
    <row r="32" spans="1:6">
      <c r="A32" s="184" t="s">
        <v>635</v>
      </c>
      <c r="C32" s="238">
        <v>0</v>
      </c>
      <c r="D32" s="107">
        <f>'Billing Det'!B30</f>
        <v>905</v>
      </c>
      <c r="E32" s="99">
        <f>C32*D32</f>
        <v>0</v>
      </c>
      <c r="F32" s="98">
        <f>E32/$E$34</f>
        <v>0</v>
      </c>
    </row>
    <row r="33" spans="1:13" ht="12.75">
      <c r="A33" s="100"/>
      <c r="B33" s="101"/>
      <c r="C33" s="101"/>
      <c r="D33" s="108"/>
      <c r="E33" s="102"/>
      <c r="F33" s="103"/>
    </row>
    <row r="34" spans="1:13" ht="12.75">
      <c r="C34" s="91"/>
      <c r="D34" s="107">
        <f>SUM(D10:D33)</f>
        <v>500110.83333333337</v>
      </c>
      <c r="E34" s="95">
        <f>SUM(E10:E33)</f>
        <v>132956356.54904453</v>
      </c>
      <c r="F34" s="98">
        <f>SUM(F10:F33)</f>
        <v>0.99999999999999989</v>
      </c>
    </row>
    <row r="35" spans="1:13" ht="12.75">
      <c r="C35" s="91"/>
      <c r="L35" s="89"/>
      <c r="M35" s="89"/>
    </row>
    <row r="36" spans="1:13" ht="12.75">
      <c r="C36" s="91"/>
      <c r="L36" s="89"/>
      <c r="M36" s="89"/>
    </row>
    <row r="37" spans="1:13" ht="12.75">
      <c r="B37" s="91" t="s">
        <v>628</v>
      </c>
      <c r="C37" s="91"/>
      <c r="E37" s="95">
        <f>'Functional Assignment'!F42</f>
        <v>34458226.280000001</v>
      </c>
    </row>
    <row r="38" spans="1:13" ht="12.75">
      <c r="C38" s="91"/>
    </row>
    <row r="39" spans="1:13" ht="12.75">
      <c r="C39" s="91"/>
    </row>
    <row r="40" spans="1:13" ht="12.75">
      <c r="C40" s="91"/>
    </row>
    <row r="41" spans="1:13" ht="12.75">
      <c r="C41" s="91"/>
    </row>
    <row r="42" spans="1:13" ht="12.75">
      <c r="C42" s="91"/>
    </row>
    <row r="43" spans="1:13" ht="12.75">
      <c r="C43" s="91"/>
      <c r="E43" s="109"/>
    </row>
    <row r="44" spans="1:13" ht="12.75">
      <c r="C44" s="91"/>
    </row>
    <row r="45" spans="1:13" ht="12.75">
      <c r="C45" s="91"/>
    </row>
    <row r="46" spans="1:13" ht="12.75">
      <c r="C46" s="91"/>
    </row>
    <row r="47" spans="1:13" ht="12.75">
      <c r="C47" s="91"/>
    </row>
    <row r="48" spans="1:13" ht="12.75">
      <c r="C48" s="91"/>
    </row>
    <row r="49" spans="3:3" ht="12.75">
      <c r="C49" s="91"/>
    </row>
    <row r="50" spans="3:3" ht="12.75">
      <c r="C50" s="91"/>
    </row>
    <row r="51" spans="3:3" ht="12.75">
      <c r="C51" s="91"/>
    </row>
    <row r="52" spans="3:3" ht="12.75">
      <c r="C52" s="91"/>
    </row>
    <row r="56" spans="3:3" ht="12.75">
      <c r="C56" s="91"/>
    </row>
    <row r="57" spans="3:3" ht="12.75">
      <c r="C57" s="91"/>
    </row>
    <row r="58" spans="3:3" ht="12.75">
      <c r="C58" s="91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Functional Assignment</vt:lpstr>
      <vt:lpstr>Allocation</vt:lpstr>
      <vt:lpstr>Summary of Returns</vt:lpstr>
      <vt:lpstr>Billing Det</vt:lpstr>
      <vt:lpstr>Meters</vt:lpstr>
      <vt:lpstr>RS</vt:lpstr>
      <vt:lpstr>Services</vt:lpstr>
      <vt:lpstr>Allocation!Print_Area</vt:lpstr>
      <vt:lpstr>'Billing Det'!Print_Area</vt:lpstr>
      <vt:lpstr>'Functional Assignment'!Print_Area</vt:lpstr>
      <vt:lpstr>RS!Print_Area</vt:lpstr>
      <vt:lpstr>'Summary of Returns'!Print_Area</vt:lpstr>
      <vt:lpstr>Allocation!Print_Titles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2016-11-29T17:44:38Z</dcterms:created>
  <dcterms:modified xsi:type="dcterms:W3CDTF">2017-02-28T17:46:35Z</dcterms:modified>
</cp:coreProperties>
</file>