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ox Files\Box Sync\Ron.Willhite - U Drive\2016 LGE-KU Rate Case 1-30-17\KU 2016\KSBA_KU Data Responses\Staff KU Attachments\"/>
    </mc:Choice>
  </mc:AlternateContent>
  <bookViews>
    <workbookView xWindow="0" yWindow="0" windowWidth="24000" windowHeight="8910"/>
  </bookViews>
  <sheets>
    <sheet name="Billing Data" sheetId="1" r:id="rId1"/>
    <sheet name="Rate Design" sheetId="2" r:id="rId2"/>
  </sheets>
  <definedNames>
    <definedName name="_xlnm.Print_Area" localSheetId="0">'Billing Data'!$A$1:$AN$225</definedName>
    <definedName name="_xlnm.Print_Area" localSheetId="1">'Rate Design'!$A$1:$U$117</definedName>
    <definedName name="_xlnm.Print_Titles" localSheetId="1">'Rate Design'!$1:$8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5" i="2" l="1"/>
  <c r="U66" i="2"/>
  <c r="AE92" i="2" l="1"/>
  <c r="AE89" i="2"/>
  <c r="AE65" i="2"/>
  <c r="AC50" i="2" l="1"/>
  <c r="AC51" i="2"/>
  <c r="AC52" i="2"/>
  <c r="AC53" i="2"/>
  <c r="AC49" i="2"/>
  <c r="AC47" i="2"/>
  <c r="AC45" i="2"/>
  <c r="AA50" i="2"/>
  <c r="AA51" i="2"/>
  <c r="AA52" i="2"/>
  <c r="AA53" i="2"/>
  <c r="AA49" i="2"/>
  <c r="AA47" i="2"/>
  <c r="AA45" i="2"/>
  <c r="AC87" i="2"/>
  <c r="AA87" i="2"/>
  <c r="AC86" i="2"/>
  <c r="AA86" i="2"/>
  <c r="AC85" i="2"/>
  <c r="AC84" i="2"/>
  <c r="AA84" i="2"/>
  <c r="AC83" i="2"/>
  <c r="AA83" i="2"/>
  <c r="AC80" i="2"/>
  <c r="AA80" i="2"/>
  <c r="AC79" i="2"/>
  <c r="AA79" i="2"/>
  <c r="AC71" i="2"/>
  <c r="AA71" i="2"/>
  <c r="AC69" i="2"/>
  <c r="AA69" i="2"/>
  <c r="AA65" i="2" l="1"/>
  <c r="AC89" i="2"/>
  <c r="AC65" i="2"/>
  <c r="AA89" i="2"/>
  <c r="F19" i="2" l="1"/>
  <c r="N19" i="2" l="1"/>
  <c r="T19" i="2"/>
  <c r="Q101" i="2"/>
  <c r="Q100" i="2"/>
  <c r="Q98" i="2"/>
  <c r="Q97" i="2"/>
  <c r="H111" i="2" l="1"/>
  <c r="H110" i="2"/>
  <c r="H108" i="2"/>
  <c r="H107" i="2"/>
  <c r="H104" i="2"/>
  <c r="H103" i="2"/>
  <c r="H87" i="2"/>
  <c r="E87" i="2"/>
  <c r="Q87" i="2" s="1"/>
  <c r="H86" i="2"/>
  <c r="E86" i="2"/>
  <c r="Q86" i="2" s="1"/>
  <c r="H84" i="2"/>
  <c r="E84" i="2"/>
  <c r="Q84" i="2" s="1"/>
  <c r="H83" i="2"/>
  <c r="E83" i="2"/>
  <c r="Q83" i="2" s="1"/>
  <c r="E81" i="2"/>
  <c r="H80" i="2"/>
  <c r="E80" i="2"/>
  <c r="Q80" i="2" s="1"/>
  <c r="H79" i="2"/>
  <c r="E79" i="2"/>
  <c r="Q79" i="2" s="1"/>
  <c r="E77" i="2"/>
  <c r="E76" i="2"/>
  <c r="E74" i="2"/>
  <c r="E73" i="2"/>
  <c r="F71" i="2"/>
  <c r="D69" i="2"/>
  <c r="H63" i="2"/>
  <c r="E63" i="2"/>
  <c r="H62" i="2"/>
  <c r="E62" i="2"/>
  <c r="H60" i="2"/>
  <c r="E60" i="2"/>
  <c r="Q60" i="2" s="1"/>
  <c r="H59" i="2"/>
  <c r="E59" i="2"/>
  <c r="Q59" i="2" s="1"/>
  <c r="E57" i="2"/>
  <c r="H56" i="2"/>
  <c r="E56" i="2"/>
  <c r="Q56" i="2" s="1"/>
  <c r="H55" i="2"/>
  <c r="E55" i="2"/>
  <c r="Q55" i="2" s="1"/>
  <c r="Q53" i="2"/>
  <c r="E53" i="2"/>
  <c r="K53" i="2" s="1"/>
  <c r="T53" i="2" s="1"/>
  <c r="Q52" i="2"/>
  <c r="E52" i="2"/>
  <c r="K52" i="2" s="1"/>
  <c r="T52" i="2" s="1"/>
  <c r="Q50" i="2"/>
  <c r="E50" i="2"/>
  <c r="K50" i="2" s="1"/>
  <c r="T50" i="2" s="1"/>
  <c r="Q49" i="2"/>
  <c r="E49" i="2"/>
  <c r="K49" i="2" s="1"/>
  <c r="T49" i="2" s="1"/>
  <c r="F47" i="2"/>
  <c r="D45" i="2"/>
  <c r="H35" i="2"/>
  <c r="E35" i="2"/>
  <c r="Q35" i="2" s="1"/>
  <c r="H34" i="2"/>
  <c r="E34" i="2"/>
  <c r="H32" i="2"/>
  <c r="E32" i="2"/>
  <c r="Q32" i="2" s="1"/>
  <c r="H31" i="2"/>
  <c r="E31" i="2"/>
  <c r="E29" i="2"/>
  <c r="H28" i="2"/>
  <c r="E28" i="2"/>
  <c r="Q28" i="2" s="1"/>
  <c r="H27" i="2"/>
  <c r="E27" i="2"/>
  <c r="Q27" i="2" s="1"/>
  <c r="Q25" i="2"/>
  <c r="E25" i="2"/>
  <c r="Q24" i="2"/>
  <c r="E24" i="2"/>
  <c r="K24" i="2" s="1"/>
  <c r="T24" i="2" s="1"/>
  <c r="Q22" i="2"/>
  <c r="E22" i="2"/>
  <c r="K22" i="2" s="1"/>
  <c r="T22" i="2" s="1"/>
  <c r="Q21" i="2"/>
  <c r="E21" i="2"/>
  <c r="K21" i="2" s="1"/>
  <c r="T21" i="2" s="1"/>
  <c r="Q19" i="2"/>
  <c r="Q17" i="2"/>
  <c r="D17" i="2"/>
  <c r="K25" i="2" l="1"/>
  <c r="T25" i="2" s="1"/>
  <c r="K17" i="2"/>
  <c r="N17" i="2"/>
  <c r="T17" i="2"/>
  <c r="Q31" i="2"/>
  <c r="Q34" i="2"/>
  <c r="Q37" i="2" s="1"/>
  <c r="Q63" i="2"/>
  <c r="K69" i="2"/>
  <c r="T69" i="2"/>
  <c r="Q69" i="2"/>
  <c r="N69" i="2"/>
  <c r="H45" i="2"/>
  <c r="Q45" i="2"/>
  <c r="N45" i="2"/>
  <c r="K45" i="2"/>
  <c r="T45" i="2"/>
  <c r="N71" i="2"/>
  <c r="T71" i="2"/>
  <c r="Q71" i="2"/>
  <c r="K71" i="2"/>
  <c r="K77" i="2"/>
  <c r="T77" i="2" s="1"/>
  <c r="Q77" i="2"/>
  <c r="H47" i="2"/>
  <c r="Q47" i="2"/>
  <c r="N47" i="2"/>
  <c r="T47" i="2"/>
  <c r="K47" i="2"/>
  <c r="Q73" i="2"/>
  <c r="K73" i="2"/>
  <c r="T73" i="2" s="1"/>
  <c r="Q74" i="2"/>
  <c r="K74" i="2"/>
  <c r="T74" i="2" s="1"/>
  <c r="E110" i="2"/>
  <c r="Q110" i="2" s="1"/>
  <c r="Q62" i="2"/>
  <c r="Q76" i="2"/>
  <c r="K76" i="2"/>
  <c r="T76" i="2" s="1"/>
  <c r="E101" i="2"/>
  <c r="K101" i="2" s="1"/>
  <c r="T101" i="2" s="1"/>
  <c r="E111" i="2"/>
  <c r="Q111" i="2" s="1"/>
  <c r="E103" i="2"/>
  <c r="E105" i="2"/>
  <c r="E97" i="2"/>
  <c r="K97" i="2" s="1"/>
  <c r="T97" i="2" s="1"/>
  <c r="E100" i="2"/>
  <c r="K100" i="2" s="1"/>
  <c r="T100" i="2" s="1"/>
  <c r="E108" i="2"/>
  <c r="Q108" i="2" s="1"/>
  <c r="H17" i="2"/>
  <c r="H19" i="2"/>
  <c r="H69" i="2"/>
  <c r="H71" i="2"/>
  <c r="E98" i="2"/>
  <c r="K98" i="2" s="1"/>
  <c r="T98" i="2" s="1"/>
  <c r="E104" i="2"/>
  <c r="Q104" i="2" s="1"/>
  <c r="E107" i="2"/>
  <c r="Q107" i="2" s="1"/>
  <c r="K19" i="2"/>
  <c r="D93" i="2"/>
  <c r="F95" i="2"/>
  <c r="S17" i="1"/>
  <c r="S16" i="1"/>
  <c r="S15" i="1"/>
  <c r="S33" i="1"/>
  <c r="S32" i="1"/>
  <c r="S31" i="1"/>
  <c r="S49" i="1"/>
  <c r="S48" i="1"/>
  <c r="S47" i="1"/>
  <c r="S66" i="1"/>
  <c r="S65" i="1"/>
  <c r="S64" i="1"/>
  <c r="K37" i="2" l="1"/>
  <c r="H65" i="2"/>
  <c r="Q89" i="2"/>
  <c r="K93" i="2"/>
  <c r="Q93" i="2"/>
  <c r="T93" i="2"/>
  <c r="N93" i="2"/>
  <c r="K95" i="2"/>
  <c r="T95" i="2"/>
  <c r="N95" i="2"/>
  <c r="Q95" i="2"/>
  <c r="Q103" i="2"/>
  <c r="Q117" i="2"/>
  <c r="K117" i="2"/>
  <c r="K89" i="2"/>
  <c r="H37" i="2"/>
  <c r="Q65" i="2"/>
  <c r="K65" i="2"/>
  <c r="H95" i="2"/>
  <c r="H93" i="2"/>
  <c r="H89" i="2"/>
  <c r="AF213" i="1"/>
  <c r="AF211" i="1"/>
  <c r="M25" i="2" l="1"/>
  <c r="N25" i="2" s="1"/>
  <c r="M21" i="2"/>
  <c r="N21" i="2" s="1"/>
  <c r="M24" i="2"/>
  <c r="N24" i="2" s="1"/>
  <c r="M22" i="2"/>
  <c r="N22" i="2" s="1"/>
  <c r="S35" i="2"/>
  <c r="T35" i="2" s="1"/>
  <c r="S27" i="2"/>
  <c r="T27" i="2" s="1"/>
  <c r="S28" i="2"/>
  <c r="T28" i="2" s="1"/>
  <c r="S31" i="2"/>
  <c r="T31" i="2" s="1"/>
  <c r="S34" i="2"/>
  <c r="T34" i="2" s="1"/>
  <c r="S29" i="2"/>
  <c r="S32" i="2"/>
  <c r="T32" i="2" s="1"/>
  <c r="Q113" i="2"/>
  <c r="S84" i="2"/>
  <c r="T84" i="2" s="1"/>
  <c r="S86" i="2"/>
  <c r="T86" i="2" s="1"/>
  <c r="S81" i="2"/>
  <c r="S63" i="2"/>
  <c r="T63" i="2" s="1"/>
  <c r="S87" i="2"/>
  <c r="T87" i="2" s="1"/>
  <c r="S57" i="2"/>
  <c r="S104" i="2"/>
  <c r="T104" i="2" s="1"/>
  <c r="S80" i="2"/>
  <c r="T80" i="2" s="1"/>
  <c r="S59" i="2"/>
  <c r="T59" i="2" s="1"/>
  <c r="S111" i="2"/>
  <c r="T111" i="2" s="1"/>
  <c r="S56" i="2"/>
  <c r="T56" i="2" s="1"/>
  <c r="S60" i="2"/>
  <c r="T60" i="2" s="1"/>
  <c r="S62" i="2"/>
  <c r="T62" i="2" s="1"/>
  <c r="S79" i="2"/>
  <c r="T79" i="2" s="1"/>
  <c r="S108" i="2"/>
  <c r="T108" i="2" s="1"/>
  <c r="S103" i="2"/>
  <c r="T103" i="2" s="1"/>
  <c r="S83" i="2"/>
  <c r="T83" i="2" s="1"/>
  <c r="S107" i="2"/>
  <c r="T107" i="2" s="1"/>
  <c r="S110" i="2"/>
  <c r="T110" i="2" s="1"/>
  <c r="S105" i="2"/>
  <c r="S55" i="2"/>
  <c r="T55" i="2" s="1"/>
  <c r="M52" i="2"/>
  <c r="N52" i="2" s="1"/>
  <c r="M76" i="2"/>
  <c r="N76" i="2" s="1"/>
  <c r="M100" i="2"/>
  <c r="N100" i="2" s="1"/>
  <c r="M50" i="2"/>
  <c r="N50" i="2" s="1"/>
  <c r="M74" i="2"/>
  <c r="N74" i="2" s="1"/>
  <c r="M98" i="2"/>
  <c r="N98" i="2" s="1"/>
  <c r="M49" i="2"/>
  <c r="N49" i="2" s="1"/>
  <c r="M73" i="2"/>
  <c r="N73" i="2" s="1"/>
  <c r="M97" i="2"/>
  <c r="N97" i="2" s="1"/>
  <c r="M53" i="2"/>
  <c r="N53" i="2" s="1"/>
  <c r="M77" i="2"/>
  <c r="N77" i="2" s="1"/>
  <c r="M101" i="2"/>
  <c r="N101" i="2" s="1"/>
  <c r="H113" i="2"/>
  <c r="K113" i="2"/>
  <c r="T37" i="2" l="1"/>
  <c r="N37" i="2"/>
  <c r="T89" i="2"/>
  <c r="U90" i="2" s="1"/>
  <c r="T65" i="2"/>
  <c r="T113" i="2"/>
  <c r="T115" i="2" s="1"/>
  <c r="N65" i="2"/>
  <c r="N113" i="2"/>
  <c r="N115" i="2" s="1"/>
  <c r="N89" i="2"/>
  <c r="O66" i="2" l="1"/>
  <c r="AQ117" i="1"/>
  <c r="M73" i="1" l="1"/>
  <c r="M200" i="1" s="1"/>
  <c r="D170" i="1" l="1"/>
  <c r="D174" i="1" s="1"/>
  <c r="W168" i="1" s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Z206" i="1"/>
  <c r="Z204" i="1"/>
  <c r="Z200" i="1"/>
  <c r="E212" i="1"/>
  <c r="D212" i="1"/>
  <c r="K202" i="1"/>
  <c r="J202" i="1"/>
  <c r="H202" i="1"/>
  <c r="G202" i="1"/>
  <c r="E202" i="1"/>
  <c r="D202" i="1"/>
  <c r="J214" i="1"/>
  <c r="G214" i="1"/>
  <c r="X206" i="1"/>
  <c r="W206" i="1"/>
  <c r="V206" i="1"/>
  <c r="V208" i="1" s="1"/>
  <c r="X204" i="1"/>
  <c r="W204" i="1"/>
  <c r="O203" i="1"/>
  <c r="P202" i="1"/>
  <c r="O202" i="1"/>
  <c r="M202" i="1"/>
  <c r="M204" i="1" s="1"/>
  <c r="X200" i="1"/>
  <c r="W200" i="1"/>
  <c r="U200" i="1"/>
  <c r="U204" i="1" s="1"/>
  <c r="U206" i="1" s="1"/>
  <c r="U208" i="1" s="1"/>
  <c r="T200" i="1"/>
  <c r="T204" i="1" s="1"/>
  <c r="T206" i="1" s="1"/>
  <c r="T208" i="1" s="1"/>
  <c r="D180" i="1"/>
  <c r="E214" i="1" l="1"/>
  <c r="F202" i="1"/>
  <c r="I202" i="1"/>
  <c r="L202" i="1"/>
  <c r="E197" i="1"/>
  <c r="D197" i="1"/>
  <c r="U189" i="1"/>
  <c r="U191" i="1" s="1"/>
  <c r="T189" i="1"/>
  <c r="T191" i="1" s="1"/>
  <c r="U187" i="1"/>
  <c r="T187" i="1"/>
  <c r="P187" i="1"/>
  <c r="P189" i="1" s="1"/>
  <c r="P191" i="1" s="1"/>
  <c r="O187" i="1"/>
  <c r="X185" i="1" s="1"/>
  <c r="M187" i="1"/>
  <c r="K187" i="1"/>
  <c r="K191" i="1" s="1"/>
  <c r="J187" i="1"/>
  <c r="J191" i="1" s="1"/>
  <c r="H187" i="1"/>
  <c r="H191" i="1" s="1"/>
  <c r="G187" i="1"/>
  <c r="G191" i="1" s="1"/>
  <c r="E187" i="1"/>
  <c r="E191" i="1" s="1"/>
  <c r="D187" i="1"/>
  <c r="E180" i="1"/>
  <c r="U172" i="1"/>
  <c r="U174" i="1" s="1"/>
  <c r="T172" i="1"/>
  <c r="T174" i="1" s="1"/>
  <c r="U170" i="1"/>
  <c r="T170" i="1"/>
  <c r="P170" i="1"/>
  <c r="P172" i="1" s="1"/>
  <c r="P174" i="1" s="1"/>
  <c r="O170" i="1"/>
  <c r="X168" i="1" s="1"/>
  <c r="M170" i="1"/>
  <c r="K170" i="1"/>
  <c r="K174" i="1" s="1"/>
  <c r="J170" i="1"/>
  <c r="J174" i="1" s="1"/>
  <c r="H170" i="1"/>
  <c r="H174" i="1" s="1"/>
  <c r="G170" i="1"/>
  <c r="G174" i="1" s="1"/>
  <c r="E170" i="1"/>
  <c r="E174" i="1" s="1"/>
  <c r="D191" i="1" l="1"/>
  <c r="W185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A73" i="1"/>
  <c r="AA202" i="1" s="1"/>
  <c r="AA219" i="1" s="1"/>
  <c r="AB73" i="1"/>
  <c r="AB202" i="1" s="1"/>
  <c r="AA215" i="1" s="1"/>
  <c r="AC73" i="1"/>
  <c r="AC202" i="1" s="1"/>
  <c r="AD73" i="1"/>
  <c r="AD202" i="1" s="1"/>
  <c r="AE73" i="1"/>
  <c r="AE202" i="1" s="1"/>
  <c r="AA223" i="1" s="1"/>
  <c r="AF73" i="1"/>
  <c r="AF202" i="1" s="1"/>
  <c r="AA220" i="1" s="1"/>
  <c r="AG73" i="1"/>
  <c r="AG202" i="1" s="1"/>
  <c r="AA216" i="1" s="1"/>
  <c r="AH73" i="1"/>
  <c r="AI73" i="1"/>
  <c r="AI202" i="1" s="1"/>
  <c r="AJ73" i="1"/>
  <c r="AJ202" i="1" s="1"/>
  <c r="AK73" i="1"/>
  <c r="AK202" i="1" s="1"/>
  <c r="AL73" i="1"/>
  <c r="AL202" i="1" s="1"/>
  <c r="AM73" i="1"/>
  <c r="AM202" i="1" s="1"/>
  <c r="AN73" i="1"/>
  <c r="AN202" i="1" s="1"/>
  <c r="AA75" i="1"/>
  <c r="AQ119" i="1" s="1"/>
  <c r="AB75" i="1"/>
  <c r="AC75" i="1"/>
  <c r="AD75" i="1"/>
  <c r="AE75" i="1"/>
  <c r="AQ123" i="1" s="1"/>
  <c r="AF75" i="1"/>
  <c r="AQ120" i="1" s="1"/>
  <c r="AG75" i="1"/>
  <c r="AQ116" i="1" s="1"/>
  <c r="AH75" i="1"/>
  <c r="AI75" i="1"/>
  <c r="AJ75" i="1"/>
  <c r="AK75" i="1"/>
  <c r="AL75" i="1"/>
  <c r="AM75" i="1"/>
  <c r="AN75" i="1"/>
  <c r="AA77" i="1"/>
  <c r="AB77" i="1"/>
  <c r="AC77" i="1"/>
  <c r="AQ134" i="1" s="1"/>
  <c r="AD77" i="1"/>
  <c r="AQ137" i="1" s="1"/>
  <c r="AE77" i="1"/>
  <c r="AF77" i="1"/>
  <c r="AG77" i="1"/>
  <c r="AH77" i="1"/>
  <c r="AQ135" i="1" s="1"/>
  <c r="AI77" i="1"/>
  <c r="AQ138" i="1" s="1"/>
  <c r="AJ77" i="1"/>
  <c r="AK77" i="1"/>
  <c r="AL77" i="1"/>
  <c r="AM77" i="1"/>
  <c r="AN77" i="1"/>
  <c r="Z77" i="1"/>
  <c r="J94" i="1" s="1"/>
  <c r="J96" i="1" s="1"/>
  <c r="Z75" i="1"/>
  <c r="G94" i="1" s="1"/>
  <c r="G96" i="1" s="1"/>
  <c r="Z73" i="1"/>
  <c r="Z202" i="1" s="1"/>
  <c r="AA222" i="1" s="1"/>
  <c r="Z71" i="1"/>
  <c r="X77" i="1"/>
  <c r="T91" i="1" s="1"/>
  <c r="W77" i="1"/>
  <c r="X75" i="1"/>
  <c r="S91" i="1" s="1"/>
  <c r="W75" i="1"/>
  <c r="X71" i="1"/>
  <c r="W71" i="1"/>
  <c r="X73" i="1"/>
  <c r="W73" i="1"/>
  <c r="U71" i="1"/>
  <c r="T71" i="1"/>
  <c r="P73" i="1"/>
  <c r="P200" i="1" s="1"/>
  <c r="P204" i="1" s="1"/>
  <c r="P206" i="1" s="1"/>
  <c r="P208" i="1" s="1"/>
  <c r="P71" i="1"/>
  <c r="O73" i="1"/>
  <c r="O200" i="1" s="1"/>
  <c r="O204" i="1" s="1"/>
  <c r="O71" i="1"/>
  <c r="M71" i="1"/>
  <c r="J85" i="1"/>
  <c r="G85" i="1"/>
  <c r="D83" i="1"/>
  <c r="D210" i="1" s="1"/>
  <c r="D81" i="1"/>
  <c r="K73" i="1"/>
  <c r="K200" i="1" s="1"/>
  <c r="J73" i="1"/>
  <c r="J200" i="1" s="1"/>
  <c r="J204" i="1" s="1"/>
  <c r="J208" i="1" s="1"/>
  <c r="H73" i="1"/>
  <c r="H200" i="1" s="1"/>
  <c r="G73" i="1"/>
  <c r="G200" i="1" s="1"/>
  <c r="G204" i="1" s="1"/>
  <c r="G208" i="1" s="1"/>
  <c r="E73" i="1"/>
  <c r="E200" i="1" s="1"/>
  <c r="D73" i="1"/>
  <c r="D200" i="1" s="1"/>
  <c r="D204" i="1" s="1"/>
  <c r="D208" i="1" s="1"/>
  <c r="K71" i="1"/>
  <c r="J71" i="1"/>
  <c r="H71" i="1"/>
  <c r="G71" i="1"/>
  <c r="E71" i="1"/>
  <c r="D71" i="1"/>
  <c r="E68" i="1"/>
  <c r="D68" i="1"/>
  <c r="U60" i="1"/>
  <c r="U62" i="1" s="1"/>
  <c r="T60" i="1"/>
  <c r="T62" i="1" s="1"/>
  <c r="U58" i="1"/>
  <c r="T58" i="1"/>
  <c r="P58" i="1"/>
  <c r="P60" i="1" s="1"/>
  <c r="P62" i="1" s="1"/>
  <c r="O58" i="1"/>
  <c r="M58" i="1"/>
  <c r="K58" i="1"/>
  <c r="K62" i="1" s="1"/>
  <c r="J58" i="1"/>
  <c r="J62" i="1" s="1"/>
  <c r="H58" i="1"/>
  <c r="H62" i="1" s="1"/>
  <c r="G58" i="1"/>
  <c r="G62" i="1" s="1"/>
  <c r="E58" i="1"/>
  <c r="E62" i="1" s="1"/>
  <c r="D58" i="1"/>
  <c r="D62" i="1" s="1"/>
  <c r="AQ153" i="1" l="1"/>
  <c r="AW137" i="1"/>
  <c r="AT137" i="1"/>
  <c r="AT153" i="1"/>
  <c r="AW119" i="1"/>
  <c r="AT119" i="1"/>
  <c r="AQ152" i="1"/>
  <c r="AW135" i="1"/>
  <c r="AT135" i="1"/>
  <c r="AT120" i="1"/>
  <c r="AW120" i="1"/>
  <c r="AH202" i="1"/>
  <c r="AQ150" i="1"/>
  <c r="AT134" i="1"/>
  <c r="AW134" i="1"/>
  <c r="AY134" i="1" s="1"/>
  <c r="BA134" i="1" s="1"/>
  <c r="AW123" i="1"/>
  <c r="AT123" i="1"/>
  <c r="AW138" i="1"/>
  <c r="AT138" i="1"/>
  <c r="AY138" i="1" s="1"/>
  <c r="BA138" i="1" s="1"/>
  <c r="AT116" i="1"/>
  <c r="BA116" i="1" s="1"/>
  <c r="AW116" i="1"/>
  <c r="AQ149" i="1"/>
  <c r="P64" i="1"/>
  <c r="P65" i="1"/>
  <c r="P66" i="1"/>
  <c r="R91" i="1"/>
  <c r="AQ122" i="1"/>
  <c r="AQ115" i="1"/>
  <c r="W202" i="1"/>
  <c r="X215" i="1" s="1"/>
  <c r="Q93" i="1"/>
  <c r="X202" i="1"/>
  <c r="AB213" i="1" s="1"/>
  <c r="Q91" i="1"/>
  <c r="H204" i="1"/>
  <c r="I200" i="1"/>
  <c r="E204" i="1"/>
  <c r="F200" i="1"/>
  <c r="K204" i="1"/>
  <c r="L200" i="1"/>
  <c r="AA154" i="1"/>
  <c r="AD154" i="1" s="1"/>
  <c r="AA149" i="1"/>
  <c r="AD149" i="1" s="1"/>
  <c r="AA157" i="1"/>
  <c r="AD157" i="1" s="1"/>
  <c r="AA153" i="1"/>
  <c r="AD153" i="1" s="1"/>
  <c r="Z211" i="1"/>
  <c r="D214" i="1"/>
  <c r="Q89" i="1" s="1"/>
  <c r="AA150" i="1"/>
  <c r="AD150" i="1" s="1"/>
  <c r="AK150" i="1" s="1"/>
  <c r="AA156" i="1"/>
  <c r="T43" i="1"/>
  <c r="T45" i="1" s="1"/>
  <c r="U43" i="1"/>
  <c r="U45" i="1" s="1"/>
  <c r="V77" i="1"/>
  <c r="V79" i="1" s="1"/>
  <c r="X140" i="1"/>
  <c r="AB128" i="1"/>
  <c r="AR132" i="1" s="1"/>
  <c r="AA137" i="1"/>
  <c r="AA130" i="1"/>
  <c r="AA134" i="1"/>
  <c r="AA138" i="1"/>
  <c r="AA135" i="1"/>
  <c r="AA131" i="1"/>
  <c r="AA132" i="1"/>
  <c r="AY117" i="1" s="1"/>
  <c r="BA117" i="1" s="1"/>
  <c r="D94" i="1" l="1"/>
  <c r="D96" i="1" s="1"/>
  <c r="AY120" i="1"/>
  <c r="BA120" i="1" s="1"/>
  <c r="AY135" i="1"/>
  <c r="BA135" i="1" s="1"/>
  <c r="AT152" i="1"/>
  <c r="AV158" i="1"/>
  <c r="AT149" i="1"/>
  <c r="AY123" i="1"/>
  <c r="BA123" i="1" s="1"/>
  <c r="AT150" i="1"/>
  <c r="AY119" i="1"/>
  <c r="BA119" i="1" s="1"/>
  <c r="AY137" i="1"/>
  <c r="BA137" i="1" s="1"/>
  <c r="AT115" i="1"/>
  <c r="AW115" i="1"/>
  <c r="AW132" i="1"/>
  <c r="AT132" i="1"/>
  <c r="AW122" i="1"/>
  <c r="AT122" i="1"/>
  <c r="AD213" i="1"/>
  <c r="AG213" i="1"/>
  <c r="AD211" i="1"/>
  <c r="AG211" i="1"/>
  <c r="F204" i="1"/>
  <c r="E208" i="1"/>
  <c r="F208" i="1" s="1"/>
  <c r="AI132" i="1"/>
  <c r="AG132" i="1"/>
  <c r="K208" i="1"/>
  <c r="L204" i="1"/>
  <c r="I204" i="1"/>
  <c r="H208" i="1"/>
  <c r="AD156" i="1"/>
  <c r="AF162" i="1"/>
  <c r="AG138" i="1"/>
  <c r="AD138" i="1"/>
  <c r="AD137" i="1"/>
  <c r="AG137" i="1"/>
  <c r="AD135" i="1"/>
  <c r="AG135" i="1"/>
  <c r="AG134" i="1"/>
  <c r="AD134" i="1"/>
  <c r="AG130" i="1"/>
  <c r="AD130" i="1"/>
  <c r="AD131" i="1"/>
  <c r="AK131" i="1" s="1"/>
  <c r="AG128" i="1"/>
  <c r="AD128" i="1"/>
  <c r="AY115" i="1" l="1"/>
  <c r="BA115" i="1" s="1"/>
  <c r="AV150" i="1"/>
  <c r="AW150" i="1" s="1"/>
  <c r="AY150" i="1" s="1"/>
  <c r="BA150" i="1" s="1"/>
  <c r="AV152" i="1"/>
  <c r="AW152" i="1" s="1"/>
  <c r="AY152" i="1" s="1"/>
  <c r="BA152" i="1" s="1"/>
  <c r="AV153" i="1"/>
  <c r="AW153" i="1" s="1"/>
  <c r="AY153" i="1" s="1"/>
  <c r="BA153" i="1" s="1"/>
  <c r="AV149" i="1"/>
  <c r="AW149" i="1" s="1"/>
  <c r="AY149" i="1" s="1"/>
  <c r="BA149" i="1" s="1"/>
  <c r="AY132" i="1"/>
  <c r="BA132" i="1" s="1"/>
  <c r="AD225" i="1"/>
  <c r="W215" i="1" s="1"/>
  <c r="AY122" i="1"/>
  <c r="BA122" i="1" s="1"/>
  <c r="AI213" i="1"/>
  <c r="AK213" i="1" s="1"/>
  <c r="AK132" i="1"/>
  <c r="AF157" i="1"/>
  <c r="AF150" i="1"/>
  <c r="AF153" i="1"/>
  <c r="AF156" i="1"/>
  <c r="AF154" i="1"/>
  <c r="AF149" i="1"/>
  <c r="AF151" i="1"/>
  <c r="AI151" i="1" s="1"/>
  <c r="AI130" i="1"/>
  <c r="AK130" i="1" s="1"/>
  <c r="AI135" i="1"/>
  <c r="AK135" i="1" s="1"/>
  <c r="AI128" i="1"/>
  <c r="AK128" i="1" s="1"/>
  <c r="AI134" i="1"/>
  <c r="AK134" i="1" s="1"/>
  <c r="AI137" i="1"/>
  <c r="AK137" i="1" s="1"/>
  <c r="AI138" i="1"/>
  <c r="AK138" i="1" s="1"/>
  <c r="AG149" i="1" l="1"/>
  <c r="AI149" i="1" s="1"/>
  <c r="AK149" i="1" s="1"/>
  <c r="AF215" i="1"/>
  <c r="AG215" i="1" s="1"/>
  <c r="AG150" i="1"/>
  <c r="AF216" i="1"/>
  <c r="AG216" i="1" s="1"/>
  <c r="AI216" i="1" s="1"/>
  <c r="AK216" i="1" s="1"/>
  <c r="AG154" i="1"/>
  <c r="AI154" i="1" s="1"/>
  <c r="AK154" i="1" s="1"/>
  <c r="AF220" i="1"/>
  <c r="AG220" i="1" s="1"/>
  <c r="AI220" i="1" s="1"/>
  <c r="AK220" i="1" s="1"/>
  <c r="AG157" i="1"/>
  <c r="AI157" i="1" s="1"/>
  <c r="AK157" i="1" s="1"/>
  <c r="AF223" i="1"/>
  <c r="AG223" i="1" s="1"/>
  <c r="AI223" i="1" s="1"/>
  <c r="AK223" i="1" s="1"/>
  <c r="AG156" i="1"/>
  <c r="AI156" i="1" s="1"/>
  <c r="AK156" i="1" s="1"/>
  <c r="AF222" i="1"/>
  <c r="AG222" i="1" s="1"/>
  <c r="AI222" i="1" s="1"/>
  <c r="AK222" i="1" s="1"/>
  <c r="AK151" i="1"/>
  <c r="AG153" i="1"/>
  <c r="AI153" i="1" s="1"/>
  <c r="AK153" i="1" s="1"/>
  <c r="AF219" i="1"/>
  <c r="AG219" i="1" s="1"/>
  <c r="AI219" i="1" s="1"/>
  <c r="AK219" i="1" s="1"/>
  <c r="E51" i="1"/>
  <c r="D51" i="1"/>
  <c r="E35" i="1"/>
  <c r="D35" i="1"/>
  <c r="E19" i="1"/>
  <c r="D19" i="1"/>
  <c r="AI215" i="1" l="1"/>
  <c r="AK215" i="1" s="1"/>
  <c r="AG225" i="1"/>
  <c r="AI225" i="1" s="1"/>
  <c r="AK225" i="1" s="1"/>
  <c r="AD104" i="1"/>
  <c r="AG104" i="1"/>
  <c r="D85" i="1"/>
  <c r="E85" i="1"/>
  <c r="X122" i="1"/>
  <c r="AI211" i="1" l="1"/>
  <c r="AK211" i="1" s="1"/>
  <c r="AI104" i="1"/>
  <c r="AK104" i="1" s="1"/>
  <c r="T93" i="1"/>
  <c r="S93" i="1"/>
  <c r="U41" i="1"/>
  <c r="T41" i="1"/>
  <c r="U25" i="1"/>
  <c r="U27" i="1" s="1"/>
  <c r="U29" i="1" s="1"/>
  <c r="T25" i="1"/>
  <c r="T27" i="1" s="1"/>
  <c r="T29" i="1" s="1"/>
  <c r="U9" i="1"/>
  <c r="T9" i="1"/>
  <c r="U75" i="1"/>
  <c r="T75" i="1"/>
  <c r="R93" i="1" l="1"/>
  <c r="T11" i="1"/>
  <c r="T13" i="1" s="1"/>
  <c r="U11" i="1"/>
  <c r="U13" i="1" s="1"/>
  <c r="S98" i="1"/>
  <c r="T77" i="1"/>
  <c r="T79" i="1" s="1"/>
  <c r="S96" i="1" s="1"/>
  <c r="T98" i="1"/>
  <c r="U77" i="1"/>
  <c r="U79" i="1" s="1"/>
  <c r="T96" i="1" s="1"/>
  <c r="AB114" i="1"/>
  <c r="AA116" i="1"/>
  <c r="AA119" i="1"/>
  <c r="AA117" i="1"/>
  <c r="AA120" i="1"/>
  <c r="AB147" i="1" l="1"/>
  <c r="AR147" i="1" s="1"/>
  <c r="AR113" i="1"/>
  <c r="AT147" i="1"/>
  <c r="AW147" i="1"/>
  <c r="R98" i="1"/>
  <c r="R96" i="1"/>
  <c r="AD116" i="1"/>
  <c r="AG116" i="1"/>
  <c r="AG106" i="1"/>
  <c r="AD106" i="1"/>
  <c r="AD108" i="1" s="1"/>
  <c r="AD120" i="1"/>
  <c r="AG120" i="1"/>
  <c r="AG117" i="1"/>
  <c r="AD117" i="1"/>
  <c r="AG119" i="1"/>
  <c r="AD119" i="1"/>
  <c r="AD114" i="1"/>
  <c r="AG114" i="1"/>
  <c r="J90" i="1"/>
  <c r="G90" i="1"/>
  <c r="D90" i="1"/>
  <c r="D92" i="1" s="1"/>
  <c r="D98" i="1" s="1"/>
  <c r="AD147" i="1" l="1"/>
  <c r="AI119" i="1"/>
  <c r="AK119" i="1" s="1"/>
  <c r="AI116" i="1"/>
  <c r="AK116" i="1" s="1"/>
  <c r="AW113" i="1"/>
  <c r="AT113" i="1"/>
  <c r="AG147" i="1"/>
  <c r="AY147" i="1"/>
  <c r="BA147" i="1" s="1"/>
  <c r="AI117" i="1"/>
  <c r="AK117" i="1" s="1"/>
  <c r="AI106" i="1"/>
  <c r="AK106" i="1" s="1"/>
  <c r="AG108" i="1"/>
  <c r="AI108" i="1" s="1"/>
  <c r="AK108" i="1" s="1"/>
  <c r="AI120" i="1"/>
  <c r="AK120" i="1" s="1"/>
  <c r="AI114" i="1"/>
  <c r="AK114" i="1" s="1"/>
  <c r="AI147" i="1" l="1"/>
  <c r="AK147" i="1" s="1"/>
  <c r="AY113" i="1"/>
  <c r="BA113" i="1" s="1"/>
  <c r="P75" i="1"/>
  <c r="P77" i="1" s="1"/>
  <c r="P41" i="1"/>
  <c r="P43" i="1" s="1"/>
  <c r="P45" i="1" s="1"/>
  <c r="P25" i="1"/>
  <c r="P27" i="1" s="1"/>
  <c r="P29" i="1" s="1"/>
  <c r="P9" i="1"/>
  <c r="K19" i="1"/>
  <c r="H19" i="1"/>
  <c r="O9" i="1"/>
  <c r="M9" i="1"/>
  <c r="K9" i="1"/>
  <c r="J9" i="1"/>
  <c r="H9" i="1"/>
  <c r="G9" i="1"/>
  <c r="E9" i="1"/>
  <c r="D9" i="1"/>
  <c r="O25" i="1"/>
  <c r="M25" i="1"/>
  <c r="K25" i="1"/>
  <c r="J25" i="1"/>
  <c r="H25" i="1"/>
  <c r="G25" i="1"/>
  <c r="E25" i="1"/>
  <c r="D25" i="1"/>
  <c r="O41" i="1"/>
  <c r="M41" i="1"/>
  <c r="K41" i="1"/>
  <c r="J41" i="1"/>
  <c r="H41" i="1"/>
  <c r="G41" i="1"/>
  <c r="E41" i="1"/>
  <c r="D41" i="1"/>
  <c r="O74" i="1"/>
  <c r="J75" i="1"/>
  <c r="G75" i="1"/>
  <c r="D75" i="1"/>
  <c r="P195" i="1" l="1"/>
  <c r="P194" i="1"/>
  <c r="P178" i="1"/>
  <c r="P212" i="1" s="1"/>
  <c r="P193" i="1"/>
  <c r="P177" i="1"/>
  <c r="P211" i="1" s="1"/>
  <c r="R214" i="1" s="1"/>
  <c r="P176" i="1"/>
  <c r="P210" i="1" s="1"/>
  <c r="E29" i="1"/>
  <c r="E13" i="1"/>
  <c r="P11" i="1"/>
  <c r="P13" i="1" s="1"/>
  <c r="G13" i="1"/>
  <c r="K13" i="1"/>
  <c r="H13" i="1"/>
  <c r="D13" i="1"/>
  <c r="H29" i="1"/>
  <c r="K29" i="1"/>
  <c r="D29" i="1"/>
  <c r="D79" i="1"/>
  <c r="D45" i="1"/>
  <c r="J45" i="1"/>
  <c r="P79" i="1"/>
  <c r="G92" i="1"/>
  <c r="G98" i="1" s="1"/>
  <c r="S102" i="1" s="1"/>
  <c r="J92" i="1"/>
  <c r="J98" i="1" s="1"/>
  <c r="T102" i="1" s="1"/>
  <c r="F73" i="1"/>
  <c r="L73" i="1"/>
  <c r="O75" i="1"/>
  <c r="I73" i="1"/>
  <c r="F71" i="1"/>
  <c r="L71" i="1"/>
  <c r="Z112" i="1"/>
  <c r="I71" i="1"/>
  <c r="E75" i="1"/>
  <c r="K75" i="1"/>
  <c r="H75" i="1"/>
  <c r="M75" i="1"/>
  <c r="P49" i="1"/>
  <c r="P32" i="1"/>
  <c r="AP111" i="1" l="1"/>
  <c r="AT145" i="1"/>
  <c r="AT155" i="1" s="1"/>
  <c r="AT157" i="1" s="1"/>
  <c r="AT159" i="1" s="1"/>
  <c r="AW145" i="1"/>
  <c r="R102" i="1"/>
  <c r="P81" i="1"/>
  <c r="P83" i="1"/>
  <c r="P82" i="1"/>
  <c r="Z126" i="1"/>
  <c r="AG112" i="1"/>
  <c r="AG122" i="1" s="1"/>
  <c r="AD112" i="1"/>
  <c r="G29" i="1"/>
  <c r="J13" i="1"/>
  <c r="E45" i="1"/>
  <c r="J29" i="1"/>
  <c r="G79" i="1"/>
  <c r="G45" i="1"/>
  <c r="J79" i="1"/>
  <c r="I75" i="1"/>
  <c r="L75" i="1"/>
  <c r="F75" i="1"/>
  <c r="E79" i="1"/>
  <c r="F79" i="1" s="1"/>
  <c r="T89" i="1"/>
  <c r="S89" i="1"/>
  <c r="R89" i="1" s="1"/>
  <c r="P17" i="1"/>
  <c r="P15" i="1"/>
  <c r="P16" i="1"/>
  <c r="P48" i="1"/>
  <c r="P47" i="1"/>
  <c r="P31" i="1"/>
  <c r="P33" i="1"/>
  <c r="AY145" i="1" l="1"/>
  <c r="BA145" i="1" s="1"/>
  <c r="AW155" i="1"/>
  <c r="AY155" i="1" s="1"/>
  <c r="BA155" i="1" s="1"/>
  <c r="Z145" i="1"/>
  <c r="AP145" i="1" s="1"/>
  <c r="AP130" i="1"/>
  <c r="AW111" i="1"/>
  <c r="AT111" i="1"/>
  <c r="AT125" i="1" s="1"/>
  <c r="AI112" i="1"/>
  <c r="AK112" i="1" s="1"/>
  <c r="AD122" i="1"/>
  <c r="AD126" i="1"/>
  <c r="AD140" i="1" s="1"/>
  <c r="W140" i="1" s="1"/>
  <c r="AG126" i="1"/>
  <c r="K79" i="1"/>
  <c r="K45" i="1"/>
  <c r="H79" i="1"/>
  <c r="H45" i="1"/>
  <c r="R85" i="1"/>
  <c r="R100" i="1" s="1"/>
  <c r="AD145" i="1" l="1"/>
  <c r="AD159" i="1" s="1"/>
  <c r="AD161" i="1" s="1"/>
  <c r="AD163" i="1" s="1"/>
  <c r="AG145" i="1"/>
  <c r="AW130" i="1"/>
  <c r="AT130" i="1"/>
  <c r="AT140" i="1" s="1"/>
  <c r="AY111" i="1"/>
  <c r="BA111" i="1" s="1"/>
  <c r="AW125" i="1"/>
  <c r="AY125" i="1" s="1"/>
  <c r="BA125" i="1" s="1"/>
  <c r="S100" i="1"/>
  <c r="T100" i="1"/>
  <c r="AG159" i="1"/>
  <c r="AI159" i="1" s="1"/>
  <c r="AK159" i="1" s="1"/>
  <c r="W122" i="1"/>
  <c r="AB161" i="1"/>
  <c r="AI122" i="1"/>
  <c r="AK122" i="1" s="1"/>
  <c r="AI126" i="1"/>
  <c r="AK126" i="1" s="1"/>
  <c r="AG140" i="1"/>
  <c r="AI140" i="1" s="1"/>
  <c r="AK140" i="1" s="1"/>
  <c r="AI145" i="1" l="1"/>
  <c r="AK145" i="1" s="1"/>
  <c r="AY130" i="1"/>
  <c r="BA130" i="1" s="1"/>
  <c r="AW140" i="1"/>
  <c r="AY140" i="1" s="1"/>
  <c r="BA140" i="1" s="1"/>
</calcChain>
</file>

<file path=xl/sharedStrings.xml><?xml version="1.0" encoding="utf-8"?>
<sst xmlns="http://schemas.openxmlformats.org/spreadsheetml/2006/main" count="502" uniqueCount="98">
  <si>
    <t>% Increase</t>
  </si>
  <si>
    <t>Avg KW</t>
  </si>
  <si>
    <t>&lt;250</t>
  </si>
  <si>
    <t>KWH</t>
  </si>
  <si>
    <t>GS 3- P  Current</t>
  </si>
  <si>
    <t>GS 3-P Proposed</t>
  </si>
  <si>
    <t>AES 3-P Current</t>
  </si>
  <si>
    <t>AES 3-P Proposed</t>
  </si>
  <si>
    <t>PS Sec Current</t>
  </si>
  <si>
    <t>PS Proposed</t>
  </si>
  <si>
    <t>TODS Current</t>
  </si>
  <si>
    <t>TODS Proposed</t>
  </si>
  <si>
    <t>kwh</t>
  </si>
  <si>
    <t>Total</t>
  </si>
  <si>
    <t>Less AES</t>
  </si>
  <si>
    <t xml:space="preserve">SUm of non AES </t>
  </si>
  <si>
    <t>Total Acct</t>
  </si>
  <si>
    <t>Net Accounts</t>
  </si>
  <si>
    <t>SID</t>
  </si>
  <si>
    <t>Winter CC Coincident Peak</t>
  </si>
  <si>
    <t>Summer CC Coincident Peak</t>
  </si>
  <si>
    <t>KU Coincident Peak</t>
  </si>
  <si>
    <t>Non-Coincident Peak</t>
  </si>
  <si>
    <t>Loss Adjusted NCP</t>
  </si>
  <si>
    <t>Loss Factor</t>
  </si>
  <si>
    <t>TOTAL</t>
  </si>
  <si>
    <t>SID less AES</t>
  </si>
  <si>
    <t>Per PSC 2-97</t>
  </si>
  <si>
    <t>LOLP</t>
  </si>
  <si>
    <t>CP Ratio</t>
  </si>
  <si>
    <t>Adjust to remove ECR</t>
  </si>
  <si>
    <t>Metered KW</t>
  </si>
  <si>
    <t>Minimum Increment</t>
  </si>
  <si>
    <t>Peak</t>
  </si>
  <si>
    <t>Inter</t>
  </si>
  <si>
    <t>Base</t>
  </si>
  <si>
    <t>Summer</t>
  </si>
  <si>
    <t>Winter</t>
  </si>
  <si>
    <t>TODS</t>
  </si>
  <si>
    <t>PS</t>
  </si>
  <si>
    <t>Current KW</t>
  </si>
  <si>
    <t>Proposed KW</t>
  </si>
  <si>
    <t>GS 3-P</t>
  </si>
  <si>
    <t>AES</t>
  </si>
  <si>
    <t>Kwh</t>
  </si>
  <si>
    <t>Customers</t>
  </si>
  <si>
    <t>Energy</t>
  </si>
  <si>
    <t>Revenues</t>
  </si>
  <si>
    <t>Max NCP</t>
  </si>
  <si>
    <t>School</t>
  </si>
  <si>
    <t>Rev</t>
  </si>
  <si>
    <t>Cost Study Input</t>
  </si>
  <si>
    <t>Customer Months</t>
  </si>
  <si>
    <t>kWh</t>
  </si>
  <si>
    <t>Current</t>
  </si>
  <si>
    <t>Rates</t>
  </si>
  <si>
    <t>Calculated</t>
  </si>
  <si>
    <t>PS-Secondary</t>
  </si>
  <si>
    <t xml:space="preserve">Basic Service </t>
  </si>
  <si>
    <t>Summer kW</t>
  </si>
  <si>
    <t>Winter kW</t>
  </si>
  <si>
    <t>Base kW</t>
  </si>
  <si>
    <t>Peak kW</t>
  </si>
  <si>
    <t xml:space="preserve">  Min Incr</t>
  </si>
  <si>
    <t xml:space="preserve">       Total</t>
  </si>
  <si>
    <t xml:space="preserve">    Total</t>
  </si>
  <si>
    <t>Inter kW</t>
  </si>
  <si>
    <t>Demand</t>
  </si>
  <si>
    <t>KW</t>
  </si>
  <si>
    <t xml:space="preserve">  Min Incr Old</t>
  </si>
  <si>
    <t xml:space="preserve">  Min Incr New</t>
  </si>
  <si>
    <t xml:space="preserve">Proposed </t>
  </si>
  <si>
    <t>Increase</t>
  </si>
  <si>
    <t>Percent</t>
  </si>
  <si>
    <t xml:space="preserve">Total Net </t>
  </si>
  <si>
    <t>`</t>
  </si>
  <si>
    <t>AES #1</t>
  </si>
  <si>
    <t>AES #2</t>
  </si>
  <si>
    <t>AES 3-P</t>
  </si>
  <si>
    <t>Total PS &amp; TODS</t>
  </si>
  <si>
    <t xml:space="preserve">rate Design </t>
  </si>
  <si>
    <t>Months</t>
  </si>
  <si>
    <t xml:space="preserve">Customer </t>
  </si>
  <si>
    <t>Cust</t>
  </si>
  <si>
    <t>Revenue</t>
  </si>
  <si>
    <t>Bills</t>
  </si>
  <si>
    <t>Kw</t>
  </si>
  <si>
    <t>KWh</t>
  </si>
  <si>
    <t>PS &amp; TODS</t>
  </si>
  <si>
    <t>Billings</t>
  </si>
  <si>
    <t>ECR</t>
  </si>
  <si>
    <t>Reduction</t>
  </si>
  <si>
    <t>Present Rates</t>
  </si>
  <si>
    <t>Proposed Rates</t>
  </si>
  <si>
    <t xml:space="preserve"> #1</t>
  </si>
  <si>
    <t>#2</t>
  </si>
  <si>
    <t>#3</t>
  </si>
  <si>
    <t>#$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</si>
</sst>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  <numFmt numFmtId="167" formatCode="0.0%"/>
    <numFmt numFmtId="168" formatCode="_(* #,##0.0_);_(* \(#,##0.0\);_(* &quot;-&quot;??_);_(@_)"/>
    <numFmt numFmtId="169" formatCode="&quot;$&quot;#,##0.0000"/>
    <numFmt numFmtId="170" formatCode="&quot;$&quot;#,##0.000000"/>
    <numFmt numFmtId="171" formatCode="0.00000"/>
    <numFmt numFmtId="172" formatCode="&quot;$&quot;#,##0.0"/>
    <numFmt numFmtId="173" formatCode="_(* #,##0.0000_);_(* \(#,##0.0000\);_(* &quot;-&quot;??_);_(@_)"/>
    <numFmt numFmtId="174" formatCode="_(* #,##0.00000_);_(* \(#,##0.00000\);_(* &quot;-&quot;??_);_(@_)"/>
    <numFmt numFmtId="175" formatCode="&quot;$&quot;#,##0.00000"/>
    <numFmt numFmtId="176" formatCode="&quot;$&quot;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4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165" fontId="0" fillId="0" borderId="5" xfId="1" applyNumberFormat="1" applyFont="1" applyFill="1" applyBorder="1"/>
    <xf numFmtId="165" fontId="0" fillId="0" borderId="0" xfId="1" applyNumberFormat="1" applyFont="1" applyFill="1" applyBorder="1"/>
    <xf numFmtId="164" fontId="0" fillId="0" borderId="11" xfId="0" applyNumberFormat="1" applyBorder="1"/>
    <xf numFmtId="164" fontId="0" fillId="0" borderId="0" xfId="0" applyNumberFormat="1" applyBorder="1"/>
    <xf numFmtId="164" fontId="0" fillId="0" borderId="8" xfId="0" applyNumberFormat="1" applyBorder="1"/>
    <xf numFmtId="0" fontId="0" fillId="0" borderId="0" xfId="0" applyBorder="1"/>
    <xf numFmtId="0" fontId="0" fillId="0" borderId="7" xfId="0" applyBorder="1"/>
    <xf numFmtId="0" fontId="5" fillId="0" borderId="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9" xfId="0" applyBorder="1"/>
    <xf numFmtId="165" fontId="0" fillId="0" borderId="5" xfId="1" applyNumberFormat="1" applyFont="1" applyBorder="1"/>
    <xf numFmtId="165" fontId="0" fillId="0" borderId="6" xfId="1" applyNumberFormat="1" applyFont="1" applyBorder="1"/>
    <xf numFmtId="165" fontId="0" fillId="0" borderId="0" xfId="1" applyNumberFormat="1" applyFont="1" applyBorder="1"/>
    <xf numFmtId="165" fontId="0" fillId="0" borderId="8" xfId="1" applyNumberFormat="1" applyFont="1" applyBorder="1"/>
    <xf numFmtId="165" fontId="0" fillId="0" borderId="10" xfId="1" applyNumberFormat="1" applyFont="1" applyBorder="1"/>
    <xf numFmtId="165" fontId="0" fillId="0" borderId="11" xfId="1" applyNumberFormat="1" applyFont="1" applyBorder="1"/>
    <xf numFmtId="0" fontId="0" fillId="0" borderId="21" xfId="0" applyBorder="1"/>
    <xf numFmtId="165" fontId="1" fillId="0" borderId="0" xfId="1" applyNumberFormat="1" applyFont="1" applyFill="1" applyBorder="1"/>
    <xf numFmtId="165" fontId="0" fillId="0" borderId="0" xfId="0" applyNumberFormat="1" applyBorder="1"/>
    <xf numFmtId="0" fontId="0" fillId="0" borderId="8" xfId="0" applyBorder="1"/>
    <xf numFmtId="0" fontId="8" fillId="0" borderId="0" xfId="0" applyFont="1"/>
    <xf numFmtId="0" fontId="7" fillId="0" borderId="4" xfId="0" applyFont="1" applyBorder="1"/>
    <xf numFmtId="0" fontId="0" fillId="0" borderId="5" xfId="0" applyBorder="1"/>
    <xf numFmtId="0" fontId="0" fillId="0" borderId="6" xfId="0" applyBorder="1"/>
    <xf numFmtId="164" fontId="0" fillId="0" borderId="8" xfId="3" applyNumberFormat="1" applyFont="1" applyBorder="1"/>
    <xf numFmtId="0" fontId="0" fillId="0" borderId="10" xfId="0" applyBorder="1"/>
    <xf numFmtId="166" fontId="0" fillId="0" borderId="0" xfId="0" applyNumberFormat="1" applyBorder="1"/>
    <xf numFmtId="175" fontId="0" fillId="0" borderId="0" xfId="0" applyNumberFormat="1" applyBorder="1"/>
    <xf numFmtId="0" fontId="0" fillId="0" borderId="0" xfId="0" applyBorder="1" applyAlignment="1">
      <alignment horizontal="center"/>
    </xf>
    <xf numFmtId="166" fontId="0" fillId="0" borderId="0" xfId="3" applyNumberFormat="1" applyFont="1" applyBorder="1"/>
    <xf numFmtId="175" fontId="0" fillId="0" borderId="0" xfId="3" applyNumberFormat="1" applyFont="1" applyBorder="1"/>
    <xf numFmtId="165" fontId="1" fillId="0" borderId="4" xfId="1" applyNumberFormat="1" applyFont="1" applyFill="1" applyBorder="1"/>
    <xf numFmtId="165" fontId="1" fillId="0" borderId="5" xfId="1" applyNumberFormat="1" applyFont="1" applyFill="1" applyBorder="1"/>
    <xf numFmtId="165" fontId="1" fillId="0" borderId="6" xfId="1" applyNumberFormat="1" applyFont="1" applyFill="1" applyBorder="1"/>
    <xf numFmtId="165" fontId="1" fillId="0" borderId="7" xfId="1" applyNumberFormat="1" applyFont="1" applyBorder="1"/>
    <xf numFmtId="165" fontId="1" fillId="0" borderId="0" xfId="1" applyNumberFormat="1" applyFont="1" applyBorder="1"/>
    <xf numFmtId="165" fontId="1" fillId="0" borderId="8" xfId="1" applyNumberFormat="1" applyFont="1" applyBorder="1"/>
    <xf numFmtId="165" fontId="1" fillId="0" borderId="7" xfId="1" applyNumberFormat="1" applyFont="1" applyFill="1" applyBorder="1"/>
    <xf numFmtId="165" fontId="1" fillId="0" borderId="8" xfId="1" applyNumberFormat="1" applyFont="1" applyFill="1" applyBorder="1"/>
    <xf numFmtId="165" fontId="1" fillId="0" borderId="7" xfId="1" applyNumberFormat="1" applyFon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165" fontId="1" fillId="0" borderId="8" xfId="1" applyNumberFormat="1" applyFont="1" applyBorder="1" applyAlignment="1">
      <alignment horizontal="center"/>
    </xf>
    <xf numFmtId="165" fontId="1" fillId="0" borderId="9" xfId="1" applyNumberFormat="1" applyFont="1" applyFill="1" applyBorder="1"/>
    <xf numFmtId="165" fontId="1" fillId="0" borderId="10" xfId="1" applyNumberFormat="1" applyFont="1" applyFill="1" applyBorder="1"/>
    <xf numFmtId="165" fontId="1" fillId="0" borderId="11" xfId="1" applyNumberFormat="1" applyFont="1" applyFill="1" applyBorder="1"/>
    <xf numFmtId="0" fontId="0" fillId="0" borderId="0" xfId="0" applyFill="1" applyBorder="1" applyAlignment="1">
      <alignment horizontal="center"/>
    </xf>
    <xf numFmtId="166" fontId="0" fillId="0" borderId="7" xfId="0" applyNumberFormat="1" applyBorder="1"/>
    <xf numFmtId="175" fontId="0" fillId="0" borderId="7" xfId="0" applyNumberFormat="1" applyBorder="1"/>
    <xf numFmtId="164" fontId="0" fillId="0" borderId="9" xfId="0" applyNumberFormat="1" applyBorder="1"/>
    <xf numFmtId="164" fontId="0" fillId="0" borderId="6" xfId="3" applyNumberFormat="1" applyFont="1" applyBorder="1"/>
    <xf numFmtId="166" fontId="0" fillId="0" borderId="4" xfId="3" applyNumberFormat="1" applyFont="1" applyBorder="1"/>
    <xf numFmtId="166" fontId="0" fillId="0" borderId="5" xfId="3" applyNumberFormat="1" applyFont="1" applyBorder="1"/>
    <xf numFmtId="164" fontId="0" fillId="0" borderId="13" xfId="0" applyNumberFormat="1" applyBorder="1"/>
    <xf numFmtId="164" fontId="0" fillId="0" borderId="21" xfId="0" applyNumberFormat="1" applyBorder="1"/>
    <xf numFmtId="164" fontId="0" fillId="0" borderId="14" xfId="0" applyNumberFormat="1" applyBorder="1"/>
    <xf numFmtId="10" fontId="0" fillId="0" borderId="13" xfId="2" applyNumberFormat="1" applyFont="1" applyBorder="1"/>
    <xf numFmtId="10" fontId="0" fillId="0" borderId="21" xfId="2" applyNumberFormat="1" applyFont="1" applyBorder="1"/>
    <xf numFmtId="10" fontId="0" fillId="0" borderId="14" xfId="2" applyNumberFormat="1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165" fontId="0" fillId="2" borderId="0" xfId="1" applyNumberFormat="1" applyFont="1" applyFill="1"/>
    <xf numFmtId="165" fontId="1" fillId="2" borderId="0" xfId="1" applyNumberFormat="1" applyFont="1" applyFill="1" applyBorder="1"/>
    <xf numFmtId="165" fontId="0" fillId="2" borderId="23" xfId="1" applyNumberFormat="1" applyFont="1" applyFill="1" applyBorder="1"/>
    <xf numFmtId="165" fontId="0" fillId="0" borderId="10" xfId="1" applyNumberFormat="1" applyFont="1" applyFill="1" applyBorder="1"/>
    <xf numFmtId="165" fontId="1" fillId="2" borderId="4" xfId="1" applyNumberFormat="1" applyFont="1" applyFill="1" applyBorder="1"/>
    <xf numFmtId="165" fontId="1" fillId="2" borderId="5" xfId="1" applyNumberFormat="1" applyFont="1" applyFill="1" applyBorder="1"/>
    <xf numFmtId="165" fontId="1" fillId="2" borderId="6" xfId="1" applyNumberFormat="1" applyFont="1" applyFill="1" applyBorder="1"/>
    <xf numFmtId="165" fontId="1" fillId="2" borderId="7" xfId="1" applyNumberFormat="1" applyFont="1" applyFill="1" applyBorder="1"/>
    <xf numFmtId="165" fontId="1" fillId="2" borderId="8" xfId="1" applyNumberFormat="1" applyFont="1" applyFill="1" applyBorder="1"/>
    <xf numFmtId="0" fontId="0" fillId="0" borderId="0" xfId="0" applyAlignment="1">
      <alignment horizontal="center"/>
    </xf>
    <xf numFmtId="0" fontId="4" fillId="0" borderId="4" xfId="0" applyFont="1" applyBorder="1"/>
    <xf numFmtId="166" fontId="0" fillId="0" borderId="7" xfId="3" applyNumberFormat="1" applyFont="1" applyBorder="1"/>
    <xf numFmtId="0" fontId="0" fillId="0" borderId="13" xfId="0" applyBorder="1"/>
    <xf numFmtId="10" fontId="0" fillId="0" borderId="0" xfId="2" applyNumberFormat="1" applyFont="1" applyBorder="1"/>
    <xf numFmtId="0" fontId="0" fillId="3" borderId="0" xfId="0" applyFill="1"/>
    <xf numFmtId="175" fontId="0" fillId="0" borderId="7" xfId="3" applyNumberFormat="1" applyFont="1" applyBorder="1"/>
    <xf numFmtId="166" fontId="0" fillId="0" borderId="0" xfId="0" applyNumberFormat="1"/>
    <xf numFmtId="0" fontId="0" fillId="0" borderId="14" xfId="0" applyBorder="1"/>
    <xf numFmtId="14" fontId="2" fillId="0" borderId="0" xfId="0" applyNumberFormat="1" applyFo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0" fontId="0" fillId="0" borderId="0" xfId="2" applyNumberFormat="1" applyFont="1"/>
    <xf numFmtId="164" fontId="0" fillId="0" borderId="7" xfId="0" applyNumberFormat="1" applyBorder="1"/>
    <xf numFmtId="176" fontId="0" fillId="0" borderId="0" xfId="0" applyNumberFormat="1"/>
    <xf numFmtId="165" fontId="1" fillId="2" borderId="9" xfId="1" applyNumberFormat="1" applyFont="1" applyFill="1" applyBorder="1"/>
    <xf numFmtId="165" fontId="1" fillId="2" borderId="10" xfId="1" applyNumberFormat="1" applyFont="1" applyFill="1" applyBorder="1"/>
    <xf numFmtId="165" fontId="1" fillId="2" borderId="11" xfId="1" applyNumberFormat="1" applyFont="1" applyFill="1" applyBorder="1"/>
    <xf numFmtId="0" fontId="2" fillId="2" borderId="5" xfId="0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165" fontId="2" fillId="0" borderId="5" xfId="0" applyNumberFormat="1" applyFont="1" applyBorder="1"/>
    <xf numFmtId="165" fontId="2" fillId="0" borderId="6" xfId="0" applyNumberFormat="1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165" fontId="2" fillId="0" borderId="0" xfId="0" applyNumberFormat="1" applyFont="1" applyBorder="1"/>
    <xf numFmtId="165" fontId="2" fillId="0" borderId="8" xfId="0" applyNumberFormat="1" applyFont="1" applyBorder="1"/>
    <xf numFmtId="164" fontId="2" fillId="0" borderId="0" xfId="0" applyNumberFormat="1" applyFont="1" applyBorder="1"/>
    <xf numFmtId="164" fontId="2" fillId="0" borderId="8" xfId="0" applyNumberFormat="1" applyFont="1" applyBorder="1"/>
    <xf numFmtId="43" fontId="2" fillId="0" borderId="0" xfId="0" applyNumberFormat="1" applyFont="1" applyBorder="1"/>
    <xf numFmtId="43" fontId="2" fillId="0" borderId="8" xfId="0" applyNumberFormat="1" applyFont="1" applyBorder="1"/>
    <xf numFmtId="0" fontId="2" fillId="0" borderId="10" xfId="0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Fill="1" applyBorder="1"/>
    <xf numFmtId="164" fontId="2" fillId="2" borderId="5" xfId="0" applyNumberFormat="1" applyFont="1" applyFill="1" applyBorder="1"/>
    <xf numFmtId="10" fontId="2" fillId="2" borderId="5" xfId="2" applyNumberFormat="1" applyFont="1" applyFill="1" applyBorder="1"/>
    <xf numFmtId="165" fontId="2" fillId="2" borderId="5" xfId="1" applyNumberFormat="1" applyFont="1" applyFill="1" applyBorder="1"/>
    <xf numFmtId="3" fontId="2" fillId="2" borderId="6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165" fontId="2" fillId="2" borderId="12" xfId="1" applyNumberFormat="1" applyFont="1" applyFill="1" applyBorder="1"/>
    <xf numFmtId="165" fontId="2" fillId="2" borderId="22" xfId="1" applyNumberFormat="1" applyFont="1" applyFill="1" applyBorder="1"/>
    <xf numFmtId="0" fontId="2" fillId="2" borderId="0" xfId="0" applyFont="1" applyFill="1"/>
    <xf numFmtId="165" fontId="2" fillId="2" borderId="0" xfId="1" applyNumberFormat="1" applyFont="1" applyFill="1"/>
    <xf numFmtId="0" fontId="2" fillId="0" borderId="7" xfId="0" applyFont="1" applyFill="1" applyBorder="1"/>
    <xf numFmtId="164" fontId="2" fillId="0" borderId="0" xfId="0" applyNumberFormat="1" applyFont="1" applyFill="1" applyBorder="1"/>
    <xf numFmtId="167" fontId="2" fillId="0" borderId="0" xfId="2" applyNumberFormat="1" applyFont="1" applyFill="1" applyBorder="1"/>
    <xf numFmtId="165" fontId="2" fillId="0" borderId="0" xfId="1" applyNumberFormat="1" applyFont="1" applyFill="1" applyBorder="1"/>
    <xf numFmtId="0" fontId="2" fillId="0" borderId="0" xfId="0" applyFont="1" applyFill="1" applyBorder="1"/>
    <xf numFmtId="165" fontId="2" fillId="0" borderId="8" xfId="1" applyNumberFormat="1" applyFont="1" applyFill="1" applyBorder="1"/>
    <xf numFmtId="165" fontId="2" fillId="0" borderId="0" xfId="1" applyNumberFormat="1" applyFont="1"/>
    <xf numFmtId="9" fontId="2" fillId="0" borderId="0" xfId="2" applyFont="1" applyFill="1" applyBorder="1"/>
    <xf numFmtId="165" fontId="2" fillId="0" borderId="4" xfId="1" applyNumberFormat="1" applyFont="1" applyBorder="1"/>
    <xf numFmtId="165" fontId="2" fillId="0" borderId="6" xfId="1" applyNumberFormat="1" applyFont="1" applyBorder="1"/>
    <xf numFmtId="164" fontId="2" fillId="2" borderId="0" xfId="3" applyNumberFormat="1" applyFont="1" applyFill="1"/>
    <xf numFmtId="169" fontId="2" fillId="0" borderId="0" xfId="0" applyNumberFormat="1" applyFont="1" applyFill="1" applyBorder="1"/>
    <xf numFmtId="166" fontId="2" fillId="0" borderId="0" xfId="0" applyNumberFormat="1" applyFont="1" applyFill="1" applyBorder="1"/>
    <xf numFmtId="0" fontId="2" fillId="0" borderId="8" xfId="0" applyFont="1" applyFill="1" applyBorder="1"/>
    <xf numFmtId="171" fontId="2" fillId="0" borderId="0" xfId="0" applyNumberFormat="1" applyFont="1"/>
    <xf numFmtId="174" fontId="2" fillId="0" borderId="7" xfId="1" applyNumberFormat="1" applyFont="1" applyBorder="1"/>
    <xf numFmtId="174" fontId="2" fillId="0" borderId="8" xfId="1" applyNumberFormat="1" applyFont="1" applyBorder="1"/>
    <xf numFmtId="165" fontId="2" fillId="0" borderId="0" xfId="0" applyNumberFormat="1" applyFont="1"/>
    <xf numFmtId="165" fontId="2" fillId="0" borderId="7" xfId="1" applyNumberFormat="1" applyFont="1" applyBorder="1"/>
    <xf numFmtId="165" fontId="2" fillId="0" borderId="8" xfId="1" applyNumberFormat="1" applyFont="1" applyBorder="1"/>
    <xf numFmtId="173" fontId="2" fillId="0" borderId="7" xfId="1" applyNumberFormat="1" applyFont="1" applyBorder="1"/>
    <xf numFmtId="173" fontId="2" fillId="0" borderId="8" xfId="1" applyNumberFormat="1" applyFont="1" applyBorder="1"/>
    <xf numFmtId="165" fontId="2" fillId="0" borderId="9" xfId="1" applyNumberFormat="1" applyFont="1" applyBorder="1"/>
    <xf numFmtId="165" fontId="2" fillId="0" borderId="11" xfId="1" applyNumberFormat="1" applyFont="1" applyBorder="1"/>
    <xf numFmtId="164" fontId="2" fillId="0" borderId="5" xfId="0" applyNumberFormat="1" applyFont="1" applyFill="1" applyBorder="1"/>
    <xf numFmtId="164" fontId="2" fillId="0" borderId="6" xfId="0" applyNumberFormat="1" applyFont="1" applyFill="1" applyBorder="1"/>
    <xf numFmtId="0" fontId="2" fillId="0" borderId="0" xfId="0" applyFont="1" applyAlignment="1"/>
    <xf numFmtId="0" fontId="3" fillId="0" borderId="0" xfId="0" applyFont="1"/>
    <xf numFmtId="164" fontId="2" fillId="0" borderId="8" xfId="0" applyNumberFormat="1" applyFont="1" applyFill="1" applyBorder="1"/>
    <xf numFmtId="0" fontId="2" fillId="0" borderId="7" xfId="0" applyFont="1" applyFill="1" applyBorder="1" applyAlignment="1">
      <alignment horizontal="right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0" xfId="0" applyFont="1" applyFill="1" applyAlignment="1">
      <alignment vertical="center"/>
    </xf>
    <xf numFmtId="0" fontId="2" fillId="0" borderId="5" xfId="0" applyFont="1" applyFill="1" applyBorder="1"/>
    <xf numFmtId="167" fontId="2" fillId="2" borderId="5" xfId="2" applyNumberFormat="1" applyFont="1" applyFill="1" applyBorder="1"/>
    <xf numFmtId="167" fontId="2" fillId="0" borderId="5" xfId="2" applyNumberFormat="1" applyFont="1" applyFill="1" applyBorder="1"/>
    <xf numFmtId="164" fontId="2" fillId="2" borderId="5" xfId="1" applyNumberFormat="1" applyFont="1" applyFill="1" applyBorder="1"/>
    <xf numFmtId="165" fontId="2" fillId="2" borderId="6" xfId="1" applyNumberFormat="1" applyFont="1" applyFill="1" applyBorder="1"/>
    <xf numFmtId="165" fontId="2" fillId="2" borderId="0" xfId="1" applyNumberFormat="1" applyFont="1" applyFill="1" applyBorder="1"/>
    <xf numFmtId="0" fontId="2" fillId="2" borderId="0" xfId="0" applyFont="1" applyFill="1" applyBorder="1"/>
    <xf numFmtId="165" fontId="2" fillId="2" borderId="8" xfId="1" applyNumberFormat="1" applyFont="1" applyFill="1" applyBorder="1"/>
    <xf numFmtId="164" fontId="2" fillId="2" borderId="0" xfId="0" applyNumberFormat="1" applyFont="1" applyFill="1" applyBorder="1"/>
    <xf numFmtId="167" fontId="2" fillId="2" borderId="0" xfId="2" applyNumberFormat="1" applyFont="1" applyFill="1" applyBorder="1"/>
    <xf numFmtId="164" fontId="2" fillId="2" borderId="0" xfId="0" applyNumberFormat="1" applyFont="1" applyFill="1"/>
    <xf numFmtId="165" fontId="2" fillId="0" borderId="0" xfId="1" applyNumberFormat="1" applyFont="1" applyFill="1"/>
    <xf numFmtId="164" fontId="2" fillId="0" borderId="0" xfId="0" applyNumberFormat="1" applyFont="1"/>
    <xf numFmtId="165" fontId="2" fillId="0" borderId="4" xfId="1" applyNumberFormat="1" applyFont="1" applyFill="1" applyBorder="1"/>
    <xf numFmtId="165" fontId="2" fillId="0" borderId="6" xfId="1" applyNumberFormat="1" applyFont="1" applyFill="1" applyBorder="1"/>
    <xf numFmtId="170" fontId="2" fillId="0" borderId="0" xfId="0" applyNumberFormat="1" applyFont="1" applyFill="1" applyBorder="1"/>
    <xf numFmtId="171" fontId="2" fillId="0" borderId="0" xfId="0" applyNumberFormat="1" applyFont="1" applyFill="1"/>
    <xf numFmtId="43" fontId="2" fillId="2" borderId="5" xfId="1" applyFont="1" applyFill="1" applyBorder="1"/>
    <xf numFmtId="0" fontId="2" fillId="2" borderId="8" xfId="0" applyFont="1" applyFill="1" applyBorder="1"/>
    <xf numFmtId="168" fontId="2" fillId="0" borderId="8" xfId="1" applyNumberFormat="1" applyFont="1" applyFill="1" applyBorder="1"/>
    <xf numFmtId="172" fontId="2" fillId="0" borderId="0" xfId="0" applyNumberFormat="1" applyFont="1" applyFill="1" applyBorder="1"/>
    <xf numFmtId="0" fontId="2" fillId="0" borderId="0" xfId="0" applyFont="1" applyAlignment="1">
      <alignment horizontal="center" vertical="center"/>
    </xf>
    <xf numFmtId="1" fontId="2" fillId="2" borderId="10" xfId="0" applyNumberFormat="1" applyFont="1" applyFill="1" applyBorder="1"/>
    <xf numFmtId="165" fontId="2" fillId="0" borderId="5" xfId="1" applyNumberFormat="1" applyFont="1" applyFill="1" applyBorder="1"/>
    <xf numFmtId="165" fontId="2" fillId="2" borderId="23" xfId="1" applyNumberFormat="1" applyFont="1" applyFill="1" applyBorder="1"/>
    <xf numFmtId="0" fontId="2" fillId="0" borderId="0" xfId="0" applyFont="1" applyFill="1" applyBorder="1" applyAlignment="1">
      <alignment horizontal="center" wrapText="1"/>
    </xf>
    <xf numFmtId="165" fontId="2" fillId="2" borderId="24" xfId="1" applyNumberFormat="1" applyFont="1" applyFill="1" applyBorder="1"/>
    <xf numFmtId="165" fontId="2" fillId="0" borderId="13" xfId="1" applyNumberFormat="1" applyFont="1" applyBorder="1"/>
    <xf numFmtId="171" fontId="2" fillId="0" borderId="7" xfId="0" applyNumberFormat="1" applyFont="1" applyFill="1" applyBorder="1"/>
    <xf numFmtId="171" fontId="2" fillId="0" borderId="21" xfId="0" applyNumberFormat="1" applyFont="1" applyFill="1" applyBorder="1"/>
    <xf numFmtId="164" fontId="2" fillId="0" borderId="0" xfId="3" applyNumberFormat="1" applyFont="1" applyFill="1" applyBorder="1"/>
    <xf numFmtId="165" fontId="2" fillId="0" borderId="7" xfId="0" applyNumberFormat="1" applyFont="1" applyBorder="1"/>
    <xf numFmtId="165" fontId="2" fillId="0" borderId="21" xfId="1" applyNumberFormat="1" applyFont="1" applyBorder="1"/>
    <xf numFmtId="0" fontId="2" fillId="0" borderId="21" xfId="0" applyFont="1" applyBorder="1"/>
    <xf numFmtId="164" fontId="2" fillId="2" borderId="3" xfId="0" applyNumberFormat="1" applyFont="1" applyFill="1" applyBorder="1"/>
    <xf numFmtId="165" fontId="2" fillId="2" borderId="12" xfId="0" applyNumberFormat="1" applyFont="1" applyFill="1" applyBorder="1"/>
    <xf numFmtId="165" fontId="2" fillId="2" borderId="23" xfId="0" applyNumberFormat="1" applyFont="1" applyFill="1" applyBorder="1"/>
    <xf numFmtId="165" fontId="2" fillId="0" borderId="7" xfId="1" applyNumberFormat="1" applyFont="1" applyFill="1" applyBorder="1"/>
    <xf numFmtId="165" fontId="2" fillId="4" borderId="21" xfId="1" applyNumberFormat="1" applyFont="1" applyFill="1" applyBorder="1"/>
    <xf numFmtId="0" fontId="2" fillId="0" borderId="13" xfId="0" applyFont="1" applyBorder="1" applyAlignment="1">
      <alignment horizontal="center"/>
    </xf>
    <xf numFmtId="43" fontId="2" fillId="2" borderId="14" xfId="0" applyNumberFormat="1" applyFont="1" applyFill="1" applyBorder="1" applyAlignment="1">
      <alignment horizontal="center" vertical="center"/>
    </xf>
    <xf numFmtId="165" fontId="2" fillId="0" borderId="14" xfId="1" applyNumberFormat="1" applyFont="1" applyBorder="1"/>
    <xf numFmtId="164" fontId="2" fillId="0" borderId="5" xfId="0" applyNumberFormat="1" applyFont="1" applyBorder="1"/>
    <xf numFmtId="167" fontId="2" fillId="0" borderId="0" xfId="2" applyNumberFormat="1" applyFont="1"/>
    <xf numFmtId="0" fontId="9" fillId="0" borderId="0" xfId="0" applyFont="1" applyBorder="1"/>
    <xf numFmtId="0" fontId="9" fillId="0" borderId="4" xfId="0" applyFont="1" applyBorder="1"/>
    <xf numFmtId="0" fontId="2" fillId="3" borderId="0" xfId="0" applyFont="1" applyFill="1"/>
    <xf numFmtId="1" fontId="2" fillId="0" borderId="0" xfId="0" applyNumberFormat="1" applyFont="1" applyFill="1" applyBorder="1"/>
    <xf numFmtId="165" fontId="2" fillId="0" borderId="0" xfId="1" applyNumberFormat="1" applyFont="1" applyBorder="1"/>
    <xf numFmtId="171" fontId="2" fillId="0" borderId="0" xfId="0" applyNumberFormat="1" applyFont="1" applyFill="1" applyBorder="1"/>
    <xf numFmtId="165" fontId="2" fillId="0" borderId="21" xfId="0" applyNumberFormat="1" applyFont="1" applyBorder="1"/>
    <xf numFmtId="165" fontId="2" fillId="2" borderId="22" xfId="0" applyNumberFormat="1" applyFont="1" applyFill="1" applyBorder="1"/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165" fontId="10" fillId="0" borderId="23" xfId="1" applyNumberFormat="1" applyFont="1" applyFill="1" applyBorder="1"/>
    <xf numFmtId="0" fontId="0" fillId="0" borderId="12" xfId="0" applyBorder="1" applyAlignment="1">
      <alignment horizontal="center"/>
    </xf>
    <xf numFmtId="164" fontId="0" fillId="0" borderId="10" xfId="0" applyNumberFormat="1" applyBorder="1"/>
    <xf numFmtId="164" fontId="0" fillId="0" borderId="5" xfId="0" applyNumberFormat="1" applyFont="1" applyBorder="1" applyAlignment="1">
      <alignment horizontal="center"/>
    </xf>
    <xf numFmtId="164" fontId="0" fillId="0" borderId="5" xfId="0" applyNumberFormat="1" applyFont="1" applyBorder="1"/>
    <xf numFmtId="164" fontId="0" fillId="0" borderId="6" xfId="0" applyNumberFormat="1" applyFont="1" applyBorder="1"/>
    <xf numFmtId="165" fontId="1" fillId="0" borderId="0" xfId="1" applyNumberFormat="1" applyFont="1" applyFill="1"/>
    <xf numFmtId="0" fontId="0" fillId="0" borderId="0" xfId="0" applyFont="1" applyAlignment="1">
      <alignment horizontal="center"/>
    </xf>
    <xf numFmtId="165" fontId="1" fillId="0" borderId="12" xfId="1" applyNumberFormat="1" applyFont="1" applyFill="1" applyBorder="1"/>
    <xf numFmtId="165" fontId="1" fillId="0" borderId="0" xfId="1" applyNumberFormat="1" applyFont="1"/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28"/>
  <sheetViews>
    <sheetView tabSelected="1" zoomScaleNormal="100" zoomScaleSheetLayoutView="30" workbookViewId="0">
      <pane xSplit="1" ySplit="4" topLeftCell="B98" activePane="bottomRight" state="frozen"/>
      <selection pane="topRight" activeCell="B1" sqref="B1"/>
      <selection pane="bottomLeft" activeCell="A5" sqref="A5"/>
      <selection pane="bottomRight" activeCell="A70" sqref="A70"/>
    </sheetView>
  </sheetViews>
  <sheetFormatPr defaultRowHeight="15.75" x14ac:dyDescent="0.25"/>
  <cols>
    <col min="1" max="1" width="9.5703125" style="113" customWidth="1"/>
    <col min="2" max="2" width="10" style="113" customWidth="1"/>
    <col min="3" max="3" width="9.140625" style="113"/>
    <col min="4" max="4" width="12.85546875" style="113" bestFit="1" customWidth="1"/>
    <col min="5" max="5" width="12.140625" style="113" customWidth="1"/>
    <col min="6" max="6" width="9.5703125" style="113" bestFit="1" customWidth="1"/>
    <col min="7" max="7" width="13.7109375" style="113" customWidth="1"/>
    <col min="8" max="8" width="12.28515625" style="113" customWidth="1"/>
    <col min="9" max="9" width="9.28515625" style="113" bestFit="1" customWidth="1"/>
    <col min="10" max="10" width="14" style="113" bestFit="1" customWidth="1"/>
    <col min="11" max="11" width="12.140625" style="113" customWidth="1"/>
    <col min="12" max="12" width="9.28515625" style="113" bestFit="1" customWidth="1"/>
    <col min="13" max="13" width="14" style="113" bestFit="1" customWidth="1"/>
    <col min="14" max="14" width="15" style="113" hidden="1" customWidth="1"/>
    <col min="15" max="15" width="14.85546875" style="113" customWidth="1"/>
    <col min="16" max="16" width="10.5703125" style="113" customWidth="1"/>
    <col min="17" max="17" width="13.28515625" style="113" customWidth="1"/>
    <col min="18" max="18" width="13.7109375" style="113" customWidth="1"/>
    <col min="19" max="19" width="13.5703125" style="113" customWidth="1"/>
    <col min="20" max="20" width="14.28515625" style="113" customWidth="1"/>
    <col min="21" max="21" width="9.85546875" style="113" bestFit="1" customWidth="1"/>
    <col min="22" max="22" width="8.5703125" style="113" customWidth="1"/>
    <col min="23" max="23" width="13.28515625" style="113" customWidth="1"/>
    <col min="24" max="24" width="14.28515625" style="113" customWidth="1"/>
    <col min="25" max="25" width="11" style="113" customWidth="1"/>
    <col min="26" max="26" width="10.28515625" customWidth="1"/>
    <col min="27" max="27" width="11.28515625" customWidth="1"/>
    <col min="28" max="28" width="13.42578125" customWidth="1"/>
    <col min="29" max="29" width="14.28515625" bestFit="1" customWidth="1"/>
    <col min="30" max="30" width="13.42578125" customWidth="1"/>
    <col min="31" max="31" width="10.140625" bestFit="1" customWidth="1"/>
    <col min="32" max="32" width="13.28515625" customWidth="1"/>
    <col min="33" max="33" width="12.5703125" customWidth="1"/>
    <col min="34" max="34" width="9.5703125" bestFit="1" customWidth="1"/>
    <col min="35" max="35" width="12" customWidth="1"/>
    <col min="36" max="37" width="9.5703125" bestFit="1" customWidth="1"/>
    <col min="38" max="38" width="10.5703125" bestFit="1" customWidth="1"/>
    <col min="39" max="39" width="9.5703125" bestFit="1" customWidth="1"/>
    <col min="40" max="40" width="9.28515625" bestFit="1" customWidth="1"/>
    <col min="43" max="43" width="11.28515625" customWidth="1"/>
    <col min="44" max="44" width="18.7109375" bestFit="1" customWidth="1"/>
    <col min="45" max="45" width="10.85546875" customWidth="1"/>
    <col min="46" max="46" width="14.85546875" customWidth="1"/>
    <col min="48" max="48" width="10.85546875" customWidth="1"/>
    <col min="49" max="49" width="13.42578125" customWidth="1"/>
    <col min="51" max="51" width="12.42578125" customWidth="1"/>
  </cols>
  <sheetData>
    <row r="1" spans="1:40" x14ac:dyDescent="0.25">
      <c r="A1" s="250" t="s">
        <v>4</v>
      </c>
      <c r="B1" s="250" t="s">
        <v>5</v>
      </c>
      <c r="C1" s="249" t="s">
        <v>0</v>
      </c>
      <c r="D1" s="251" t="s">
        <v>6</v>
      </c>
      <c r="E1" s="251" t="s">
        <v>7</v>
      </c>
      <c r="F1" s="249" t="s">
        <v>0</v>
      </c>
      <c r="G1" s="251" t="s">
        <v>8</v>
      </c>
      <c r="H1" s="251" t="s">
        <v>9</v>
      </c>
      <c r="I1" s="249" t="s">
        <v>0</v>
      </c>
      <c r="J1" s="256" t="s">
        <v>10</v>
      </c>
      <c r="K1" s="256" t="s">
        <v>11</v>
      </c>
      <c r="L1" s="249" t="s">
        <v>0</v>
      </c>
      <c r="N1" s="114">
        <v>250</v>
      </c>
      <c r="O1" s="114"/>
      <c r="X1" s="115"/>
      <c r="Y1" s="115"/>
      <c r="AE1" s="248" t="s">
        <v>38</v>
      </c>
      <c r="AF1" s="248"/>
      <c r="AG1" s="248"/>
      <c r="AH1" s="248" t="s">
        <v>39</v>
      </c>
      <c r="AI1" s="248"/>
      <c r="AJ1" s="248" t="s">
        <v>38</v>
      </c>
      <c r="AK1" s="248"/>
      <c r="AL1" s="248"/>
      <c r="AM1" s="248" t="s">
        <v>39</v>
      </c>
      <c r="AN1" s="248"/>
    </row>
    <row r="2" spans="1:40" ht="31.5" customHeight="1" x14ac:dyDescent="0.25">
      <c r="A2" s="250"/>
      <c r="B2" s="250"/>
      <c r="C2" s="249"/>
      <c r="D2" s="251"/>
      <c r="E2" s="251"/>
      <c r="F2" s="249"/>
      <c r="G2" s="251"/>
      <c r="H2" s="251"/>
      <c r="I2" s="249"/>
      <c r="J2" s="256"/>
      <c r="K2" s="256"/>
      <c r="L2" s="249"/>
      <c r="M2" s="116" t="s">
        <v>1</v>
      </c>
      <c r="N2" s="117" t="s">
        <v>2</v>
      </c>
      <c r="O2" s="118" t="s">
        <v>3</v>
      </c>
      <c r="P2" s="119" t="s">
        <v>18</v>
      </c>
      <c r="X2" s="120"/>
      <c r="Y2" s="120"/>
      <c r="Z2" s="247" t="s">
        <v>31</v>
      </c>
      <c r="AA2" s="247"/>
      <c r="AB2" s="247"/>
      <c r="AC2" s="247"/>
      <c r="AD2" s="247"/>
      <c r="AE2" s="247" t="s">
        <v>32</v>
      </c>
      <c r="AF2" s="247"/>
      <c r="AG2" s="255"/>
      <c r="AH2" s="247" t="s">
        <v>32</v>
      </c>
      <c r="AI2" s="247"/>
      <c r="AJ2" s="247" t="s">
        <v>32</v>
      </c>
      <c r="AK2" s="247"/>
      <c r="AL2" s="255"/>
      <c r="AM2" s="247" t="s">
        <v>32</v>
      </c>
      <c r="AN2" s="247"/>
    </row>
    <row r="3" spans="1:40" ht="16.5" thickBot="1" x14ac:dyDescent="0.3">
      <c r="T3" s="121"/>
      <c r="U3" s="121"/>
      <c r="X3" s="115"/>
      <c r="Y3" s="115"/>
      <c r="Z3" s="10" t="s">
        <v>33</v>
      </c>
      <c r="AA3" s="10" t="s">
        <v>34</v>
      </c>
      <c r="AB3" s="10" t="s">
        <v>35</v>
      </c>
      <c r="AC3" s="11" t="s">
        <v>36</v>
      </c>
      <c r="AD3" s="11" t="s">
        <v>37</v>
      </c>
      <c r="AE3" s="11" t="s">
        <v>33</v>
      </c>
      <c r="AF3" s="11" t="s">
        <v>34</v>
      </c>
      <c r="AG3" s="11" t="s">
        <v>35</v>
      </c>
      <c r="AH3" s="11" t="s">
        <v>36</v>
      </c>
      <c r="AI3" s="11" t="s">
        <v>37</v>
      </c>
      <c r="AJ3" s="10" t="s">
        <v>33</v>
      </c>
      <c r="AK3" s="10" t="s">
        <v>34</v>
      </c>
      <c r="AL3" s="10" t="s">
        <v>35</v>
      </c>
      <c r="AM3" s="10" t="s">
        <v>36</v>
      </c>
      <c r="AN3" s="10" t="s">
        <v>37</v>
      </c>
    </row>
    <row r="4" spans="1:40" ht="21.75" thickBot="1" x14ac:dyDescent="0.4">
      <c r="M4" s="114"/>
      <c r="O4" s="114" t="s">
        <v>12</v>
      </c>
      <c r="T4" s="122" t="s">
        <v>39</v>
      </c>
      <c r="U4" s="123" t="s">
        <v>38</v>
      </c>
      <c r="W4" s="114" t="s">
        <v>50</v>
      </c>
      <c r="X4" s="114" t="s">
        <v>44</v>
      </c>
      <c r="Z4" s="235" t="s">
        <v>38</v>
      </c>
      <c r="AA4" s="233"/>
      <c r="AB4" s="233"/>
      <c r="AC4" s="236" t="s">
        <v>39</v>
      </c>
      <c r="AD4" s="237"/>
      <c r="AE4" s="236" t="s">
        <v>40</v>
      </c>
      <c r="AF4" s="238"/>
      <c r="AG4" s="238"/>
      <c r="AH4" s="238"/>
      <c r="AI4" s="237"/>
      <c r="AJ4" s="233" t="s">
        <v>41</v>
      </c>
      <c r="AK4" s="233"/>
      <c r="AL4" s="233"/>
      <c r="AM4" s="233"/>
      <c r="AN4" s="234"/>
    </row>
    <row r="5" spans="1:40" ht="16.5" thickBot="1" x14ac:dyDescent="0.3">
      <c r="A5" s="239" t="s">
        <v>94</v>
      </c>
      <c r="B5" s="124" t="s">
        <v>13</v>
      </c>
      <c r="C5" s="124"/>
      <c r="D5" s="125">
        <v>4340458.1595600015</v>
      </c>
      <c r="E5" s="125">
        <v>4492120.0455599986</v>
      </c>
      <c r="F5" s="126"/>
      <c r="G5" s="125">
        <v>5060865.3157800008</v>
      </c>
      <c r="H5" s="125">
        <v>5336009.3267800026</v>
      </c>
      <c r="I5" s="126"/>
      <c r="J5" s="125">
        <v>4994484.3142800005</v>
      </c>
      <c r="K5" s="125">
        <v>5220845.7330400003</v>
      </c>
      <c r="L5" s="126"/>
      <c r="M5" s="127">
        <v>14666.215</v>
      </c>
      <c r="N5" s="92"/>
      <c r="O5" s="128">
        <v>51507924</v>
      </c>
      <c r="P5" s="129">
        <v>18244.62</v>
      </c>
      <c r="Q5" s="113" t="s">
        <v>18</v>
      </c>
      <c r="T5" s="130">
        <v>8752.82</v>
      </c>
      <c r="U5" s="131">
        <v>9491.7999999999993</v>
      </c>
      <c r="W5" s="132"/>
      <c r="X5" s="133">
        <v>0</v>
      </c>
      <c r="Y5" s="97" t="s">
        <v>42</v>
      </c>
      <c r="Z5" s="14">
        <v>3928</v>
      </c>
      <c r="AA5" s="14">
        <v>3928</v>
      </c>
      <c r="AB5" s="14">
        <v>3928</v>
      </c>
      <c r="AC5" s="14">
        <v>1628</v>
      </c>
      <c r="AD5" s="14">
        <v>2300</v>
      </c>
      <c r="AE5" s="14">
        <v>0</v>
      </c>
      <c r="AF5" s="14">
        <v>0</v>
      </c>
      <c r="AG5" s="14">
        <v>3.9999999999999911</v>
      </c>
      <c r="AH5" s="14">
        <v>0</v>
      </c>
      <c r="AI5" s="14">
        <v>0</v>
      </c>
      <c r="AJ5" s="14">
        <v>0</v>
      </c>
      <c r="AK5" s="14">
        <v>0</v>
      </c>
      <c r="AL5" s="14">
        <v>619.99999999999989</v>
      </c>
      <c r="AM5" s="14">
        <v>0</v>
      </c>
      <c r="AN5" s="15">
        <v>0</v>
      </c>
    </row>
    <row r="6" spans="1:40" x14ac:dyDescent="0.25">
      <c r="A6" s="239"/>
      <c r="B6" s="134"/>
      <c r="C6" s="134"/>
      <c r="D6" s="135"/>
      <c r="E6" s="135"/>
      <c r="F6" s="136"/>
      <c r="G6" s="135"/>
      <c r="H6" s="135"/>
      <c r="I6" s="136"/>
      <c r="J6" s="135"/>
      <c r="K6" s="135"/>
      <c r="L6" s="136"/>
      <c r="M6" s="137"/>
      <c r="N6" s="138"/>
      <c r="O6" s="139"/>
      <c r="P6" s="140"/>
      <c r="W6" s="132"/>
      <c r="X6" s="133"/>
      <c r="Y6" s="101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</row>
    <row r="7" spans="1:40" x14ac:dyDescent="0.25">
      <c r="A7" s="239"/>
      <c r="B7" s="134" t="s">
        <v>14</v>
      </c>
      <c r="C7" s="134"/>
      <c r="D7" s="135">
        <v>0</v>
      </c>
      <c r="E7" s="135">
        <v>0</v>
      </c>
      <c r="F7" s="136" t="e">
        <v>#DIV/0!</v>
      </c>
      <c r="G7" s="135">
        <v>0</v>
      </c>
      <c r="H7" s="135">
        <v>0</v>
      </c>
      <c r="I7" s="136" t="e">
        <v>#DIV/0!</v>
      </c>
      <c r="J7" s="135">
        <v>0</v>
      </c>
      <c r="K7" s="135">
        <v>0</v>
      </c>
      <c r="L7" s="136" t="e">
        <v>#DIV/0!</v>
      </c>
      <c r="M7" s="137">
        <v>0</v>
      </c>
      <c r="N7" s="138"/>
      <c r="O7" s="139">
        <v>0</v>
      </c>
      <c r="P7" s="140">
        <v>0</v>
      </c>
      <c r="W7" s="132"/>
      <c r="X7" s="133">
        <v>0</v>
      </c>
      <c r="Y7" s="101" t="s">
        <v>43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7">
        <v>0</v>
      </c>
    </row>
    <row r="8" spans="1:40" ht="16.5" thickBot="1" x14ac:dyDescent="0.3">
      <c r="A8" s="239"/>
      <c r="B8" s="134"/>
      <c r="C8" s="134"/>
      <c r="D8" s="135"/>
      <c r="E8" s="135"/>
      <c r="F8" s="136"/>
      <c r="G8" s="135"/>
      <c r="H8" s="135"/>
      <c r="I8" s="136"/>
      <c r="J8" s="135"/>
      <c r="K8" s="135"/>
      <c r="L8" s="136"/>
      <c r="M8" s="137"/>
      <c r="N8" s="138"/>
      <c r="O8" s="139"/>
      <c r="P8" s="140"/>
      <c r="W8" s="132"/>
      <c r="X8" s="133"/>
      <c r="Y8" s="101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</row>
    <row r="9" spans="1:40" x14ac:dyDescent="0.25">
      <c r="A9" s="239"/>
      <c r="B9" s="134" t="s">
        <v>15</v>
      </c>
      <c r="C9" s="134"/>
      <c r="D9" s="135">
        <f>D5-D7</f>
        <v>4340458.1595600015</v>
      </c>
      <c r="E9" s="135">
        <f>E5-E7</f>
        <v>4492120.0455599986</v>
      </c>
      <c r="F9" s="136"/>
      <c r="G9" s="135">
        <f>G5-G7</f>
        <v>5060865.3157800008</v>
      </c>
      <c r="H9" s="135">
        <f>H5-H7</f>
        <v>5336009.3267800026</v>
      </c>
      <c r="I9" s="141"/>
      <c r="J9" s="135">
        <f>J5-J7</f>
        <v>4994484.3142800005</v>
      </c>
      <c r="K9" s="135">
        <f>K5-K7</f>
        <v>5220845.7330400003</v>
      </c>
      <c r="L9" s="136"/>
      <c r="M9" s="137">
        <f>M5-M7</f>
        <v>14666.215</v>
      </c>
      <c r="N9" s="138"/>
      <c r="O9" s="139">
        <f t="shared" ref="O9" si="0">O5-O7</f>
        <v>51507924</v>
      </c>
      <c r="P9" s="140">
        <f>P5-P7</f>
        <v>18244.62</v>
      </c>
      <c r="Q9" s="113" t="s">
        <v>26</v>
      </c>
      <c r="T9" s="142">
        <f t="shared" ref="T9:U9" si="1">T5-T7</f>
        <v>8752.82</v>
      </c>
      <c r="U9" s="143">
        <f t="shared" si="1"/>
        <v>9491.7999999999993</v>
      </c>
      <c r="W9" s="144">
        <v>2423942</v>
      </c>
      <c r="X9" s="133">
        <v>24609261</v>
      </c>
      <c r="Y9" s="101" t="s">
        <v>39</v>
      </c>
      <c r="Z9" s="16">
        <v>83473.37999999999</v>
      </c>
      <c r="AA9" s="16">
        <v>83473.37999999999</v>
      </c>
      <c r="AB9" s="16">
        <v>79427.679999999978</v>
      </c>
      <c r="AC9" s="16">
        <v>35150.820000000007</v>
      </c>
      <c r="AD9" s="16">
        <v>48322.560000000012</v>
      </c>
      <c r="AE9" s="16">
        <v>756.05</v>
      </c>
      <c r="AF9" s="16">
        <v>756.05</v>
      </c>
      <c r="AG9" s="16">
        <v>43878.82</v>
      </c>
      <c r="AH9" s="16">
        <v>606.34999999999991</v>
      </c>
      <c r="AI9" s="16">
        <v>149.69999999999993</v>
      </c>
      <c r="AJ9" s="16">
        <v>756.05</v>
      </c>
      <c r="AK9" s="16">
        <v>756.05</v>
      </c>
      <c r="AL9" s="16">
        <v>49051.519999999997</v>
      </c>
      <c r="AM9" s="16">
        <v>606.35</v>
      </c>
      <c r="AN9" s="17">
        <v>149.70000000000005</v>
      </c>
    </row>
    <row r="10" spans="1:40" x14ac:dyDescent="0.25">
      <c r="A10" s="239"/>
      <c r="B10" s="134"/>
      <c r="C10" s="134"/>
      <c r="D10" s="145"/>
      <c r="E10" s="146"/>
      <c r="F10" s="146"/>
      <c r="G10" s="146"/>
      <c r="H10" s="146"/>
      <c r="I10" s="146"/>
      <c r="J10" s="146"/>
      <c r="K10" s="138"/>
      <c r="L10" s="138"/>
      <c r="M10" s="137"/>
      <c r="N10" s="138"/>
      <c r="O10" s="147"/>
      <c r="P10" s="148">
        <v>1.1875812547</v>
      </c>
      <c r="T10" s="149">
        <v>1.1875812547</v>
      </c>
      <c r="U10" s="150">
        <v>1.1875812547</v>
      </c>
      <c r="W10" s="132"/>
      <c r="X10" s="133"/>
      <c r="Y10" s="101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7"/>
    </row>
    <row r="11" spans="1:40" ht="16.5" thickBot="1" x14ac:dyDescent="0.3">
      <c r="A11" s="239"/>
      <c r="B11" s="134"/>
      <c r="C11" s="134"/>
      <c r="D11" s="135"/>
      <c r="E11" s="135"/>
      <c r="F11" s="138"/>
      <c r="G11" s="135"/>
      <c r="H11" s="135"/>
      <c r="I11" s="138"/>
      <c r="J11" s="135"/>
      <c r="K11" s="135"/>
      <c r="L11" s="138"/>
      <c r="M11" s="137"/>
      <c r="N11" s="138"/>
      <c r="O11" s="147"/>
      <c r="P11" s="151">
        <f>P9/P10</f>
        <v>15362.839323873339</v>
      </c>
      <c r="Q11" s="113" t="s">
        <v>22</v>
      </c>
      <c r="T11" s="152">
        <f t="shared" ref="T11:U11" si="2">T9/T10</f>
        <v>7370.2914772017748</v>
      </c>
      <c r="U11" s="153">
        <f t="shared" si="2"/>
        <v>7992.547846671564</v>
      </c>
      <c r="W11" s="144">
        <v>2493836</v>
      </c>
      <c r="X11" s="133">
        <v>26898663</v>
      </c>
      <c r="Y11" s="93" t="s">
        <v>38</v>
      </c>
      <c r="Z11" s="18">
        <v>92521.2</v>
      </c>
      <c r="AA11" s="18">
        <v>93259</v>
      </c>
      <c r="AB11" s="18">
        <v>94076.1</v>
      </c>
      <c r="AC11" s="18">
        <v>39533.099999999991</v>
      </c>
      <c r="AD11" s="18">
        <v>52988.100000000006</v>
      </c>
      <c r="AE11" s="18">
        <v>0.49999999999999034</v>
      </c>
      <c r="AF11" s="18">
        <v>0</v>
      </c>
      <c r="AG11" s="18">
        <v>2135.25</v>
      </c>
      <c r="AH11" s="18">
        <v>0.50000000000000477</v>
      </c>
      <c r="AI11" s="18">
        <v>0</v>
      </c>
      <c r="AJ11" s="18">
        <v>0.49999999999999656</v>
      </c>
      <c r="AK11" s="18">
        <v>0</v>
      </c>
      <c r="AL11" s="18">
        <v>20784.3</v>
      </c>
      <c r="AM11" s="18">
        <v>0.50000000000000089</v>
      </c>
      <c r="AN11" s="19">
        <v>0</v>
      </c>
    </row>
    <row r="12" spans="1:40" x14ac:dyDescent="0.25">
      <c r="A12" s="239"/>
      <c r="B12" s="134"/>
      <c r="C12" s="134"/>
      <c r="D12" s="135"/>
      <c r="E12" s="135"/>
      <c r="F12" s="138"/>
      <c r="G12" s="135"/>
      <c r="H12" s="135"/>
      <c r="I12" s="138"/>
      <c r="J12" s="135"/>
      <c r="K12" s="135"/>
      <c r="L12" s="138"/>
      <c r="M12" s="137"/>
      <c r="N12" s="138"/>
      <c r="O12" s="147"/>
      <c r="P12" s="113">
        <v>1.0933999999999999</v>
      </c>
      <c r="Q12" s="113" t="s">
        <v>24</v>
      </c>
      <c r="T12" s="154">
        <v>1.0933999999999999</v>
      </c>
      <c r="U12" s="155">
        <v>1.0933999999999999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6.5" thickBot="1" x14ac:dyDescent="0.3">
      <c r="A13" s="239"/>
      <c r="B13" s="134" t="s">
        <v>74</v>
      </c>
      <c r="C13" s="134"/>
      <c r="D13" s="135">
        <f>D9-D11</f>
        <v>4340458.1595600015</v>
      </c>
      <c r="E13" s="135">
        <f>E9-E11</f>
        <v>4492120.0455599986</v>
      </c>
      <c r="F13" s="138"/>
      <c r="G13" s="135">
        <f>G9-G11</f>
        <v>5060865.3157800008</v>
      </c>
      <c r="H13" s="135">
        <f>H9-H11</f>
        <v>5336009.3267800026</v>
      </c>
      <c r="I13" s="138"/>
      <c r="J13" s="135">
        <f>J9-J11</f>
        <v>4994484.3142800005</v>
      </c>
      <c r="K13" s="135">
        <f>K9-K11</f>
        <v>5220845.7330400003</v>
      </c>
      <c r="L13" s="138"/>
      <c r="M13" s="137"/>
      <c r="N13" s="138"/>
      <c r="O13" s="147"/>
      <c r="P13" s="151">
        <f>P11*P12</f>
        <v>16797.728516723106</v>
      </c>
      <c r="Q13" s="113" t="s">
        <v>23</v>
      </c>
      <c r="T13" s="156">
        <f>T11*T12</f>
        <v>8058.6767011724196</v>
      </c>
      <c r="U13" s="157">
        <f>U11*U12</f>
        <v>8739.051815550687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6.5" thickBot="1" x14ac:dyDescent="0.3">
      <c r="A14" s="239"/>
      <c r="B14" s="134"/>
      <c r="C14" s="134"/>
      <c r="D14" s="138"/>
      <c r="E14" s="138"/>
      <c r="F14" s="138"/>
      <c r="G14" s="138"/>
      <c r="H14" s="138"/>
      <c r="I14" s="138"/>
      <c r="J14" s="138"/>
      <c r="K14" s="138"/>
      <c r="L14" s="138"/>
      <c r="M14" s="102"/>
      <c r="N14" s="138"/>
      <c r="O14" s="147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239"/>
      <c r="B15" s="134" t="s">
        <v>16</v>
      </c>
      <c r="C15" s="134"/>
      <c r="D15" s="138">
        <v>62</v>
      </c>
      <c r="E15" s="138">
        <v>62</v>
      </c>
      <c r="F15" s="138"/>
      <c r="G15" s="138"/>
      <c r="H15" s="138"/>
      <c r="I15" s="138"/>
      <c r="J15" s="138"/>
      <c r="K15" s="138"/>
      <c r="L15" s="124"/>
      <c r="M15" s="158"/>
      <c r="N15" s="158"/>
      <c r="O15" s="159"/>
      <c r="P15" s="151">
        <f>S15*$P$13</f>
        <v>13422.942083666134</v>
      </c>
      <c r="Q15" s="160" t="s">
        <v>19</v>
      </c>
      <c r="S15" s="161">
        <f>$S$81</f>
        <v>0.79909269103276803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239"/>
      <c r="B16" s="134"/>
      <c r="C16" s="134"/>
      <c r="D16" s="138"/>
      <c r="E16" s="138"/>
      <c r="F16" s="138"/>
      <c r="G16" s="138"/>
      <c r="H16" s="138"/>
      <c r="I16" s="138"/>
      <c r="J16" s="138"/>
      <c r="K16" s="138"/>
      <c r="L16" s="134"/>
      <c r="M16" s="135"/>
      <c r="N16" s="135"/>
      <c r="O16" s="162"/>
      <c r="P16" s="151">
        <f>S16*$P$13</f>
        <v>9957.6339062707902</v>
      </c>
      <c r="Q16" s="160" t="s">
        <v>20</v>
      </c>
      <c r="S16" s="161">
        <f>$S$82</f>
        <v>0.59279645437520867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x14ac:dyDescent="0.25">
      <c r="A17" s="239"/>
      <c r="B17" s="134" t="s">
        <v>14</v>
      </c>
      <c r="C17" s="134"/>
      <c r="D17" s="138">
        <v>0</v>
      </c>
      <c r="E17" s="138">
        <v>0</v>
      </c>
      <c r="F17" s="138"/>
      <c r="G17" s="138"/>
      <c r="H17" s="138"/>
      <c r="I17" s="138"/>
      <c r="J17" s="138"/>
      <c r="K17" s="138"/>
      <c r="L17" s="163"/>
      <c r="M17" s="135"/>
      <c r="N17" s="135"/>
      <c r="O17" s="162"/>
      <c r="P17" s="151">
        <f>S17*$P$13</f>
        <v>13422.942083666134</v>
      </c>
      <c r="Q17" s="160" t="s">
        <v>21</v>
      </c>
      <c r="S17" s="161">
        <f>$S$83</f>
        <v>0.79909269103276803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x14ac:dyDescent="0.25">
      <c r="A18" s="239"/>
      <c r="B18" s="134"/>
      <c r="C18" s="134"/>
      <c r="D18" s="138"/>
      <c r="E18" s="138"/>
      <c r="F18" s="138"/>
      <c r="G18" s="138"/>
      <c r="H18" s="138"/>
      <c r="I18" s="138"/>
      <c r="J18" s="138"/>
      <c r="K18" s="138"/>
      <c r="L18" s="134"/>
      <c r="M18" s="135"/>
      <c r="N18" s="135"/>
      <c r="O18" s="16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6.5" thickBot="1" x14ac:dyDescent="0.3">
      <c r="A19" s="239"/>
      <c r="B19" s="164" t="s">
        <v>17</v>
      </c>
      <c r="C19" s="164"/>
      <c r="D19" s="165">
        <f>D15-D17</f>
        <v>62</v>
      </c>
      <c r="E19" s="165">
        <f>E15-E17</f>
        <v>62</v>
      </c>
      <c r="F19" s="165"/>
      <c r="G19" s="165">
        <v>39</v>
      </c>
      <c r="H19" s="165">
        <f>H15-H17</f>
        <v>0</v>
      </c>
      <c r="I19" s="165"/>
      <c r="J19" s="165">
        <v>23</v>
      </c>
      <c r="K19" s="165">
        <f>K15-K17</f>
        <v>0</v>
      </c>
      <c r="L19" s="164"/>
      <c r="M19" s="111"/>
      <c r="N19" s="111"/>
      <c r="O19" s="11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6.5" thickBot="1" x14ac:dyDescent="0.3">
      <c r="A20" s="166"/>
      <c r="T20" s="122" t="s">
        <v>39</v>
      </c>
      <c r="U20" s="123" t="s">
        <v>38</v>
      </c>
      <c r="Y20" s="24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6.5" thickBot="1" x14ac:dyDescent="0.3">
      <c r="A21" s="239" t="s">
        <v>95</v>
      </c>
      <c r="B21" s="124" t="s">
        <v>13</v>
      </c>
      <c r="C21" s="167"/>
      <c r="D21" s="125">
        <v>2791986.2869388093</v>
      </c>
      <c r="E21" s="125">
        <v>2894449.3223123099</v>
      </c>
      <c r="F21" s="168"/>
      <c r="G21" s="125">
        <v>3323909.1856942801</v>
      </c>
      <c r="H21" s="125">
        <v>3506556.1396942805</v>
      </c>
      <c r="I21" s="168"/>
      <c r="J21" s="125">
        <v>3354246.5070822313</v>
      </c>
      <c r="K21" s="125">
        <v>3477752.3866921901</v>
      </c>
      <c r="L21" s="169"/>
      <c r="M21" s="127">
        <v>9757.0666666666693</v>
      </c>
      <c r="N21" s="170"/>
      <c r="O21" s="171">
        <v>33108690.249000002</v>
      </c>
      <c r="P21" s="133">
        <v>12342.000000000002</v>
      </c>
      <c r="Q21" s="113" t="s">
        <v>18</v>
      </c>
      <c r="T21" s="130">
        <v>6377</v>
      </c>
      <c r="U21" s="131">
        <v>5878</v>
      </c>
      <c r="W21" s="132"/>
      <c r="X21" s="133"/>
      <c r="Y21" s="97" t="s">
        <v>42</v>
      </c>
      <c r="Z21" s="14">
        <v>1346.6999999999998</v>
      </c>
      <c r="AA21" s="14">
        <v>1346.6999999999998</v>
      </c>
      <c r="AB21" s="14">
        <v>1346.6999999999998</v>
      </c>
      <c r="AC21" s="14">
        <v>521.20000000000005</v>
      </c>
      <c r="AD21" s="14">
        <v>825.5</v>
      </c>
      <c r="AE21" s="14">
        <v>6.8999999999999995</v>
      </c>
      <c r="AF21" s="14">
        <v>6.9000000000000012</v>
      </c>
      <c r="AG21" s="14">
        <v>4653.2999999999993</v>
      </c>
      <c r="AH21" s="14">
        <v>0.7000000000000004</v>
      </c>
      <c r="AI21" s="14">
        <v>6.2</v>
      </c>
      <c r="AJ21" s="14">
        <v>6.8999999999999995</v>
      </c>
      <c r="AK21" s="14">
        <v>6.8999999999999995</v>
      </c>
      <c r="AL21" s="14">
        <v>4653.3000000000011</v>
      </c>
      <c r="AM21" s="14">
        <v>0.69999999999999929</v>
      </c>
      <c r="AN21" s="15">
        <v>6.2000000000000011</v>
      </c>
    </row>
    <row r="22" spans="1:40" x14ac:dyDescent="0.25">
      <c r="A22" s="239"/>
      <c r="B22" s="134"/>
      <c r="C22" s="138"/>
      <c r="D22" s="135"/>
      <c r="E22" s="135"/>
      <c r="F22" s="136"/>
      <c r="G22" s="135"/>
      <c r="H22" s="135"/>
      <c r="I22" s="136"/>
      <c r="J22" s="135"/>
      <c r="K22" s="135"/>
      <c r="L22" s="136"/>
      <c r="M22" s="172"/>
      <c r="N22" s="173"/>
      <c r="O22" s="174"/>
      <c r="P22" s="140"/>
      <c r="W22" s="132"/>
      <c r="X22" s="133"/>
      <c r="Y22" s="101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7"/>
    </row>
    <row r="23" spans="1:40" x14ac:dyDescent="0.25">
      <c r="A23" s="239"/>
      <c r="B23" s="134" t="s">
        <v>14</v>
      </c>
      <c r="C23" s="138"/>
      <c r="D23" s="175">
        <v>15293.335230000001</v>
      </c>
      <c r="E23" s="175">
        <v>17950.23573</v>
      </c>
      <c r="F23" s="176"/>
      <c r="G23" s="175">
        <v>22725</v>
      </c>
      <c r="H23" s="175">
        <v>23985</v>
      </c>
      <c r="I23" s="176"/>
      <c r="J23" s="175">
        <v>50708</v>
      </c>
      <c r="K23" s="175">
        <v>41607</v>
      </c>
      <c r="L23" s="136" t="e">
        <v>#DIV/0!</v>
      </c>
      <c r="M23" s="172">
        <v>55</v>
      </c>
      <c r="N23" s="173"/>
      <c r="O23" s="174">
        <v>171267</v>
      </c>
      <c r="P23" s="133">
        <v>88</v>
      </c>
      <c r="W23" s="177">
        <v>15293</v>
      </c>
      <c r="X23" s="133">
        <v>171267</v>
      </c>
      <c r="Y23" s="101" t="s">
        <v>43</v>
      </c>
      <c r="Z23" s="16">
        <v>780.8</v>
      </c>
      <c r="AA23" s="16">
        <v>780.8</v>
      </c>
      <c r="AB23" s="16">
        <v>780.8</v>
      </c>
      <c r="AC23" s="16">
        <v>287.60000000000002</v>
      </c>
      <c r="AD23" s="16">
        <v>493.20000000000005</v>
      </c>
      <c r="AE23" s="16">
        <v>32.4</v>
      </c>
      <c r="AF23" s="16">
        <v>32.4</v>
      </c>
      <c r="AG23" s="16">
        <v>5219.2</v>
      </c>
      <c r="AH23" s="16">
        <v>28.399999999999991</v>
      </c>
      <c r="AI23" s="16">
        <v>3.9999999999999973</v>
      </c>
      <c r="AJ23" s="16">
        <v>32.399999999999991</v>
      </c>
      <c r="AK23" s="16">
        <v>32.399999999999991</v>
      </c>
      <c r="AL23" s="16">
        <v>5219.2</v>
      </c>
      <c r="AM23" s="16">
        <v>28.399999999999991</v>
      </c>
      <c r="AN23" s="17">
        <v>3.9999999999999987</v>
      </c>
    </row>
    <row r="24" spans="1:40" ht="16.5" thickBot="1" x14ac:dyDescent="0.3">
      <c r="A24" s="239"/>
      <c r="B24" s="134"/>
      <c r="C24" s="138"/>
      <c r="D24" s="135"/>
      <c r="E24" s="135"/>
      <c r="F24" s="136"/>
      <c r="G24" s="135"/>
      <c r="H24" s="135"/>
      <c r="I24" s="136"/>
      <c r="J24" s="135"/>
      <c r="K24" s="135"/>
      <c r="L24" s="136"/>
      <c r="M24" s="172"/>
      <c r="N24" s="173"/>
      <c r="O24" s="174"/>
      <c r="P24" s="140"/>
      <c r="W24" s="132"/>
      <c r="X24" s="133"/>
      <c r="Y24" s="101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7"/>
    </row>
    <row r="25" spans="1:40" x14ac:dyDescent="0.25">
      <c r="A25" s="239"/>
      <c r="B25" s="134" t="s">
        <v>15</v>
      </c>
      <c r="C25" s="138"/>
      <c r="D25" s="135">
        <f>D21-D23</f>
        <v>2776692.9517088095</v>
      </c>
      <c r="E25" s="135">
        <f>E21-E23</f>
        <v>2876499.08658231</v>
      </c>
      <c r="F25" s="136"/>
      <c r="G25" s="135">
        <f>G21-G23</f>
        <v>3301184.1856942801</v>
      </c>
      <c r="H25" s="135">
        <f>H21-H23</f>
        <v>3482571.1396942805</v>
      </c>
      <c r="I25" s="141"/>
      <c r="J25" s="135">
        <f>J21-J23</f>
        <v>3303538.5070822313</v>
      </c>
      <c r="K25" s="135">
        <f>K21-K23</f>
        <v>3436145.3866921901</v>
      </c>
      <c r="L25" s="136"/>
      <c r="M25" s="172">
        <f>M21-M23</f>
        <v>9702.0666666666693</v>
      </c>
      <c r="N25" s="173"/>
      <c r="O25" s="172">
        <f t="shared" ref="O25" si="3">O21-O23</f>
        <v>32937423.249000002</v>
      </c>
      <c r="P25" s="178">
        <f>P21-P23</f>
        <v>12254.000000000002</v>
      </c>
      <c r="Q25" s="113" t="s">
        <v>26</v>
      </c>
      <c r="R25" s="179"/>
      <c r="T25" s="180">
        <f t="shared" ref="T25:U25" si="4">T21-T23</f>
        <v>6377</v>
      </c>
      <c r="U25" s="181">
        <f t="shared" si="4"/>
        <v>5878</v>
      </c>
      <c r="W25" s="144">
        <v>1698209</v>
      </c>
      <c r="X25" s="172">
        <v>16529922</v>
      </c>
      <c r="Y25" s="101" t="s">
        <v>39</v>
      </c>
      <c r="Z25" s="16">
        <v>60115</v>
      </c>
      <c r="AA25" s="16">
        <v>60115</v>
      </c>
      <c r="AB25" s="16">
        <v>60115</v>
      </c>
      <c r="AC25" s="16">
        <v>25952.300000000003</v>
      </c>
      <c r="AD25" s="16">
        <v>34162.699999999997</v>
      </c>
      <c r="AE25" s="16">
        <v>108.25</v>
      </c>
      <c r="AF25" s="16">
        <v>108.25000000000011</v>
      </c>
      <c r="AG25" s="16">
        <v>33313.649999999994</v>
      </c>
      <c r="AH25" s="16">
        <v>36.549999999999997</v>
      </c>
      <c r="AI25" s="16">
        <v>71.700000000000045</v>
      </c>
      <c r="AJ25" s="16">
        <v>108.24999999999997</v>
      </c>
      <c r="AK25" s="16">
        <v>108.24999999999997</v>
      </c>
      <c r="AL25" s="16">
        <v>36218.6</v>
      </c>
      <c r="AM25" s="16">
        <v>36.550000000000011</v>
      </c>
      <c r="AN25" s="17">
        <v>71.700000000000031</v>
      </c>
    </row>
    <row r="26" spans="1:40" x14ac:dyDescent="0.25">
      <c r="A26" s="239"/>
      <c r="B26" s="134"/>
      <c r="C26" s="138"/>
      <c r="D26" s="182"/>
      <c r="E26" s="138"/>
      <c r="F26" s="138"/>
      <c r="G26" s="146"/>
      <c r="H26" s="146"/>
      <c r="I26" s="146"/>
      <c r="J26" s="146"/>
      <c r="K26" s="138"/>
      <c r="L26" s="138"/>
      <c r="M26" s="137"/>
      <c r="N26" s="138"/>
      <c r="O26" s="147"/>
      <c r="P26" s="183">
        <v>1.1875812547</v>
      </c>
      <c r="R26" s="179"/>
      <c r="T26" s="149">
        <v>1.1875812547</v>
      </c>
      <c r="U26" s="150">
        <v>1.1875812547</v>
      </c>
      <c r="W26" s="132"/>
      <c r="X26" s="133"/>
      <c r="Y26" s="101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7"/>
    </row>
    <row r="27" spans="1:40" ht="16.5" thickBot="1" x14ac:dyDescent="0.3">
      <c r="A27" s="239"/>
      <c r="B27" s="134"/>
      <c r="C27" s="138"/>
      <c r="D27" s="135"/>
      <c r="E27" s="135"/>
      <c r="F27" s="138"/>
      <c r="G27" s="135"/>
      <c r="H27" s="135"/>
      <c r="I27" s="138"/>
      <c r="J27" s="135"/>
      <c r="K27" s="135"/>
      <c r="L27" s="138"/>
      <c r="M27" s="137"/>
      <c r="N27" s="138"/>
      <c r="O27" s="147"/>
      <c r="P27" s="151">
        <f>P25/P26</f>
        <v>10318.45185456008</v>
      </c>
      <c r="Q27" s="113" t="s">
        <v>22</v>
      </c>
      <c r="R27" s="179"/>
      <c r="T27" s="152">
        <f t="shared" ref="T27" si="5">T25/T26</f>
        <v>5369.7378387897525</v>
      </c>
      <c r="U27" s="153">
        <f t="shared" ref="U27" si="6">U25/U26</f>
        <v>4949.5560634163658</v>
      </c>
      <c r="W27" s="175">
        <v>1520718</v>
      </c>
      <c r="X27" s="133">
        <v>16407501.249</v>
      </c>
      <c r="Y27" s="93" t="s">
        <v>38</v>
      </c>
      <c r="Z27" s="18">
        <v>56189</v>
      </c>
      <c r="AA27" s="18">
        <v>57175.600000000006</v>
      </c>
      <c r="AB27" s="18">
        <v>57185.5</v>
      </c>
      <c r="AC27" s="18">
        <v>24184.100000000002</v>
      </c>
      <c r="AD27" s="18">
        <v>32004.899999999994</v>
      </c>
      <c r="AE27" s="18">
        <v>40.950000000000017</v>
      </c>
      <c r="AF27" s="18">
        <v>52.94999999999996</v>
      </c>
      <c r="AG27" s="18">
        <v>2293.4499999999998</v>
      </c>
      <c r="AH27" s="18">
        <v>25.949999999999946</v>
      </c>
      <c r="AI27" s="18">
        <v>14.999999999999973</v>
      </c>
      <c r="AJ27" s="18">
        <v>40.950000000000038</v>
      </c>
      <c r="AK27" s="18">
        <v>52.950000000000045</v>
      </c>
      <c r="AL27" s="18">
        <v>14750.900000000003</v>
      </c>
      <c r="AM27" s="18">
        <v>25.950000000000024</v>
      </c>
      <c r="AN27" s="19">
        <v>14.999999999999991</v>
      </c>
    </row>
    <row r="28" spans="1:40" x14ac:dyDescent="0.25">
      <c r="A28" s="239"/>
      <c r="B28" s="134"/>
      <c r="C28" s="138"/>
      <c r="D28" s="135"/>
      <c r="E28" s="135"/>
      <c r="F28" s="138"/>
      <c r="G28" s="135"/>
      <c r="H28" s="135"/>
      <c r="I28" s="138"/>
      <c r="J28" s="135"/>
      <c r="K28" s="135"/>
      <c r="L28" s="138"/>
      <c r="M28" s="137"/>
      <c r="N28" s="138"/>
      <c r="O28" s="147"/>
      <c r="P28" s="113">
        <v>1.0933999999999999</v>
      </c>
      <c r="Q28" s="113" t="s">
        <v>24</v>
      </c>
      <c r="R28" s="179"/>
      <c r="T28" s="154">
        <v>1.0933999999999999</v>
      </c>
      <c r="U28" s="155">
        <v>1.0933999999999999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6.5" thickBot="1" x14ac:dyDescent="0.3">
      <c r="A29" s="239"/>
      <c r="B29" s="134" t="s">
        <v>74</v>
      </c>
      <c r="C29" s="138"/>
      <c r="D29" s="135">
        <f>D25-D27</f>
        <v>2776692.9517088095</v>
      </c>
      <c r="E29" s="135">
        <f>E25-E27</f>
        <v>2876499.08658231</v>
      </c>
      <c r="F29" s="138"/>
      <c r="G29" s="135">
        <f>G25-G27</f>
        <v>3301184.1856942801</v>
      </c>
      <c r="H29" s="135">
        <f>H25-H27</f>
        <v>3482571.1396942805</v>
      </c>
      <c r="I29" s="138"/>
      <c r="J29" s="135">
        <f>J25-J27</f>
        <v>3303538.5070822313</v>
      </c>
      <c r="K29" s="135">
        <f>K25-K27</f>
        <v>3436145.3866921901</v>
      </c>
      <c r="L29" s="138"/>
      <c r="M29" s="137"/>
      <c r="N29" s="138"/>
      <c r="O29" s="147"/>
      <c r="P29" s="151">
        <f>P27*P28</f>
        <v>11282.195257775991</v>
      </c>
      <c r="Q29" s="113" t="s">
        <v>23</v>
      </c>
      <c r="R29" s="179"/>
      <c r="T29" s="156">
        <f t="shared" ref="T29" si="7">T27*T28</f>
        <v>5871.2713529327148</v>
      </c>
      <c r="U29" s="157">
        <f t="shared" ref="U29" si="8">U27*U28</f>
        <v>5411.8445997394538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6.5" thickBot="1" x14ac:dyDescent="0.3">
      <c r="A30" s="239"/>
      <c r="B30" s="134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47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x14ac:dyDescent="0.25">
      <c r="A31" s="239"/>
      <c r="B31" s="134" t="s">
        <v>16</v>
      </c>
      <c r="C31" s="138"/>
      <c r="D31" s="138">
        <v>44</v>
      </c>
      <c r="E31" s="138">
        <v>44</v>
      </c>
      <c r="F31" s="138"/>
      <c r="G31" s="138"/>
      <c r="H31" s="138"/>
      <c r="I31" s="138"/>
      <c r="J31" s="138"/>
      <c r="K31" s="138"/>
      <c r="L31" s="124"/>
      <c r="M31" s="158"/>
      <c r="N31" s="158"/>
      <c r="O31" s="159"/>
      <c r="P31" s="151">
        <f>S31*$P$29</f>
        <v>9015.5197692933507</v>
      </c>
      <c r="Q31" s="160" t="s">
        <v>19</v>
      </c>
      <c r="S31" s="161">
        <f>$S$81</f>
        <v>0.79909269103276803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x14ac:dyDescent="0.25">
      <c r="A32" s="239"/>
      <c r="B32" s="134"/>
      <c r="C32" s="138"/>
      <c r="D32" s="138"/>
      <c r="E32" s="138"/>
      <c r="F32" s="138"/>
      <c r="G32" s="138"/>
      <c r="H32" s="138"/>
      <c r="I32" s="138"/>
      <c r="J32" s="138"/>
      <c r="K32" s="138"/>
      <c r="L32" s="134"/>
      <c r="M32" s="135"/>
      <c r="N32" s="135"/>
      <c r="O32" s="162"/>
      <c r="P32" s="151">
        <f>S32*$P$29</f>
        <v>6688.0453463784006</v>
      </c>
      <c r="Q32" s="160" t="s">
        <v>20</v>
      </c>
      <c r="S32" s="161">
        <f>$S$82</f>
        <v>0.59279645437520867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x14ac:dyDescent="0.25">
      <c r="A33" s="239"/>
      <c r="B33" s="134" t="s">
        <v>14</v>
      </c>
      <c r="C33" s="138"/>
      <c r="D33" s="138">
        <v>2</v>
      </c>
      <c r="E33" s="138">
        <v>2</v>
      </c>
      <c r="F33" s="138"/>
      <c r="G33" s="138"/>
      <c r="H33" s="138"/>
      <c r="I33" s="138"/>
      <c r="J33" s="138"/>
      <c r="K33" s="138"/>
      <c r="L33" s="163"/>
      <c r="M33" s="135"/>
      <c r="N33" s="135"/>
      <c r="O33" s="162"/>
      <c r="P33" s="151">
        <f>S33*$P$29</f>
        <v>9015.5197692933507</v>
      </c>
      <c r="Q33" s="160" t="s">
        <v>21</v>
      </c>
      <c r="S33" s="161">
        <f>$S$83</f>
        <v>0.79909269103276803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x14ac:dyDescent="0.25">
      <c r="A34" s="239"/>
      <c r="B34" s="134"/>
      <c r="C34" s="138"/>
      <c r="D34" s="138"/>
      <c r="E34" s="138"/>
      <c r="F34" s="138"/>
      <c r="G34" s="138"/>
      <c r="H34" s="138"/>
      <c r="I34" s="138"/>
      <c r="J34" s="138"/>
      <c r="K34" s="138"/>
      <c r="L34" s="134"/>
      <c r="M34" s="135"/>
      <c r="N34" s="135"/>
      <c r="O34" s="16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6.5" thickBot="1" x14ac:dyDescent="0.3">
      <c r="A35" s="239"/>
      <c r="B35" s="164" t="s">
        <v>17</v>
      </c>
      <c r="C35" s="165"/>
      <c r="D35" s="165">
        <f>D31-D33</f>
        <v>42</v>
      </c>
      <c r="E35" s="165">
        <f>E31-E33</f>
        <v>42</v>
      </c>
      <c r="F35" s="165"/>
      <c r="G35" s="165">
        <v>30</v>
      </c>
      <c r="H35" s="165"/>
      <c r="I35" s="165"/>
      <c r="J35" s="165">
        <v>12</v>
      </c>
      <c r="K35" s="165"/>
      <c r="L35" s="164"/>
      <c r="M35" s="111"/>
      <c r="N35" s="111"/>
      <c r="O35" s="11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6.5" thickBot="1" x14ac:dyDescent="0.3">
      <c r="T36" s="122" t="s">
        <v>39</v>
      </c>
      <c r="U36" s="123" t="s">
        <v>38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6.5" thickBot="1" x14ac:dyDescent="0.3">
      <c r="A37" s="232" t="s">
        <v>96</v>
      </c>
      <c r="B37" s="124" t="s">
        <v>13</v>
      </c>
      <c r="C37" s="167"/>
      <c r="D37" s="125">
        <v>7237527.0742699979</v>
      </c>
      <c r="E37" s="125">
        <v>7439723.9987699986</v>
      </c>
      <c r="F37" s="168"/>
      <c r="G37" s="125">
        <v>7697482.9732600013</v>
      </c>
      <c r="H37" s="125">
        <v>8094885.2570600007</v>
      </c>
      <c r="I37" s="168"/>
      <c r="J37" s="125">
        <v>7361788.6120100012</v>
      </c>
      <c r="K37" s="125">
        <v>7831676.0459300019</v>
      </c>
      <c r="L37" s="169"/>
      <c r="M37" s="127">
        <v>21116</v>
      </c>
      <c r="N37" s="184"/>
      <c r="O37" s="171">
        <v>86131283</v>
      </c>
      <c r="P37" s="133">
        <v>27065.800000000003</v>
      </c>
      <c r="Q37" s="113" t="s">
        <v>18</v>
      </c>
      <c r="T37" s="130">
        <v>4731</v>
      </c>
      <c r="U37" s="131">
        <v>15207</v>
      </c>
      <c r="W37" s="132"/>
      <c r="X37" s="185"/>
      <c r="Y37" s="97" t="s">
        <v>42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5">
        <v>0</v>
      </c>
    </row>
    <row r="38" spans="1:40" ht="16.5" thickBot="1" x14ac:dyDescent="0.3">
      <c r="A38" s="232"/>
      <c r="B38" s="134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47"/>
      <c r="W38" s="132"/>
      <c r="X38" s="185"/>
      <c r="Y38" s="101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7"/>
    </row>
    <row r="39" spans="1:40" x14ac:dyDescent="0.25">
      <c r="A39" s="232"/>
      <c r="B39" s="134" t="s">
        <v>14</v>
      </c>
      <c r="C39" s="138"/>
      <c r="D39" s="175">
        <v>1823919.9994000003</v>
      </c>
      <c r="E39" s="175">
        <v>1876864.3893999998</v>
      </c>
      <c r="F39" s="176"/>
      <c r="G39" s="175">
        <v>2003160</v>
      </c>
      <c r="H39" s="175">
        <v>2108700</v>
      </c>
      <c r="I39" s="176"/>
      <c r="J39" s="175">
        <v>1926548</v>
      </c>
      <c r="K39" s="175">
        <v>1235728</v>
      </c>
      <c r="L39" s="136">
        <v>6.1171273525054623E-2</v>
      </c>
      <c r="M39" s="172">
        <v>5645</v>
      </c>
      <c r="N39" s="173"/>
      <c r="O39" s="174">
        <v>21696260</v>
      </c>
      <c r="P39" s="133">
        <v>7128.2</v>
      </c>
      <c r="W39" s="177">
        <v>1823920</v>
      </c>
      <c r="X39" s="174">
        <v>21696260</v>
      </c>
      <c r="Y39" s="101" t="s">
        <v>43</v>
      </c>
      <c r="Z39" s="35">
        <v>67737.94</v>
      </c>
      <c r="AA39" s="36">
        <v>67737.94</v>
      </c>
      <c r="AB39" s="36">
        <v>67737.94</v>
      </c>
      <c r="AC39" s="36">
        <v>25060.639999999996</v>
      </c>
      <c r="AD39" s="36">
        <v>42677.299999999996</v>
      </c>
      <c r="AE39" s="36">
        <v>475.41</v>
      </c>
      <c r="AF39" s="36">
        <v>475.41000000000014</v>
      </c>
      <c r="AG39" s="36">
        <v>7909.4600000000009</v>
      </c>
      <c r="AH39" s="36">
        <v>459.76</v>
      </c>
      <c r="AI39" s="36">
        <v>15.649999999999997</v>
      </c>
      <c r="AJ39" s="36">
        <v>475.40999999999991</v>
      </c>
      <c r="AK39" s="36">
        <v>475.41000000000008</v>
      </c>
      <c r="AL39" s="36">
        <v>21142.46</v>
      </c>
      <c r="AM39" s="36">
        <v>459.75999999999988</v>
      </c>
      <c r="AN39" s="37">
        <v>15.649999999999999</v>
      </c>
    </row>
    <row r="40" spans="1:40" ht="18" customHeight="1" thickBot="1" x14ac:dyDescent="0.3">
      <c r="A40" s="232"/>
      <c r="B40" s="134"/>
      <c r="C40" s="138"/>
      <c r="D40" s="135"/>
      <c r="E40" s="135"/>
      <c r="F40" s="136"/>
      <c r="G40" s="135"/>
      <c r="H40" s="135"/>
      <c r="I40" s="141"/>
      <c r="J40" s="135"/>
      <c r="K40" s="135"/>
      <c r="L40" s="136"/>
      <c r="M40" s="137"/>
      <c r="N40" s="138"/>
      <c r="O40" s="186"/>
      <c r="P40" s="140"/>
      <c r="W40" s="173"/>
      <c r="X40" s="174"/>
      <c r="Y40" s="101"/>
      <c r="Z40" s="38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40"/>
    </row>
    <row r="41" spans="1:40" x14ac:dyDescent="0.25">
      <c r="A41" s="232"/>
      <c r="B41" s="134" t="s">
        <v>15</v>
      </c>
      <c r="C41" s="138"/>
      <c r="D41" s="135">
        <f>D37-D39</f>
        <v>5413607.0748699978</v>
      </c>
      <c r="E41" s="135">
        <f>E37-E39</f>
        <v>5562859.6093699988</v>
      </c>
      <c r="F41" s="136"/>
      <c r="G41" s="135">
        <f>G37-G39</f>
        <v>5694322.9732600013</v>
      </c>
      <c r="H41" s="135">
        <f>H37-H39</f>
        <v>5986185.2570600007</v>
      </c>
      <c r="I41" s="141"/>
      <c r="J41" s="135">
        <f>J37-J39</f>
        <v>5435240.6120100012</v>
      </c>
      <c r="K41" s="135">
        <f>K37-K39</f>
        <v>6595948.0459300019</v>
      </c>
      <c r="L41" s="136"/>
      <c r="M41" s="137">
        <f>M37-M39</f>
        <v>15471</v>
      </c>
      <c r="N41" s="138"/>
      <c r="O41" s="137">
        <f t="shared" ref="O41" si="9">O37-O39</f>
        <v>64435023</v>
      </c>
      <c r="P41" s="140">
        <f>P37-P39</f>
        <v>19937.600000000002</v>
      </c>
      <c r="Q41" s="113" t="s">
        <v>26</v>
      </c>
      <c r="T41" s="142">
        <f t="shared" ref="T41:U41" si="10">T37-T39</f>
        <v>4731</v>
      </c>
      <c r="U41" s="143">
        <f t="shared" si="10"/>
        <v>15207</v>
      </c>
      <c r="W41" s="175">
        <v>1185750</v>
      </c>
      <c r="X41" s="174">
        <v>12011785</v>
      </c>
      <c r="Y41" s="101" t="s">
        <v>39</v>
      </c>
      <c r="Z41" s="41">
        <v>40725.600000000006</v>
      </c>
      <c r="AA41" s="21">
        <v>40725.600000000006</v>
      </c>
      <c r="AB41" s="21">
        <v>40725.600000000006</v>
      </c>
      <c r="AC41" s="21">
        <v>14952.600000000002</v>
      </c>
      <c r="AD41" s="21">
        <v>25773</v>
      </c>
      <c r="AE41" s="21">
        <v>1050.1500000000001</v>
      </c>
      <c r="AF41" s="21">
        <v>1050.1499999999996</v>
      </c>
      <c r="AG41" s="21">
        <v>9338.4499999999989</v>
      </c>
      <c r="AH41" s="21">
        <v>1028.2499999999998</v>
      </c>
      <c r="AI41" s="21">
        <v>21.899999999999995</v>
      </c>
      <c r="AJ41" s="21">
        <v>1050.1499999999999</v>
      </c>
      <c r="AK41" s="21">
        <v>1050.1499999999999</v>
      </c>
      <c r="AL41" s="21">
        <v>19976.199999999997</v>
      </c>
      <c r="AM41" s="21">
        <v>1028.2500000000002</v>
      </c>
      <c r="AN41" s="42">
        <v>21.900000000000034</v>
      </c>
    </row>
    <row r="42" spans="1:40" x14ac:dyDescent="0.25">
      <c r="A42" s="232"/>
      <c r="B42" s="134"/>
      <c r="C42" s="138"/>
      <c r="D42" s="145"/>
      <c r="E42" s="138"/>
      <c r="F42" s="138"/>
      <c r="G42" s="146"/>
      <c r="H42" s="146"/>
      <c r="I42" s="146"/>
      <c r="J42" s="146"/>
      <c r="K42" s="138"/>
      <c r="L42" s="138"/>
      <c r="M42" s="137"/>
      <c r="N42" s="138"/>
      <c r="O42" s="147"/>
      <c r="P42" s="183">
        <v>1.1875812547</v>
      </c>
      <c r="T42" s="149">
        <v>1.1875812547</v>
      </c>
      <c r="U42" s="150">
        <v>1.1875812547</v>
      </c>
      <c r="W42" s="144"/>
      <c r="X42" s="174"/>
      <c r="Y42" s="101"/>
      <c r="Z42" s="43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5"/>
    </row>
    <row r="43" spans="1:40" ht="16.5" thickBot="1" x14ac:dyDescent="0.3">
      <c r="A43" s="232"/>
      <c r="B43" s="134"/>
      <c r="C43" s="138"/>
      <c r="D43" s="135"/>
      <c r="E43" s="135"/>
      <c r="F43" s="138"/>
      <c r="G43" s="135"/>
      <c r="H43" s="135"/>
      <c r="I43" s="138"/>
      <c r="J43" s="135"/>
      <c r="K43" s="135"/>
      <c r="L43" s="138"/>
      <c r="M43" s="137"/>
      <c r="N43" s="138"/>
      <c r="O43" s="147"/>
      <c r="P43" s="151">
        <f>P41/P42</f>
        <v>16788.409147664195</v>
      </c>
      <c r="Q43" s="113" t="s">
        <v>22</v>
      </c>
      <c r="T43" s="152">
        <f>T37/T42</f>
        <v>3983.7274134098034</v>
      </c>
      <c r="U43" s="153">
        <f>U37/U42</f>
        <v>12805.018553312806</v>
      </c>
      <c r="W43" s="144">
        <v>4272523</v>
      </c>
      <c r="X43" s="174">
        <v>52423238</v>
      </c>
      <c r="Y43" s="93" t="s">
        <v>38</v>
      </c>
      <c r="Z43" s="46">
        <v>144928.86000000002</v>
      </c>
      <c r="AA43" s="47">
        <v>144928.86000000002</v>
      </c>
      <c r="AB43" s="47">
        <v>144928.86000000002</v>
      </c>
      <c r="AC43" s="47">
        <v>56888.1</v>
      </c>
      <c r="AD43" s="47">
        <v>88040.76</v>
      </c>
      <c r="AE43" s="47">
        <v>1460.25</v>
      </c>
      <c r="AF43" s="47">
        <v>1460.25</v>
      </c>
      <c r="AG43" s="47">
        <v>7234.0249999999996</v>
      </c>
      <c r="AH43" s="47">
        <v>1402.5</v>
      </c>
      <c r="AI43" s="47">
        <v>57.749999999999986</v>
      </c>
      <c r="AJ43" s="47">
        <v>1460.25</v>
      </c>
      <c r="AK43" s="47">
        <v>1460.25</v>
      </c>
      <c r="AL43" s="47">
        <v>37462.939999999995</v>
      </c>
      <c r="AM43" s="47">
        <v>1402.5000000000002</v>
      </c>
      <c r="AN43" s="48">
        <v>57.749999999999929</v>
      </c>
    </row>
    <row r="44" spans="1:40" x14ac:dyDescent="0.25">
      <c r="A44" s="232"/>
      <c r="B44" s="134"/>
      <c r="C44" s="138"/>
      <c r="D44" s="135"/>
      <c r="E44" s="135"/>
      <c r="F44" s="138"/>
      <c r="G44" s="135"/>
      <c r="H44" s="135"/>
      <c r="I44" s="138"/>
      <c r="J44" s="135"/>
      <c r="K44" s="135"/>
      <c r="L44" s="138"/>
      <c r="M44" s="137"/>
      <c r="N44" s="138"/>
      <c r="O44" s="147"/>
      <c r="P44" s="113">
        <v>1.0933999999999999</v>
      </c>
      <c r="Q44" s="113" t="s">
        <v>24</v>
      </c>
      <c r="T44" s="154">
        <v>1.0933999999999999</v>
      </c>
      <c r="U44" s="155">
        <v>1.0933999999999999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6.5" thickBot="1" x14ac:dyDescent="0.3">
      <c r="A45" s="232"/>
      <c r="B45" s="134" t="s">
        <v>74</v>
      </c>
      <c r="C45" s="138"/>
      <c r="D45" s="135">
        <f>D41-D43</f>
        <v>5413607.0748699978</v>
      </c>
      <c r="E45" s="135">
        <f>E41-E43</f>
        <v>5562859.6093699988</v>
      </c>
      <c r="F45" s="138"/>
      <c r="G45" s="135">
        <f t="shared" ref="G45:H45" si="11">G41-G43</f>
        <v>5694322.9732600013</v>
      </c>
      <c r="H45" s="135">
        <f t="shared" si="11"/>
        <v>5986185.2570600007</v>
      </c>
      <c r="I45" s="138"/>
      <c r="J45" s="135">
        <f t="shared" ref="J45:K45" si="12">J41-J43</f>
        <v>5435240.6120100012</v>
      </c>
      <c r="K45" s="135">
        <f t="shared" si="12"/>
        <v>6595948.0459300019</v>
      </c>
      <c r="L45" s="138"/>
      <c r="M45" s="137"/>
      <c r="N45" s="138"/>
      <c r="O45" s="147"/>
      <c r="P45" s="151">
        <f>P43*P44</f>
        <v>18356.44656205603</v>
      </c>
      <c r="Q45" s="113" t="s">
        <v>23</v>
      </c>
      <c r="T45" s="156">
        <f t="shared" ref="T45" si="13">T43*T44</f>
        <v>4355.8075538222784</v>
      </c>
      <c r="U45" s="157">
        <f t="shared" ref="U45" si="14">U43*U44</f>
        <v>14001.007286192222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x14ac:dyDescent="0.25">
      <c r="A46" s="232"/>
      <c r="B46" s="134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47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6.5" thickBot="1" x14ac:dyDescent="0.3">
      <c r="A47" s="232"/>
      <c r="B47" s="134" t="s">
        <v>16</v>
      </c>
      <c r="C47" s="138"/>
      <c r="D47" s="138">
        <v>61</v>
      </c>
      <c r="E47" s="138">
        <v>61</v>
      </c>
      <c r="F47" s="138"/>
      <c r="G47" s="138"/>
      <c r="H47" s="138"/>
      <c r="I47" s="138"/>
      <c r="J47" s="138"/>
      <c r="K47" s="138"/>
      <c r="L47" s="138"/>
      <c r="M47" s="187"/>
      <c r="N47" s="138"/>
      <c r="O47" s="147"/>
      <c r="P47" s="151">
        <f>S47*$P$45</f>
        <v>14668.502281072555</v>
      </c>
      <c r="Q47" s="160" t="s">
        <v>19</v>
      </c>
      <c r="S47" s="161">
        <f>$S$81</f>
        <v>0.79909269103276803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x14ac:dyDescent="0.25">
      <c r="A48" s="232"/>
      <c r="B48" s="134"/>
      <c r="C48" s="138"/>
      <c r="D48" s="138"/>
      <c r="E48" s="138"/>
      <c r="F48" s="138"/>
      <c r="G48" s="138"/>
      <c r="H48" s="138"/>
      <c r="I48" s="138"/>
      <c r="J48" s="138"/>
      <c r="K48" s="138"/>
      <c r="L48" s="124"/>
      <c r="M48" s="158"/>
      <c r="N48" s="158"/>
      <c r="O48" s="159"/>
      <c r="P48" s="151">
        <f>S48*$P$45</f>
        <v>10881.636436914803</v>
      </c>
      <c r="Q48" s="160" t="s">
        <v>20</v>
      </c>
      <c r="S48" s="161">
        <f>$S$82</f>
        <v>0.59279645437520867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x14ac:dyDescent="0.25">
      <c r="A49" s="232"/>
      <c r="B49" s="134" t="s">
        <v>14</v>
      </c>
      <c r="C49" s="138"/>
      <c r="D49" s="138">
        <v>17</v>
      </c>
      <c r="E49" s="138">
        <v>17</v>
      </c>
      <c r="F49" s="138"/>
      <c r="G49" s="138"/>
      <c r="H49" s="138"/>
      <c r="I49" s="138"/>
      <c r="J49" s="138"/>
      <c r="K49" s="138"/>
      <c r="L49" s="134"/>
      <c r="M49" s="135"/>
      <c r="N49" s="135"/>
      <c r="O49" s="162"/>
      <c r="P49" s="151">
        <f>S49*$P$45</f>
        <v>14668.502281072555</v>
      </c>
      <c r="Q49" s="160" t="s">
        <v>21</v>
      </c>
      <c r="S49" s="161">
        <f>$S$83</f>
        <v>0.79909269103276803</v>
      </c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x14ac:dyDescent="0.25">
      <c r="A50" s="232"/>
      <c r="B50" s="134"/>
      <c r="C50" s="138"/>
      <c r="D50" s="138"/>
      <c r="E50" s="138"/>
      <c r="F50" s="138"/>
      <c r="G50" s="138"/>
      <c r="H50" s="138"/>
      <c r="I50" s="138"/>
      <c r="J50" s="138"/>
      <c r="K50" s="138"/>
      <c r="L50" s="163"/>
      <c r="M50" s="135"/>
      <c r="N50" s="135"/>
      <c r="O50" s="16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x14ac:dyDescent="0.25">
      <c r="A51" s="232"/>
      <c r="B51" s="134" t="s">
        <v>17</v>
      </c>
      <c r="C51" s="138"/>
      <c r="D51" s="138">
        <f>D47-D49</f>
        <v>44</v>
      </c>
      <c r="E51" s="138">
        <f>E47-E49</f>
        <v>44</v>
      </c>
      <c r="F51" s="138"/>
      <c r="G51" s="138">
        <v>14</v>
      </c>
      <c r="H51" s="138"/>
      <c r="I51" s="138"/>
      <c r="J51" s="138">
        <v>30</v>
      </c>
      <c r="K51" s="138"/>
      <c r="L51" s="134"/>
      <c r="M51" s="135"/>
      <c r="N51" s="135"/>
      <c r="O51" s="16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6.5" thickBot="1" x14ac:dyDescent="0.3">
      <c r="A52" s="232"/>
      <c r="B52" s="164"/>
      <c r="C52" s="165"/>
      <c r="D52" s="165"/>
      <c r="E52" s="165"/>
      <c r="F52" s="165"/>
      <c r="G52" s="165"/>
      <c r="H52" s="165"/>
      <c r="I52" s="165"/>
      <c r="J52" s="165"/>
      <c r="K52" s="165"/>
      <c r="L52" s="164"/>
      <c r="M52" s="111"/>
      <c r="N52" s="111"/>
      <c r="O52" s="11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6.5" thickBot="1" x14ac:dyDescent="0.3">
      <c r="A53" s="18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06"/>
      <c r="N53" s="106"/>
      <c r="O53" s="106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6.5" thickBot="1" x14ac:dyDescent="0.3">
      <c r="A54" s="240" t="s">
        <v>97</v>
      </c>
      <c r="B54" s="124" t="s">
        <v>13</v>
      </c>
      <c r="C54" s="167"/>
      <c r="D54" s="224">
        <v>3730360.3310000002</v>
      </c>
      <c r="E54" s="225">
        <v>3868605.1809999999</v>
      </c>
      <c r="F54" s="225"/>
      <c r="G54" s="224">
        <v>4534745.0163284987</v>
      </c>
      <c r="H54" s="225">
        <v>4786874.0417939015</v>
      </c>
      <c r="I54" s="225"/>
      <c r="J54" s="224">
        <v>4595112.8351898016</v>
      </c>
      <c r="K54" s="225">
        <v>4774836.517129601</v>
      </c>
      <c r="L54" s="226"/>
      <c r="M54" s="227">
        <v>13378.0926225</v>
      </c>
      <c r="N54" s="228"/>
      <c r="O54" s="229">
        <v>44229900</v>
      </c>
      <c r="P54" s="230">
        <v>17457.918150000001</v>
      </c>
      <c r="Q54" s="113" t="s">
        <v>18</v>
      </c>
      <c r="T54" s="130">
        <v>7925</v>
      </c>
      <c r="U54" s="131">
        <v>9118</v>
      </c>
      <c r="W54" s="132"/>
      <c r="X54" s="185"/>
      <c r="Y54" s="97" t="s">
        <v>42</v>
      </c>
      <c r="Z54" s="14">
        <v>7541.2000000000007</v>
      </c>
      <c r="AA54" s="14">
        <v>7541.2000000000007</v>
      </c>
      <c r="AB54" s="14">
        <v>7541.2000000000007</v>
      </c>
      <c r="AC54" s="14">
        <v>2960.7</v>
      </c>
      <c r="AD54" s="14">
        <v>4580.5</v>
      </c>
      <c r="AE54" s="14">
        <v>54.049999999999983</v>
      </c>
      <c r="AF54" s="14">
        <v>54.05</v>
      </c>
      <c r="AG54" s="14">
        <v>4620.2</v>
      </c>
      <c r="AH54" s="14">
        <v>54.050000000000004</v>
      </c>
      <c r="AI54" s="14">
        <v>0</v>
      </c>
      <c r="AJ54" s="14">
        <v>54.04999999999999</v>
      </c>
      <c r="AK54" s="14">
        <v>54.05</v>
      </c>
      <c r="AL54" s="14">
        <v>5386.4</v>
      </c>
      <c r="AM54" s="14">
        <v>54.05</v>
      </c>
      <c r="AN54" s="15">
        <v>0</v>
      </c>
    </row>
    <row r="55" spans="1:40" ht="16.5" thickBot="1" x14ac:dyDescent="0.3">
      <c r="A55" s="240"/>
      <c r="B55" s="134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47"/>
      <c r="W55" s="132"/>
      <c r="X55" s="185"/>
      <c r="Y55" s="101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7"/>
    </row>
    <row r="56" spans="1:40" x14ac:dyDescent="0.25">
      <c r="A56" s="240"/>
      <c r="B56" s="134" t="s">
        <v>14</v>
      </c>
      <c r="C56" s="138"/>
      <c r="D56" s="175">
        <v>68616.669800000003</v>
      </c>
      <c r="E56" s="175">
        <v>72229.299799999993</v>
      </c>
      <c r="F56" s="176">
        <v>5.264945108134627E-2</v>
      </c>
      <c r="G56" s="175">
        <v>1981047.2757500003</v>
      </c>
      <c r="H56" s="175">
        <v>2093146.63215</v>
      </c>
      <c r="I56" s="176">
        <v>5.6585906743472469E-2</v>
      </c>
      <c r="J56" s="175">
        <v>2324797.4733398003</v>
      </c>
      <c r="K56" s="175">
        <v>2495018.7077795998</v>
      </c>
      <c r="L56" s="136">
        <v>7.3219812216700333E-2</v>
      </c>
      <c r="M56" s="172">
        <v>3545.3000000000006</v>
      </c>
      <c r="N56" s="173"/>
      <c r="O56" s="174">
        <v>808420</v>
      </c>
      <c r="P56" s="133">
        <v>415.3</v>
      </c>
      <c r="W56" s="177">
        <v>68617</v>
      </c>
      <c r="X56" s="174">
        <v>808420</v>
      </c>
      <c r="Y56" s="101" t="s">
        <v>43</v>
      </c>
      <c r="Z56" s="69">
        <v>3545.3000000000006</v>
      </c>
      <c r="AA56" s="70">
        <v>3545.3000000000006</v>
      </c>
      <c r="AB56" s="70">
        <v>3545.3000000000006</v>
      </c>
      <c r="AC56" s="70">
        <v>1314.5</v>
      </c>
      <c r="AD56" s="70">
        <v>2230.8000000000002</v>
      </c>
      <c r="AE56" s="70">
        <v>54.049999999999983</v>
      </c>
      <c r="AF56" s="70">
        <v>54.05</v>
      </c>
      <c r="AG56" s="70">
        <v>2616.1000000000004</v>
      </c>
      <c r="AH56" s="70">
        <v>54.050000000000004</v>
      </c>
      <c r="AI56" s="70">
        <v>0</v>
      </c>
      <c r="AJ56" s="70">
        <v>54.04999999999999</v>
      </c>
      <c r="AK56" s="70">
        <v>54.05</v>
      </c>
      <c r="AL56" s="70">
        <v>3382.3</v>
      </c>
      <c r="AM56" s="70">
        <v>54.05</v>
      </c>
      <c r="AN56" s="71">
        <v>0</v>
      </c>
    </row>
    <row r="57" spans="1:40" ht="18" customHeight="1" thickBot="1" x14ac:dyDescent="0.3">
      <c r="A57" s="240"/>
      <c r="B57" s="134"/>
      <c r="C57" s="138"/>
      <c r="D57" s="135"/>
      <c r="E57" s="135"/>
      <c r="F57" s="136"/>
      <c r="G57" s="135"/>
      <c r="H57" s="135"/>
      <c r="I57" s="141"/>
      <c r="J57" s="135"/>
      <c r="K57" s="135"/>
      <c r="L57" s="136"/>
      <c r="M57" s="137"/>
      <c r="N57" s="138"/>
      <c r="O57" s="186"/>
      <c r="P57" s="140"/>
      <c r="W57" s="173"/>
      <c r="X57" s="174"/>
      <c r="Y57" s="101"/>
      <c r="Z57" s="38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40"/>
    </row>
    <row r="58" spans="1:40" x14ac:dyDescent="0.25">
      <c r="A58" s="240"/>
      <c r="B58" s="134" t="s">
        <v>15</v>
      </c>
      <c r="C58" s="138"/>
      <c r="D58" s="135">
        <f>D54-D56</f>
        <v>3661743.6612000004</v>
      </c>
      <c r="E58" s="135">
        <f>E54-E56</f>
        <v>3796375.8811999997</v>
      </c>
      <c r="F58" s="136"/>
      <c r="G58" s="135">
        <f>G54-G56</f>
        <v>2553697.7405784987</v>
      </c>
      <c r="H58" s="135">
        <f>H54-H56</f>
        <v>2693727.4096439015</v>
      </c>
      <c r="I58" s="141"/>
      <c r="J58" s="135">
        <f>J54-J56</f>
        <v>2270315.3618500014</v>
      </c>
      <c r="K58" s="135">
        <f>K54-K56</f>
        <v>2279817.8093500012</v>
      </c>
      <c r="L58" s="136"/>
      <c r="M58" s="137">
        <f>M54-M56</f>
        <v>9832.7926224999992</v>
      </c>
      <c r="N58" s="138"/>
      <c r="O58" s="137">
        <f t="shared" ref="O58" si="15">O54-O56</f>
        <v>43421480</v>
      </c>
      <c r="P58" s="140">
        <f>P54-P56</f>
        <v>17042.618150000002</v>
      </c>
      <c r="Q58" s="113" t="s">
        <v>26</v>
      </c>
      <c r="T58" s="142">
        <f t="shared" ref="T58:U58" si="16">T54-T56</f>
        <v>7925</v>
      </c>
      <c r="U58" s="143">
        <f t="shared" si="16"/>
        <v>9118</v>
      </c>
      <c r="W58" s="175">
        <v>1981047</v>
      </c>
      <c r="X58" s="174">
        <v>18278725</v>
      </c>
      <c r="Y58" s="101" t="s">
        <v>39</v>
      </c>
      <c r="Z58" s="72">
        <v>71069.78</v>
      </c>
      <c r="AA58" s="66">
        <v>71277.679999999993</v>
      </c>
      <c r="AB58" s="66">
        <v>70187.98</v>
      </c>
      <c r="AC58" s="66">
        <v>30235.300000000003</v>
      </c>
      <c r="AD58" s="66">
        <v>40834.480000000003</v>
      </c>
      <c r="AE58" s="66">
        <v>944.76499999999987</v>
      </c>
      <c r="AF58" s="66">
        <v>944.76499999999999</v>
      </c>
      <c r="AG58" s="66">
        <v>56251.745000000003</v>
      </c>
      <c r="AH58" s="66">
        <v>419.30999999999995</v>
      </c>
      <c r="AI58" s="66">
        <v>525.45499999999993</v>
      </c>
      <c r="AJ58" s="66">
        <v>944.76499999999987</v>
      </c>
      <c r="AK58" s="66">
        <v>944.76499999999987</v>
      </c>
      <c r="AL58" s="66">
        <v>62216.220000000016</v>
      </c>
      <c r="AM58" s="66">
        <v>419.31000000000006</v>
      </c>
      <c r="AN58" s="73">
        <v>525.45499999999993</v>
      </c>
    </row>
    <row r="59" spans="1:40" x14ac:dyDescent="0.25">
      <c r="A59" s="240"/>
      <c r="B59" s="134"/>
      <c r="C59" s="138"/>
      <c r="D59" s="145"/>
      <c r="E59" s="138"/>
      <c r="F59" s="138"/>
      <c r="G59" s="146"/>
      <c r="H59" s="146"/>
      <c r="I59" s="146"/>
      <c r="J59" s="146"/>
      <c r="K59" s="138"/>
      <c r="L59" s="138"/>
      <c r="M59" s="137"/>
      <c r="N59" s="138"/>
      <c r="O59" s="147"/>
      <c r="P59" s="183">
        <v>1.1875812547</v>
      </c>
      <c r="T59" s="149">
        <v>1.1875812547</v>
      </c>
      <c r="U59" s="150">
        <v>1.1875812547</v>
      </c>
      <c r="W59" s="144"/>
      <c r="X59" s="174"/>
      <c r="Y59" s="101"/>
      <c r="Z59" s="43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5"/>
    </row>
    <row r="60" spans="1:40" ht="16.5" thickBot="1" x14ac:dyDescent="0.3">
      <c r="A60" s="240"/>
      <c r="B60" s="134"/>
      <c r="C60" s="138"/>
      <c r="D60" s="135"/>
      <c r="E60" s="135"/>
      <c r="F60" s="138"/>
      <c r="G60" s="135"/>
      <c r="H60" s="135"/>
      <c r="I60" s="138"/>
      <c r="J60" s="135"/>
      <c r="K60" s="135"/>
      <c r="L60" s="138"/>
      <c r="M60" s="137"/>
      <c r="N60" s="138"/>
      <c r="O60" s="147"/>
      <c r="P60" s="151">
        <f>P58/P59</f>
        <v>14350.696495546497</v>
      </c>
      <c r="Q60" s="113" t="s">
        <v>22</v>
      </c>
      <c r="T60" s="152">
        <f>T54/T59</f>
        <v>6673.2275948578936</v>
      </c>
      <c r="U60" s="153">
        <f>U54/U59</f>
        <v>7677.7904365822424</v>
      </c>
      <c r="W60" s="144">
        <v>2324797</v>
      </c>
      <c r="X60" s="174">
        <v>25142755</v>
      </c>
      <c r="Y60" s="93" t="s">
        <v>38</v>
      </c>
      <c r="Z60" s="89">
        <v>85922.031470000002</v>
      </c>
      <c r="AA60" s="90">
        <v>86222.031470000002</v>
      </c>
      <c r="AB60" s="90">
        <v>86222.031470000002</v>
      </c>
      <c r="AC60" s="90">
        <v>34584.956449999998</v>
      </c>
      <c r="AD60" s="90">
        <v>51337.075019999989</v>
      </c>
      <c r="AE60" s="90">
        <v>660.83806000000027</v>
      </c>
      <c r="AF60" s="90">
        <v>660.83806000000027</v>
      </c>
      <c r="AG60" s="90">
        <v>4254.9137800000008</v>
      </c>
      <c r="AH60" s="90">
        <v>490.84999999999997</v>
      </c>
      <c r="AI60" s="90">
        <v>169.98806000000008</v>
      </c>
      <c r="AJ60" s="90">
        <v>660.83806000000038</v>
      </c>
      <c r="AK60" s="90">
        <v>660.83806000000016</v>
      </c>
      <c r="AL60" s="90">
        <v>23951.266330000002</v>
      </c>
      <c r="AM60" s="90">
        <v>490.85000000000025</v>
      </c>
      <c r="AN60" s="91">
        <v>169.98806000000033</v>
      </c>
    </row>
    <row r="61" spans="1:40" x14ac:dyDescent="0.25">
      <c r="A61" s="240"/>
      <c r="B61" s="134"/>
      <c r="C61" s="138"/>
      <c r="D61" s="135"/>
      <c r="E61" s="135"/>
      <c r="F61" s="138"/>
      <c r="G61" s="135"/>
      <c r="H61" s="135"/>
      <c r="I61" s="138"/>
      <c r="J61" s="135"/>
      <c r="K61" s="135"/>
      <c r="L61" s="138"/>
      <c r="M61" s="137"/>
      <c r="N61" s="138"/>
      <c r="O61" s="147"/>
      <c r="P61" s="113">
        <v>1.0933999999999999</v>
      </c>
      <c r="Q61" s="113" t="s">
        <v>24</v>
      </c>
      <c r="T61" s="154">
        <v>1.0933999999999999</v>
      </c>
      <c r="U61" s="155">
        <v>1.0933999999999999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6.5" thickBot="1" x14ac:dyDescent="0.3">
      <c r="A62" s="240"/>
      <c r="B62" s="134" t="s">
        <v>74</v>
      </c>
      <c r="C62" s="138"/>
      <c r="D62" s="135">
        <f>D58-D60</f>
        <v>3661743.6612000004</v>
      </c>
      <c r="E62" s="135">
        <f>E58-E60</f>
        <v>3796375.8811999997</v>
      </c>
      <c r="F62" s="138"/>
      <c r="G62" s="135">
        <f t="shared" ref="G62:H62" si="17">G58-G60</f>
        <v>2553697.7405784987</v>
      </c>
      <c r="H62" s="135">
        <f t="shared" si="17"/>
        <v>2693727.4096439015</v>
      </c>
      <c r="I62" s="138"/>
      <c r="J62" s="135">
        <f t="shared" ref="J62:K62" si="18">J58-J60</f>
        <v>2270315.3618500014</v>
      </c>
      <c r="K62" s="135">
        <f t="shared" si="18"/>
        <v>2279817.8093500012</v>
      </c>
      <c r="L62" s="138"/>
      <c r="M62" s="137"/>
      <c r="N62" s="138"/>
      <c r="O62" s="147"/>
      <c r="P62" s="140">
        <f>P60*$P$61</f>
        <v>15691.05154823054</v>
      </c>
      <c r="Q62" s="113" t="s">
        <v>23</v>
      </c>
      <c r="T62" s="156">
        <f t="shared" ref="T62:U62" si="19">T60*T61</f>
        <v>7296.5070522176202</v>
      </c>
      <c r="U62" s="157">
        <f t="shared" si="19"/>
        <v>8394.8960633590232</v>
      </c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</row>
    <row r="63" spans="1:40" x14ac:dyDescent="0.25">
      <c r="A63" s="240"/>
      <c r="B63" s="134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47"/>
      <c r="P63" s="140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6.5" thickBot="1" x14ac:dyDescent="0.3">
      <c r="A64" s="240"/>
      <c r="B64" s="134" t="s">
        <v>16</v>
      </c>
      <c r="C64" s="138"/>
      <c r="D64" s="173">
        <v>60</v>
      </c>
      <c r="E64" s="173"/>
      <c r="F64" s="138"/>
      <c r="G64" s="138"/>
      <c r="H64" s="138"/>
      <c r="I64" s="138"/>
      <c r="J64" s="138"/>
      <c r="K64" s="138"/>
      <c r="L64" s="138"/>
      <c r="M64" s="187"/>
      <c r="N64" s="138"/>
      <c r="O64" s="147"/>
      <c r="P64" s="140">
        <f>S64*$P$62</f>
        <v>12538.604606809424</v>
      </c>
      <c r="Q64" s="160" t="s">
        <v>19</v>
      </c>
      <c r="S64" s="161">
        <f>$S$81</f>
        <v>0.79909269103276803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x14ac:dyDescent="0.25">
      <c r="A65" s="240"/>
      <c r="B65" s="134"/>
      <c r="C65" s="138"/>
      <c r="D65" s="138"/>
      <c r="E65" s="138"/>
      <c r="F65" s="138"/>
      <c r="G65" s="138"/>
      <c r="H65" s="138"/>
      <c r="I65" s="138"/>
      <c r="J65" s="138"/>
      <c r="K65" s="138"/>
      <c r="L65" s="124"/>
      <c r="M65" s="158"/>
      <c r="N65" s="158"/>
      <c r="O65" s="159"/>
      <c r="P65" s="140">
        <f t="shared" ref="P65:P66" si="20">S65*$P$62</f>
        <v>9301.5997232096925</v>
      </c>
      <c r="Q65" s="160" t="s">
        <v>20</v>
      </c>
      <c r="S65" s="161">
        <f>$S$82</f>
        <v>0.59279645437520867</v>
      </c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x14ac:dyDescent="0.25">
      <c r="A66" s="240"/>
      <c r="B66" s="134" t="s">
        <v>14</v>
      </c>
      <c r="C66" s="138"/>
      <c r="D66" s="173">
        <v>2</v>
      </c>
      <c r="E66" s="173"/>
      <c r="F66" s="138"/>
      <c r="G66" s="138"/>
      <c r="H66" s="138"/>
      <c r="I66" s="138"/>
      <c r="J66" s="138"/>
      <c r="K66" s="138"/>
      <c r="L66" s="134"/>
      <c r="M66" s="135"/>
      <c r="N66" s="135"/>
      <c r="O66" s="162"/>
      <c r="P66" s="140">
        <f t="shared" si="20"/>
        <v>12538.604606809424</v>
      </c>
      <c r="Q66" s="160" t="s">
        <v>21</v>
      </c>
      <c r="S66" s="161">
        <f>$S$83</f>
        <v>0.79909269103276803</v>
      </c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x14ac:dyDescent="0.25">
      <c r="A67" s="240"/>
      <c r="B67" s="134"/>
      <c r="C67" s="138"/>
      <c r="D67" s="138"/>
      <c r="E67" s="138"/>
      <c r="F67" s="138"/>
      <c r="G67" s="138"/>
      <c r="H67" s="138"/>
      <c r="I67" s="138"/>
      <c r="J67" s="138"/>
      <c r="K67" s="138"/>
      <c r="L67" s="163"/>
      <c r="M67" s="135"/>
      <c r="N67" s="135"/>
      <c r="O67" s="16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6.5" thickBot="1" x14ac:dyDescent="0.3">
      <c r="A68" s="240"/>
      <c r="B68" s="134" t="s">
        <v>17</v>
      </c>
      <c r="C68" s="138"/>
      <c r="D68" s="138">
        <f>D64-D66</f>
        <v>58</v>
      </c>
      <c r="E68" s="138">
        <f>E64-E66</f>
        <v>0</v>
      </c>
      <c r="F68" s="138"/>
      <c r="G68" s="189">
        <v>40</v>
      </c>
      <c r="H68" s="189"/>
      <c r="I68" s="110"/>
      <c r="J68" s="189">
        <v>18</v>
      </c>
      <c r="K68" s="138"/>
      <c r="L68" s="134"/>
      <c r="M68" s="135"/>
      <c r="N68" s="135"/>
      <c r="O68" s="16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6.5" thickBot="1" x14ac:dyDescent="0.3">
      <c r="A69" s="240"/>
      <c r="B69" s="164"/>
      <c r="C69" s="165"/>
      <c r="D69" s="165"/>
      <c r="E69" s="165"/>
      <c r="F69" s="165"/>
      <c r="G69" s="165"/>
      <c r="H69" s="165"/>
      <c r="I69" s="165"/>
      <c r="J69" s="165"/>
      <c r="K69" s="165"/>
      <c r="L69" s="164"/>
      <c r="M69" s="111"/>
      <c r="N69" s="111"/>
      <c r="O69" s="11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6.5" thickBot="1" x14ac:dyDescent="0.3"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6.5" thickBot="1" x14ac:dyDescent="0.3">
      <c r="A71" s="232" t="s">
        <v>25</v>
      </c>
      <c r="B71" s="124" t="s">
        <v>13</v>
      </c>
      <c r="C71" s="167"/>
      <c r="D71" s="158">
        <f>D5+D21+D37+D54</f>
        <v>18100331.85176881</v>
      </c>
      <c r="E71" s="158">
        <f>E5+E21+E37+E54</f>
        <v>18694898.547642305</v>
      </c>
      <c r="F71" s="169">
        <f>(E71-D71)/D71</f>
        <v>3.2848386468416743E-2</v>
      </c>
      <c r="G71" s="158">
        <f t="shared" ref="G71:H71" si="21">G5+G21+G37+G54</f>
        <v>20617002.491062783</v>
      </c>
      <c r="H71" s="158">
        <f t="shared" si="21"/>
        <v>21724324.765328187</v>
      </c>
      <c r="I71" s="169">
        <f>(H71-G71)/G71</f>
        <v>5.3709178855918333E-2</v>
      </c>
      <c r="J71" s="158">
        <f t="shared" ref="J71:M73" si="22">J5+J21+J37+J54</f>
        <v>20305632.268562034</v>
      </c>
      <c r="K71" s="158">
        <f t="shared" si="22"/>
        <v>21305110.682791792</v>
      </c>
      <c r="L71" s="169">
        <f>(K71-J71)/J71</f>
        <v>4.9221733212276735E-2</v>
      </c>
      <c r="M71" s="190">
        <f t="shared" si="22"/>
        <v>58917.37428916667</v>
      </c>
      <c r="N71" s="190"/>
      <c r="O71" s="190">
        <f t="shared" ref="O71:P71" si="23">O5+O21+O37+O54</f>
        <v>214977797.24900001</v>
      </c>
      <c r="P71" s="190">
        <f t="shared" si="23"/>
        <v>75110.338150000011</v>
      </c>
      <c r="Q71" s="113" t="s">
        <v>18</v>
      </c>
      <c r="T71" s="191">
        <f t="shared" ref="T71:Z77" si="24">T5+T21+T37+T54</f>
        <v>27785.82</v>
      </c>
      <c r="U71" s="131">
        <f t="shared" si="24"/>
        <v>39694.800000000003</v>
      </c>
      <c r="W71" s="191">
        <f t="shared" si="24"/>
        <v>0</v>
      </c>
      <c r="X71" s="191">
        <f t="shared" si="24"/>
        <v>0</v>
      </c>
      <c r="Y71" s="97" t="s">
        <v>42</v>
      </c>
      <c r="Z71" s="3">
        <f t="shared" si="24"/>
        <v>12815.900000000001</v>
      </c>
      <c r="AA71" s="3">
        <f t="shared" ref="AA71:AN71" si="25">AA5+AA21+AA37+AA54</f>
        <v>12815.900000000001</v>
      </c>
      <c r="AB71" s="3">
        <f t="shared" si="25"/>
        <v>12815.900000000001</v>
      </c>
      <c r="AC71" s="3">
        <f t="shared" si="25"/>
        <v>5109.8999999999996</v>
      </c>
      <c r="AD71" s="3">
        <f t="shared" si="25"/>
        <v>7706</v>
      </c>
      <c r="AE71" s="3">
        <f t="shared" si="25"/>
        <v>60.949999999999982</v>
      </c>
      <c r="AF71" s="3">
        <f t="shared" si="25"/>
        <v>60.949999999999996</v>
      </c>
      <c r="AG71" s="3">
        <f t="shared" si="25"/>
        <v>9277.5</v>
      </c>
      <c r="AH71" s="3">
        <f t="shared" si="25"/>
        <v>54.750000000000007</v>
      </c>
      <c r="AI71" s="3">
        <f t="shared" si="25"/>
        <v>6.2</v>
      </c>
      <c r="AJ71" s="3">
        <f t="shared" si="25"/>
        <v>60.949999999999989</v>
      </c>
      <c r="AK71" s="3">
        <f t="shared" si="25"/>
        <v>60.949999999999996</v>
      </c>
      <c r="AL71" s="3">
        <f t="shared" si="25"/>
        <v>10659.7</v>
      </c>
      <c r="AM71" s="3">
        <f t="shared" si="25"/>
        <v>54.75</v>
      </c>
      <c r="AN71" s="3">
        <f t="shared" si="25"/>
        <v>6.2000000000000011</v>
      </c>
    </row>
    <row r="72" spans="1:40" ht="16.5" thickBot="1" x14ac:dyDescent="0.3">
      <c r="A72" s="232"/>
      <c r="B72" s="134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W72" s="192"/>
      <c r="X72" s="139"/>
      <c r="Y72" s="101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ht="16.5" thickBot="1" x14ac:dyDescent="0.3">
      <c r="A73" s="232"/>
      <c r="B73" s="134" t="s">
        <v>14</v>
      </c>
      <c r="C73" s="138"/>
      <c r="D73" s="135">
        <f>D7+D23+D39+D56</f>
        <v>1907830.0044300004</v>
      </c>
      <c r="E73" s="135">
        <f>E7+E23+E39+E56</f>
        <v>1967043.9249299997</v>
      </c>
      <c r="F73" s="136">
        <f>(E73-D73)/D73</f>
        <v>3.1037314835443405E-2</v>
      </c>
      <c r="G73" s="135">
        <f>G7+G23+G39+G56</f>
        <v>4006932.27575</v>
      </c>
      <c r="H73" s="135">
        <f>H7+H23+H39+H56</f>
        <v>4225831.63215</v>
      </c>
      <c r="I73" s="136">
        <f>(H73-G73)/G73</f>
        <v>5.4630161264461928E-2</v>
      </c>
      <c r="J73" s="135">
        <f>J7+J23+J39+J56</f>
        <v>4302053.4733397998</v>
      </c>
      <c r="K73" s="135">
        <f>K7+K23+K39+K56</f>
        <v>3772353.7077795998</v>
      </c>
      <c r="L73" s="136">
        <f>(K73-J73)/J73</f>
        <v>-0.12312719236122832</v>
      </c>
      <c r="M73" s="137">
        <f t="shared" si="22"/>
        <v>9245.3000000000011</v>
      </c>
      <c r="N73" s="138"/>
      <c r="O73" s="137">
        <f t="shared" ref="O73:P73" si="26">O7+O23+O39+O56</f>
        <v>22675947</v>
      </c>
      <c r="P73" s="137">
        <f t="shared" si="26"/>
        <v>7631.5</v>
      </c>
      <c r="V73" s="241" t="s">
        <v>27</v>
      </c>
      <c r="W73" s="193">
        <f t="shared" si="24"/>
        <v>1907830</v>
      </c>
      <c r="X73" s="191">
        <f t="shared" si="24"/>
        <v>22675947</v>
      </c>
      <c r="Y73" s="101" t="s">
        <v>43</v>
      </c>
      <c r="Z73" s="4">
        <f t="shared" si="24"/>
        <v>72064.040000000008</v>
      </c>
      <c r="AA73" s="4">
        <f t="shared" ref="AA73:AN73" si="27">AA7+AA23+AA39+AA56</f>
        <v>72064.040000000008</v>
      </c>
      <c r="AB73" s="4">
        <f t="shared" si="27"/>
        <v>72064.040000000008</v>
      </c>
      <c r="AC73" s="4">
        <f t="shared" si="27"/>
        <v>26662.739999999994</v>
      </c>
      <c r="AD73" s="4">
        <f t="shared" si="27"/>
        <v>45401.299999999996</v>
      </c>
      <c r="AE73" s="4">
        <f t="shared" si="27"/>
        <v>561.86</v>
      </c>
      <c r="AF73" s="4">
        <f t="shared" si="27"/>
        <v>561.86000000000013</v>
      </c>
      <c r="AG73" s="4">
        <f t="shared" si="27"/>
        <v>15744.76</v>
      </c>
      <c r="AH73" s="4">
        <f t="shared" si="27"/>
        <v>542.20999999999992</v>
      </c>
      <c r="AI73" s="4">
        <f t="shared" si="27"/>
        <v>19.649999999999995</v>
      </c>
      <c r="AJ73" s="4">
        <f t="shared" si="27"/>
        <v>561.8599999999999</v>
      </c>
      <c r="AK73" s="4">
        <f t="shared" si="27"/>
        <v>561.86</v>
      </c>
      <c r="AL73" s="4">
        <f t="shared" si="27"/>
        <v>29743.96</v>
      </c>
      <c r="AM73" s="4">
        <f t="shared" si="27"/>
        <v>542.20999999999981</v>
      </c>
      <c r="AN73" s="4">
        <f t="shared" si="27"/>
        <v>19.649999999999999</v>
      </c>
    </row>
    <row r="74" spans="1:40" ht="16.5" thickBot="1" x14ac:dyDescent="0.3">
      <c r="A74" s="232"/>
      <c r="B74" s="134"/>
      <c r="C74" s="138"/>
      <c r="D74" s="135"/>
      <c r="E74" s="135"/>
      <c r="F74" s="136"/>
      <c r="G74" s="135"/>
      <c r="H74" s="135"/>
      <c r="I74" s="141"/>
      <c r="J74" s="135"/>
      <c r="K74" s="135"/>
      <c r="L74" s="136"/>
      <c r="M74" s="137"/>
      <c r="N74" s="138"/>
      <c r="O74" s="139">
        <f t="shared" ref="O74" si="28">O70-O72</f>
        <v>0</v>
      </c>
      <c r="P74" s="152"/>
      <c r="V74" s="242"/>
      <c r="W74" s="138"/>
      <c r="X74" s="139"/>
      <c r="Y74" s="101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 ht="16.5" thickBot="1" x14ac:dyDescent="0.3">
      <c r="A75" s="232"/>
      <c r="B75" s="134" t="s">
        <v>15</v>
      </c>
      <c r="C75" s="138"/>
      <c r="D75" s="135">
        <f>D71-D73</f>
        <v>16192501.847338811</v>
      </c>
      <c r="E75" s="135">
        <f>E71-E73</f>
        <v>16727854.622712307</v>
      </c>
      <c r="F75" s="136">
        <f>(E75-D75)/D75</f>
        <v>3.3061770220608605E-2</v>
      </c>
      <c r="G75" s="135">
        <f>G71-G73</f>
        <v>16610070.215312783</v>
      </c>
      <c r="H75" s="135">
        <f>H71-H73</f>
        <v>17498493.133178189</v>
      </c>
      <c r="I75" s="136">
        <f>(H75-G75)/G75</f>
        <v>5.3487005554399877E-2</v>
      </c>
      <c r="J75" s="135">
        <f>J71-J73</f>
        <v>16003578.795222234</v>
      </c>
      <c r="K75" s="135">
        <f>K71-K73</f>
        <v>17532756.975012191</v>
      </c>
      <c r="L75" s="136">
        <f>(K75-J75)/J75</f>
        <v>9.5552263612841581E-2</v>
      </c>
      <c r="M75" s="137">
        <f>M71-M73</f>
        <v>49672.074289166667</v>
      </c>
      <c r="N75" s="138"/>
      <c r="O75" s="130">
        <f>O71-O73</f>
        <v>192301850.24900001</v>
      </c>
      <c r="P75" s="130">
        <f>P71-P73</f>
        <v>67478.838150000011</v>
      </c>
      <c r="Q75" s="113" t="s">
        <v>26</v>
      </c>
      <c r="T75" s="130">
        <f t="shared" ref="T75:U75" si="29">T71-T73</f>
        <v>27785.82</v>
      </c>
      <c r="U75" s="191">
        <f t="shared" si="29"/>
        <v>39694.800000000003</v>
      </c>
      <c r="V75" s="194">
        <v>56694</v>
      </c>
      <c r="W75" s="193">
        <f t="shared" si="24"/>
        <v>7288948</v>
      </c>
      <c r="X75" s="191">
        <f t="shared" si="24"/>
        <v>71429693</v>
      </c>
      <c r="Y75" s="101" t="s">
        <v>39</v>
      </c>
      <c r="Z75" s="4">
        <f t="shared" si="24"/>
        <v>255383.76</v>
      </c>
      <c r="AA75" s="4">
        <f t="shared" ref="AA75:AN75" si="30">AA9+AA25+AA41+AA58</f>
        <v>255591.66</v>
      </c>
      <c r="AB75" s="4">
        <f t="shared" si="30"/>
        <v>250456.26</v>
      </c>
      <c r="AC75" s="4">
        <f t="shared" si="30"/>
        <v>106291.02000000002</v>
      </c>
      <c r="AD75" s="4">
        <f t="shared" si="30"/>
        <v>149092.74000000002</v>
      </c>
      <c r="AE75" s="4">
        <f t="shared" si="30"/>
        <v>2859.2150000000001</v>
      </c>
      <c r="AF75" s="4">
        <f t="shared" si="30"/>
        <v>2859.2149999999997</v>
      </c>
      <c r="AG75" s="4">
        <f t="shared" si="30"/>
        <v>142782.66500000001</v>
      </c>
      <c r="AH75" s="4">
        <f t="shared" si="30"/>
        <v>2090.4599999999996</v>
      </c>
      <c r="AI75" s="4">
        <f t="shared" si="30"/>
        <v>768.75499999999988</v>
      </c>
      <c r="AJ75" s="4">
        <f t="shared" si="30"/>
        <v>2859.2149999999997</v>
      </c>
      <c r="AK75" s="4">
        <f t="shared" si="30"/>
        <v>2859.2149999999997</v>
      </c>
      <c r="AL75" s="4">
        <f t="shared" si="30"/>
        <v>167462.54</v>
      </c>
      <c r="AM75" s="4">
        <f t="shared" si="30"/>
        <v>2090.4600000000005</v>
      </c>
      <c r="AN75" s="4">
        <f t="shared" si="30"/>
        <v>768.75500000000011</v>
      </c>
    </row>
    <row r="76" spans="1:40" ht="16.5" thickBot="1" x14ac:dyDescent="0.3">
      <c r="A76" s="232"/>
      <c r="B76" s="134"/>
      <c r="C76" s="138"/>
      <c r="D76" s="145"/>
      <c r="E76" s="138"/>
      <c r="F76" s="138"/>
      <c r="G76" s="146" t="s">
        <v>75</v>
      </c>
      <c r="H76" s="146"/>
      <c r="I76" s="146"/>
      <c r="J76" s="146"/>
      <c r="K76" s="138"/>
      <c r="L76" s="138"/>
      <c r="M76" s="137"/>
      <c r="N76" s="138"/>
      <c r="O76" s="147"/>
      <c r="P76" s="195">
        <v>1.1875812547</v>
      </c>
      <c r="T76" s="195">
        <v>1.1875812547</v>
      </c>
      <c r="U76" s="195">
        <v>1.1875812547</v>
      </c>
      <c r="V76" s="196">
        <v>1.1875812547</v>
      </c>
      <c r="W76" s="197"/>
      <c r="X76" s="139"/>
      <c r="Y76" s="101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1:40" ht="16.5" thickBot="1" x14ac:dyDescent="0.3">
      <c r="A77" s="232"/>
      <c r="B77" s="134"/>
      <c r="C77" s="138"/>
      <c r="D77" s="135"/>
      <c r="E77" s="135"/>
      <c r="F77" s="138"/>
      <c r="G77" s="135"/>
      <c r="H77" s="135"/>
      <c r="I77" s="138"/>
      <c r="J77" s="135"/>
      <c r="K77" s="135"/>
      <c r="L77" s="138"/>
      <c r="M77" s="137"/>
      <c r="N77" s="138"/>
      <c r="O77" s="147"/>
      <c r="P77" s="198">
        <f>P75/P76</f>
        <v>56820.396821644114</v>
      </c>
      <c r="Q77" s="113" t="s">
        <v>22</v>
      </c>
      <c r="S77" s="151"/>
      <c r="T77" s="198">
        <f t="shared" ref="T77:U77" si="31">T75/T76</f>
        <v>23396.984324259225</v>
      </c>
      <c r="U77" s="198">
        <f t="shared" si="31"/>
        <v>33424.912899982977</v>
      </c>
      <c r="V77" s="199">
        <f>V75/V76</f>
        <v>47739.049244526614</v>
      </c>
      <c r="W77" s="193">
        <f t="shared" si="24"/>
        <v>10611874</v>
      </c>
      <c r="X77" s="191">
        <f t="shared" si="24"/>
        <v>120872157.249</v>
      </c>
      <c r="Y77" s="93" t="s">
        <v>38</v>
      </c>
      <c r="Z77" s="68">
        <f t="shared" si="24"/>
        <v>379561.09147000004</v>
      </c>
      <c r="AA77" s="68">
        <f t="shared" ref="AA77:AN77" si="32">AA11+AA27+AA43+AA60</f>
        <v>381585.49147000001</v>
      </c>
      <c r="AB77" s="68">
        <f t="shared" si="32"/>
        <v>382412.49147000001</v>
      </c>
      <c r="AC77" s="68">
        <f t="shared" si="32"/>
        <v>155190.25644999999</v>
      </c>
      <c r="AD77" s="68">
        <f t="shared" si="32"/>
        <v>224370.83502</v>
      </c>
      <c r="AE77" s="68">
        <f t="shared" si="32"/>
        <v>2162.5380600000003</v>
      </c>
      <c r="AF77" s="68">
        <f t="shared" si="32"/>
        <v>2174.0380600000003</v>
      </c>
      <c r="AG77" s="68">
        <f t="shared" si="32"/>
        <v>15917.638779999999</v>
      </c>
      <c r="AH77" s="68">
        <f t="shared" si="32"/>
        <v>1919.8</v>
      </c>
      <c r="AI77" s="68">
        <f t="shared" si="32"/>
        <v>242.73806000000002</v>
      </c>
      <c r="AJ77" s="68">
        <f t="shared" si="32"/>
        <v>2162.5380600000003</v>
      </c>
      <c r="AK77" s="68">
        <f t="shared" si="32"/>
        <v>2174.0380600000003</v>
      </c>
      <c r="AL77" s="68">
        <f t="shared" si="32"/>
        <v>96949.406329999998</v>
      </c>
      <c r="AM77" s="68">
        <f t="shared" si="32"/>
        <v>1919.8000000000006</v>
      </c>
      <c r="AN77" s="68">
        <f t="shared" si="32"/>
        <v>242.73806000000025</v>
      </c>
    </row>
    <row r="78" spans="1:40" ht="16.5" thickBot="1" x14ac:dyDescent="0.3">
      <c r="A78" s="232"/>
      <c r="B78" s="134"/>
      <c r="C78" s="138"/>
      <c r="D78" s="135"/>
      <c r="E78" s="135"/>
      <c r="F78" s="138"/>
      <c r="G78" s="135"/>
      <c r="H78" s="135"/>
      <c r="I78" s="138"/>
      <c r="J78" s="135"/>
      <c r="K78" s="135"/>
      <c r="L78" s="138"/>
      <c r="M78" s="137"/>
      <c r="N78" s="138"/>
      <c r="O78" s="147"/>
      <c r="P78" s="101">
        <v>1.0933999999999999</v>
      </c>
      <c r="Q78" s="113" t="s">
        <v>24</v>
      </c>
      <c r="T78" s="101">
        <v>1.0933999999999999</v>
      </c>
      <c r="U78" s="101">
        <v>1.0933999999999999</v>
      </c>
      <c r="V78" s="200">
        <v>1.0933999999999999</v>
      </c>
    </row>
    <row r="79" spans="1:40" ht="15.75" customHeight="1" thickBot="1" x14ac:dyDescent="0.3">
      <c r="A79" s="232"/>
      <c r="B79" s="134" t="s">
        <v>74</v>
      </c>
      <c r="C79" s="138"/>
      <c r="D79" s="201">
        <f>D75-D77</f>
        <v>16192501.847338811</v>
      </c>
      <c r="E79" s="135">
        <f>E75-E77</f>
        <v>16727854.622712307</v>
      </c>
      <c r="F79" s="135">
        <f>E79-D79</f>
        <v>535352.77537349612</v>
      </c>
      <c r="G79" s="135">
        <f>G75-G77</f>
        <v>16610070.215312783</v>
      </c>
      <c r="H79" s="135">
        <f>H75-H77</f>
        <v>17498493.133178189</v>
      </c>
      <c r="I79" s="138"/>
      <c r="J79" s="135">
        <f>J75-J77</f>
        <v>16003578.795222234</v>
      </c>
      <c r="K79" s="135">
        <f>K75-K77</f>
        <v>17532756.975012191</v>
      </c>
      <c r="L79" s="138"/>
      <c r="M79" s="137"/>
      <c r="N79" s="138"/>
      <c r="O79" s="147"/>
      <c r="P79" s="202">
        <f>P77*P78</f>
        <v>62127.421884785668</v>
      </c>
      <c r="Q79" s="113" t="s">
        <v>23</v>
      </c>
      <c r="S79" s="151"/>
      <c r="T79" s="202">
        <f t="shared" ref="T79:U79" si="33">T77*T78</f>
        <v>25582.262660145036</v>
      </c>
      <c r="U79" s="203">
        <f t="shared" si="33"/>
        <v>36546.799764841388</v>
      </c>
      <c r="V79" s="199">
        <f>V77*V78</f>
        <v>52197.876443965397</v>
      </c>
      <c r="W79" s="140"/>
    </row>
    <row r="80" spans="1:40" ht="16.5" thickBot="1" x14ac:dyDescent="0.3">
      <c r="A80" s="232"/>
      <c r="B80" s="134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47"/>
      <c r="P80" s="101"/>
      <c r="V80" s="200"/>
    </row>
    <row r="81" spans="1:23" x14ac:dyDescent="0.25">
      <c r="A81" s="232"/>
      <c r="B81" s="134" t="s">
        <v>16</v>
      </c>
      <c r="C81" s="138"/>
      <c r="D81" s="138">
        <f>D15+D31+D47+D64</f>
        <v>227</v>
      </c>
      <c r="E81" s="138"/>
      <c r="F81" s="138"/>
      <c r="G81" s="138"/>
      <c r="H81" s="138"/>
      <c r="I81" s="138"/>
      <c r="J81" s="138"/>
      <c r="K81" s="138"/>
      <c r="L81" s="124"/>
      <c r="M81" s="158"/>
      <c r="N81" s="158"/>
      <c r="O81" s="159"/>
      <c r="P81" s="204">
        <f>S81*P79</f>
        <v>49645.568740841467</v>
      </c>
      <c r="Q81" s="160" t="s">
        <v>19</v>
      </c>
      <c r="S81" s="113">
        <v>0.79909269103276803</v>
      </c>
      <c r="T81" s="151"/>
      <c r="V81" s="205">
        <v>38354</v>
      </c>
      <c r="W81" s="140"/>
    </row>
    <row r="82" spans="1:23" x14ac:dyDescent="0.25">
      <c r="A82" s="232"/>
      <c r="B82" s="134"/>
      <c r="C82" s="138"/>
      <c r="D82" s="138"/>
      <c r="E82" s="138"/>
      <c r="F82" s="138"/>
      <c r="G82" s="138"/>
      <c r="H82" s="138"/>
      <c r="I82" s="138"/>
      <c r="J82" s="138"/>
      <c r="K82" s="138"/>
      <c r="L82" s="134"/>
      <c r="M82" s="135"/>
      <c r="N82" s="135"/>
      <c r="O82" s="162"/>
      <c r="P82" s="204">
        <f>P79*S82</f>
        <v>36828.915412773691</v>
      </c>
      <c r="Q82" s="160" t="s">
        <v>20</v>
      </c>
      <c r="S82" s="113">
        <v>0.59279645437520867</v>
      </c>
      <c r="T82" s="151"/>
      <c r="V82" s="205">
        <v>24891</v>
      </c>
      <c r="W82" s="140"/>
    </row>
    <row r="83" spans="1:23" ht="16.5" thickBot="1" x14ac:dyDescent="0.3">
      <c r="A83" s="232"/>
      <c r="B83" s="134" t="s">
        <v>14</v>
      </c>
      <c r="C83" s="138"/>
      <c r="D83" s="138">
        <f>D17+D33+D49+D66</f>
        <v>21</v>
      </c>
      <c r="E83" s="138"/>
      <c r="F83" s="138"/>
      <c r="G83" s="138"/>
      <c r="H83" s="138"/>
      <c r="I83" s="138"/>
      <c r="J83" s="138"/>
      <c r="K83" s="138"/>
      <c r="L83" s="163"/>
      <c r="M83" s="135"/>
      <c r="N83" s="135"/>
      <c r="O83" s="162"/>
      <c r="P83" s="204">
        <f>S83*P79</f>
        <v>49645.568740841467</v>
      </c>
      <c r="Q83" s="160" t="s">
        <v>21</v>
      </c>
      <c r="S83" s="113">
        <v>0.79909269103276803</v>
      </c>
      <c r="T83" s="151"/>
      <c r="V83" s="205">
        <v>33554</v>
      </c>
      <c r="W83" s="140"/>
    </row>
    <row r="84" spans="1:23" x14ac:dyDescent="0.25">
      <c r="A84" s="232"/>
      <c r="B84" s="134"/>
      <c r="C84" s="138"/>
      <c r="D84" s="138"/>
      <c r="E84" s="138"/>
      <c r="F84" s="138"/>
      <c r="G84" s="138"/>
      <c r="H84" s="138"/>
      <c r="I84" s="138"/>
      <c r="J84" s="138"/>
      <c r="K84" s="138"/>
      <c r="L84" s="134"/>
      <c r="M84" s="135"/>
      <c r="N84" s="135"/>
      <c r="O84" s="162"/>
      <c r="Q84" s="243" t="s">
        <v>28</v>
      </c>
      <c r="R84" s="206" t="s">
        <v>29</v>
      </c>
      <c r="V84" s="200"/>
    </row>
    <row r="85" spans="1:23" ht="16.5" thickBot="1" x14ac:dyDescent="0.3">
      <c r="A85" s="232"/>
      <c r="B85" s="134" t="s">
        <v>17</v>
      </c>
      <c r="C85" s="138"/>
      <c r="D85" s="138">
        <f>D81-D83</f>
        <v>206</v>
      </c>
      <c r="E85" s="138">
        <f>E81-E83</f>
        <v>0</v>
      </c>
      <c r="F85" s="138"/>
      <c r="G85" s="138">
        <f>G19+G35+G51+G68</f>
        <v>123</v>
      </c>
      <c r="H85" s="138"/>
      <c r="I85" s="138"/>
      <c r="J85" s="138">
        <f>J19+J35+J51+J68</f>
        <v>83</v>
      </c>
      <c r="K85" s="138"/>
      <c r="L85" s="134"/>
      <c r="M85" s="106"/>
      <c r="N85" s="106"/>
      <c r="O85" s="107"/>
      <c r="Q85" s="243"/>
      <c r="R85" s="207">
        <f>P82/V82*V85</f>
        <v>474.95407366117689</v>
      </c>
      <c r="V85" s="208">
        <v>321</v>
      </c>
      <c r="W85" s="140"/>
    </row>
    <row r="86" spans="1:23" ht="16.5" thickBot="1" x14ac:dyDescent="0.3">
      <c r="A86" s="232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209"/>
      <c r="N86" s="209"/>
      <c r="O86" s="209"/>
    </row>
    <row r="87" spans="1:23" x14ac:dyDescent="0.25">
      <c r="M87" s="179"/>
      <c r="N87" s="179"/>
      <c r="O87" s="179"/>
      <c r="P87" s="244" t="s">
        <v>51</v>
      </c>
      <c r="Q87" s="245"/>
      <c r="R87" s="245"/>
      <c r="S87" s="245"/>
      <c r="T87" s="246"/>
    </row>
    <row r="88" spans="1:23" ht="16.5" thickBot="1" x14ac:dyDescent="0.3">
      <c r="C88" s="240" t="s">
        <v>30</v>
      </c>
      <c r="D88" s="179">
        <v>1731885</v>
      </c>
      <c r="F88" s="254" t="s">
        <v>89</v>
      </c>
      <c r="G88" s="179">
        <v>3221732</v>
      </c>
      <c r="H88" s="179"/>
      <c r="I88" s="179"/>
      <c r="J88" s="179">
        <v>3106734</v>
      </c>
      <c r="N88" s="151"/>
      <c r="P88" s="93"/>
      <c r="Q88" s="94" t="s">
        <v>43</v>
      </c>
      <c r="R88" s="95" t="s">
        <v>49</v>
      </c>
      <c r="S88" s="94" t="s">
        <v>39</v>
      </c>
      <c r="T88" s="96" t="s">
        <v>38</v>
      </c>
    </row>
    <row r="89" spans="1:23" x14ac:dyDescent="0.25">
      <c r="C89" s="240"/>
      <c r="D89" s="179">
        <v>12933047</v>
      </c>
      <c r="F89" s="254"/>
      <c r="G89" s="179">
        <v>190189506</v>
      </c>
      <c r="H89" s="179"/>
      <c r="I89" s="179"/>
      <c r="J89" s="179">
        <v>125552395</v>
      </c>
      <c r="M89" s="179"/>
      <c r="N89" s="179"/>
      <c r="O89" s="179"/>
      <c r="P89" s="97" t="s">
        <v>45</v>
      </c>
      <c r="Q89" s="98">
        <f>D214</f>
        <v>122</v>
      </c>
      <c r="R89" s="99">
        <f>S89+T89</f>
        <v>206</v>
      </c>
      <c r="S89" s="99">
        <f>G85</f>
        <v>123</v>
      </c>
      <c r="T89" s="100">
        <f>J85</f>
        <v>83</v>
      </c>
    </row>
    <row r="90" spans="1:23" x14ac:dyDescent="0.25">
      <c r="C90" s="240"/>
      <c r="D90" s="210">
        <f>D88/D89</f>
        <v>0.13391159871297151</v>
      </c>
      <c r="F90" s="254"/>
      <c r="G90" s="210">
        <f>G88/G89</f>
        <v>1.6939588664792053E-2</v>
      </c>
      <c r="J90" s="210">
        <f>J88/J89</f>
        <v>2.4744521998166583E-2</v>
      </c>
      <c r="P90" s="101"/>
      <c r="Q90" s="102"/>
      <c r="R90" s="102"/>
      <c r="S90" s="102"/>
      <c r="T90" s="103"/>
    </row>
    <row r="91" spans="1:23" x14ac:dyDescent="0.25">
      <c r="C91" s="240"/>
      <c r="D91" s="179"/>
      <c r="F91" s="254"/>
      <c r="P91" s="101" t="s">
        <v>46</v>
      </c>
      <c r="Q91" s="104">
        <f>X73</f>
        <v>22675947</v>
      </c>
      <c r="R91" s="104">
        <f>S91+T91</f>
        <v>192301850.24900001</v>
      </c>
      <c r="S91" s="104">
        <f>X75</f>
        <v>71429693</v>
      </c>
      <c r="T91" s="105">
        <f>X77</f>
        <v>120872157.249</v>
      </c>
    </row>
    <row r="92" spans="1:23" x14ac:dyDescent="0.25">
      <c r="C92" s="240"/>
      <c r="D92" s="179">
        <f>D90*Q93</f>
        <v>255480.56537256844</v>
      </c>
      <c r="F92" s="254"/>
      <c r="G92" s="179">
        <f>G90*G75</f>
        <v>281367.75714071252</v>
      </c>
      <c r="J92" s="179">
        <f>J90*J75</f>
        <v>396000.90754776885</v>
      </c>
      <c r="P92" s="101"/>
      <c r="Q92" s="102"/>
      <c r="R92" s="102"/>
      <c r="S92" s="102"/>
      <c r="T92" s="103"/>
    </row>
    <row r="93" spans="1:23" x14ac:dyDescent="0.25">
      <c r="P93" s="101" t="s">
        <v>47</v>
      </c>
      <c r="Q93" s="104">
        <f>W73</f>
        <v>1907830</v>
      </c>
      <c r="R93" s="106">
        <f>S93+T93</f>
        <v>17900822</v>
      </c>
      <c r="S93" s="106">
        <f>W75</f>
        <v>7288948</v>
      </c>
      <c r="T93" s="107">
        <f>W77</f>
        <v>10611874</v>
      </c>
    </row>
    <row r="94" spans="1:23" x14ac:dyDescent="0.25">
      <c r="D94" s="151">
        <f>Q91</f>
        <v>22675947</v>
      </c>
      <c r="G94" s="151">
        <f>Z75</f>
        <v>255383.76</v>
      </c>
      <c r="J94" s="151">
        <f>Z77</f>
        <v>379561.09147000004</v>
      </c>
      <c r="P94" s="101"/>
      <c r="Q94" s="104"/>
      <c r="R94" s="106"/>
      <c r="S94" s="106"/>
      <c r="T94" s="107"/>
    </row>
    <row r="95" spans="1:23" x14ac:dyDescent="0.25">
      <c r="D95" s="113">
        <v>1.023E-2</v>
      </c>
      <c r="F95" s="232" t="s">
        <v>35</v>
      </c>
      <c r="G95" s="146">
        <v>2.58</v>
      </c>
      <c r="H95" s="146"/>
      <c r="I95" s="146"/>
      <c r="J95" s="146">
        <v>0.71</v>
      </c>
      <c r="P95" s="101"/>
      <c r="Q95" s="102"/>
      <c r="R95" s="102"/>
      <c r="S95" s="102"/>
      <c r="T95" s="103"/>
    </row>
    <row r="96" spans="1:23" x14ac:dyDescent="0.25">
      <c r="D96" s="179">
        <f>D94*D95</f>
        <v>231974.93781</v>
      </c>
      <c r="F96" s="232"/>
      <c r="G96" s="179">
        <f>G94*G95</f>
        <v>658890.10080000001</v>
      </c>
      <c r="J96" s="179">
        <f>J94*J95</f>
        <v>269488.37494370004</v>
      </c>
      <c r="M96" s="83">
        <v>42784</v>
      </c>
      <c r="P96" s="101" t="s">
        <v>48</v>
      </c>
      <c r="Q96" s="102"/>
      <c r="R96" s="104">
        <f>S96+T96</f>
        <v>62129.06242498642</v>
      </c>
      <c r="S96" s="104">
        <f>T79</f>
        <v>25582.262660145036</v>
      </c>
      <c r="T96" s="105">
        <f>U79</f>
        <v>36546.799764841388</v>
      </c>
    </row>
    <row r="97" spans="4:53" x14ac:dyDescent="0.25">
      <c r="G97" s="179"/>
      <c r="P97" s="101"/>
      <c r="Q97" s="102"/>
      <c r="R97" s="102"/>
      <c r="S97" s="102"/>
      <c r="T97" s="103"/>
    </row>
    <row r="98" spans="4:53" x14ac:dyDescent="0.25">
      <c r="D98" s="179">
        <f>D92+D96</f>
        <v>487455.50318256847</v>
      </c>
      <c r="G98" s="179">
        <f>G92+G96</f>
        <v>940257.85794071248</v>
      </c>
      <c r="J98" s="179">
        <f>J92+J96</f>
        <v>665489.28249146882</v>
      </c>
      <c r="P98" s="101" t="s">
        <v>18</v>
      </c>
      <c r="Q98" s="102"/>
      <c r="R98" s="104">
        <f>S98+T98</f>
        <v>67480.62</v>
      </c>
      <c r="S98" s="104">
        <f>T75</f>
        <v>27785.82</v>
      </c>
      <c r="T98" s="105">
        <f>U75</f>
        <v>39694.800000000003</v>
      </c>
    </row>
    <row r="99" spans="4:53" x14ac:dyDescent="0.25">
      <c r="P99" s="101"/>
      <c r="Q99" s="102"/>
      <c r="R99" s="102"/>
      <c r="S99" s="102"/>
      <c r="T99" s="103"/>
      <c r="Z99" s="63" t="s">
        <v>82</v>
      </c>
      <c r="AA99" s="32" t="s">
        <v>67</v>
      </c>
      <c r="AB99" s="32" t="s">
        <v>13</v>
      </c>
      <c r="AC99" s="32" t="s">
        <v>54</v>
      </c>
      <c r="AD99" s="32" t="s">
        <v>56</v>
      </c>
      <c r="AF99" s="49" t="s">
        <v>71</v>
      </c>
      <c r="AG99" s="49" t="s">
        <v>71</v>
      </c>
      <c r="AI99" s="64" t="s">
        <v>72</v>
      </c>
      <c r="AK99" s="62" t="s">
        <v>73</v>
      </c>
    </row>
    <row r="100" spans="4:53" x14ac:dyDescent="0.25">
      <c r="P100" s="101" t="s">
        <v>28</v>
      </c>
      <c r="Q100" s="102"/>
      <c r="R100" s="108">
        <f>R85</f>
        <v>474.95407366117689</v>
      </c>
      <c r="S100" s="108">
        <f>S96/$R$96*$R$100</f>
        <v>195.56708872882618</v>
      </c>
      <c r="T100" s="109">
        <f>T96/$R$96*$R$100</f>
        <v>279.38698493235069</v>
      </c>
      <c r="Z100" s="63" t="s">
        <v>81</v>
      </c>
      <c r="AA100" s="32" t="s">
        <v>68</v>
      </c>
      <c r="AB100" s="32" t="s">
        <v>53</v>
      </c>
      <c r="AC100" s="32" t="s">
        <v>55</v>
      </c>
      <c r="AD100" s="32" t="s">
        <v>47</v>
      </c>
      <c r="AF100" s="49" t="s">
        <v>55</v>
      </c>
      <c r="AG100" s="49" t="s">
        <v>47</v>
      </c>
      <c r="AI100" s="64"/>
      <c r="AK100" s="62" t="s">
        <v>72</v>
      </c>
    </row>
    <row r="101" spans="4:53" ht="16.5" thickBot="1" x14ac:dyDescent="0.3">
      <c r="P101" s="101"/>
      <c r="Q101" s="102"/>
      <c r="R101" s="102"/>
      <c r="S101" s="102"/>
      <c r="T101" s="103"/>
      <c r="Y101" s="211"/>
    </row>
    <row r="102" spans="4:53" ht="15" customHeight="1" thickBot="1" x14ac:dyDescent="0.3">
      <c r="P102" s="93" t="s">
        <v>90</v>
      </c>
      <c r="Q102" s="110"/>
      <c r="R102" s="111">
        <f>S102+T102</f>
        <v>1605747.1404321813</v>
      </c>
      <c r="S102" s="111">
        <f>G98</f>
        <v>940257.85794071248</v>
      </c>
      <c r="T102" s="112">
        <f>J98</f>
        <v>665489.28249146882</v>
      </c>
      <c r="Y102" s="97" t="s">
        <v>78</v>
      </c>
      <c r="Z102" s="26"/>
      <c r="AA102" s="26"/>
      <c r="AB102" s="26"/>
      <c r="AC102" s="26"/>
      <c r="AD102" s="27"/>
      <c r="AF102" s="12"/>
      <c r="AG102" s="27"/>
      <c r="AI102" s="77"/>
      <c r="AK102" s="77"/>
    </row>
    <row r="103" spans="4:53" x14ac:dyDescent="0.25">
      <c r="Y103" s="101"/>
      <c r="Z103" s="8"/>
      <c r="AA103" s="8"/>
      <c r="AB103" s="8"/>
      <c r="AC103" s="8"/>
      <c r="AD103" s="23"/>
      <c r="AF103" s="9"/>
      <c r="AG103" s="23"/>
      <c r="AI103" s="20"/>
      <c r="AK103" s="20"/>
    </row>
    <row r="104" spans="4:53" x14ac:dyDescent="0.25">
      <c r="Y104" s="101" t="s">
        <v>58</v>
      </c>
      <c r="Z104" s="8"/>
      <c r="AA104" s="8"/>
      <c r="AB104" s="8"/>
      <c r="AC104" s="33">
        <v>40</v>
      </c>
      <c r="AD104" s="28">
        <f>$Z$104*AC104</f>
        <v>0</v>
      </c>
      <c r="AF104" s="76">
        <v>85</v>
      </c>
      <c r="AG104" s="28">
        <f>$Z$104*AF104</f>
        <v>0</v>
      </c>
      <c r="AI104" s="57">
        <f>AG104-AD104</f>
        <v>0</v>
      </c>
      <c r="AK104" s="60" t="e">
        <f t="shared" ref="AK104:AK108" si="34">AI104/AD104</f>
        <v>#DIV/0!</v>
      </c>
    </row>
    <row r="105" spans="4:53" x14ac:dyDescent="0.25">
      <c r="Y105" s="101"/>
      <c r="Z105" s="8"/>
      <c r="AA105" s="8"/>
      <c r="AB105" s="8"/>
      <c r="AC105" s="33"/>
      <c r="AD105" s="28"/>
      <c r="AF105" s="9"/>
      <c r="AG105" s="28"/>
      <c r="AI105" s="57"/>
      <c r="AK105" s="60"/>
    </row>
    <row r="106" spans="4:53" x14ac:dyDescent="0.25">
      <c r="Y106" s="101" t="s">
        <v>46</v>
      </c>
      <c r="Z106" s="8"/>
      <c r="AA106" s="8"/>
      <c r="AB106" s="22"/>
      <c r="AC106" s="34">
        <v>8.3690000000000001E-2</v>
      </c>
      <c r="AD106" s="28">
        <f>$AB$106*AC106</f>
        <v>0</v>
      </c>
      <c r="AF106" s="51">
        <v>8.5190000000000002E-2</v>
      </c>
      <c r="AG106" s="28">
        <f>$AB$106*AF106</f>
        <v>0</v>
      </c>
      <c r="AI106" s="57">
        <f t="shared" ref="AI106:AI140" si="35">AG106-AD106</f>
        <v>0</v>
      </c>
      <c r="AK106" s="60" t="e">
        <f t="shared" si="34"/>
        <v>#DIV/0!</v>
      </c>
    </row>
    <row r="107" spans="4:53" x14ac:dyDescent="0.25">
      <c r="Y107" s="101"/>
      <c r="Z107" s="8"/>
      <c r="AA107" s="8"/>
      <c r="AB107" s="8"/>
      <c r="AC107" s="8"/>
      <c r="AD107" s="23"/>
      <c r="AF107" s="9"/>
      <c r="AG107" s="23"/>
      <c r="AI107" s="57"/>
      <c r="AK107" s="60"/>
    </row>
    <row r="108" spans="4:53" ht="16.5" thickBot="1" x14ac:dyDescent="0.3">
      <c r="W108" s="179"/>
      <c r="X108" s="179"/>
      <c r="Y108" s="93" t="s">
        <v>65</v>
      </c>
      <c r="Z108" s="29"/>
      <c r="AA108" s="29"/>
      <c r="AB108" s="29"/>
      <c r="AC108" s="29"/>
      <c r="AD108" s="5">
        <f>SUM(AD104:AD107)</f>
        <v>0</v>
      </c>
      <c r="AF108" s="13"/>
      <c r="AG108" s="5">
        <f>SUM(AG104:AG107)</f>
        <v>0</v>
      </c>
      <c r="AH108" s="1"/>
      <c r="AI108" s="58">
        <f t="shared" si="35"/>
        <v>0</v>
      </c>
      <c r="AK108" s="61" t="e">
        <f t="shared" si="34"/>
        <v>#DIV/0!</v>
      </c>
    </row>
    <row r="109" spans="4:53" ht="16.5" thickBot="1" x14ac:dyDescent="0.3">
      <c r="AI109" s="1"/>
      <c r="AO109" s="25" t="s">
        <v>38</v>
      </c>
      <c r="AP109" s="26"/>
      <c r="AQ109" s="26"/>
      <c r="AR109" s="26"/>
      <c r="AS109" s="26"/>
      <c r="AT109" s="27"/>
      <c r="AV109" s="12"/>
      <c r="AW109" s="27"/>
      <c r="AY109" s="56"/>
      <c r="BA109" s="59"/>
    </row>
    <row r="110" spans="4:53" x14ac:dyDescent="0.25">
      <c r="Y110" s="212" t="s">
        <v>57</v>
      </c>
      <c r="Z110" s="26"/>
      <c r="AA110" s="26"/>
      <c r="AB110" s="26"/>
      <c r="AC110" s="26"/>
      <c r="AD110" s="27"/>
      <c r="AF110" s="12"/>
      <c r="AG110" s="53"/>
      <c r="AI110" s="56"/>
      <c r="AK110" s="59"/>
      <c r="AO110" s="9"/>
      <c r="AP110" s="8"/>
      <c r="AQ110" s="8"/>
      <c r="AR110" s="8"/>
      <c r="AS110" s="8"/>
      <c r="AT110" s="23"/>
      <c r="AV110" s="9"/>
      <c r="AW110" s="23"/>
      <c r="AY110" s="57"/>
      <c r="BA110" s="60"/>
    </row>
    <row r="111" spans="4:53" x14ac:dyDescent="0.25">
      <c r="Y111" s="101"/>
      <c r="Z111" s="8"/>
      <c r="AA111" s="8"/>
      <c r="AB111" s="8"/>
      <c r="AC111" s="8"/>
      <c r="AD111" s="23"/>
      <c r="AF111" s="9"/>
      <c r="AG111" s="28"/>
      <c r="AI111" s="57"/>
      <c r="AK111" s="60"/>
      <c r="AO111" s="9" t="s">
        <v>58</v>
      </c>
      <c r="AP111" s="22">
        <f>Z112</f>
        <v>1476</v>
      </c>
      <c r="AQ111" s="8"/>
      <c r="AR111" s="8"/>
      <c r="AS111" s="33">
        <v>200</v>
      </c>
      <c r="AT111" s="28">
        <f>$AP$111*AS111</f>
        <v>295200</v>
      </c>
      <c r="AV111" s="50">
        <v>200</v>
      </c>
      <c r="AW111" s="28">
        <f>$AP$111*AV111</f>
        <v>295200</v>
      </c>
      <c r="AY111" s="57">
        <f t="shared" ref="AY111" si="36">AW111-AT111</f>
        <v>0</v>
      </c>
      <c r="BA111" s="60">
        <f t="shared" ref="BA111" si="37">AY111/AT111</f>
        <v>0</v>
      </c>
    </row>
    <row r="112" spans="4:53" x14ac:dyDescent="0.25">
      <c r="Y112" s="101" t="s">
        <v>58</v>
      </c>
      <c r="Z112" s="22">
        <f>12*G85</f>
        <v>1476</v>
      </c>
      <c r="AA112" s="8"/>
      <c r="AB112" s="8"/>
      <c r="AC112" s="30">
        <v>90</v>
      </c>
      <c r="AD112" s="28">
        <f>$Z$112*AC112</f>
        <v>132840</v>
      </c>
      <c r="AF112" s="50">
        <v>90</v>
      </c>
      <c r="AG112" s="28">
        <f>$Z$112*AF112</f>
        <v>132840</v>
      </c>
      <c r="AI112" s="57">
        <f t="shared" si="35"/>
        <v>0</v>
      </c>
      <c r="AK112" s="60">
        <f t="shared" ref="AK112:AK120" si="38">AI112/AD112</f>
        <v>0</v>
      </c>
      <c r="AO112" s="9"/>
      <c r="AP112" s="8"/>
      <c r="AQ112" s="8"/>
      <c r="AR112" s="8"/>
      <c r="AS112" s="33"/>
      <c r="AT112" s="28"/>
      <c r="AV112" s="9"/>
      <c r="AW112" s="28"/>
      <c r="AY112" s="57"/>
      <c r="BA112" s="60"/>
    </row>
    <row r="113" spans="23:53" x14ac:dyDescent="0.25">
      <c r="Y113" s="101"/>
      <c r="Z113" s="8"/>
      <c r="AA113" s="8"/>
      <c r="AB113" s="8"/>
      <c r="AC113" s="30"/>
      <c r="AD113" s="28"/>
      <c r="AF113" s="9"/>
      <c r="AG113" s="28"/>
      <c r="AI113" s="57"/>
      <c r="AK113" s="60"/>
      <c r="AO113" s="9" t="s">
        <v>46</v>
      </c>
      <c r="AP113" s="8"/>
      <c r="AQ113" s="8"/>
      <c r="AR113" s="22">
        <f>AB114</f>
        <v>71429693</v>
      </c>
      <c r="AS113" s="34">
        <v>3.5270000000000003E-2</v>
      </c>
      <c r="AT113" s="28">
        <f>$AR$113*AS113</f>
        <v>2519325.2721100003</v>
      </c>
      <c r="AV113" s="80">
        <v>3.5270000000000003E-2</v>
      </c>
      <c r="AW113" s="28">
        <f>$AR$113*AV113</f>
        <v>2519325.2721100003</v>
      </c>
      <c r="AY113" s="57">
        <f t="shared" ref="AY113" si="39">AW113-AT113</f>
        <v>0</v>
      </c>
      <c r="BA113" s="60">
        <f t="shared" ref="BA113" si="40">AY113/AT113</f>
        <v>0</v>
      </c>
    </row>
    <row r="114" spans="23:53" x14ac:dyDescent="0.25">
      <c r="Y114" s="101" t="s">
        <v>46</v>
      </c>
      <c r="Z114" s="8"/>
      <c r="AA114" s="8"/>
      <c r="AB114" s="22">
        <f>S91</f>
        <v>71429693</v>
      </c>
      <c r="AC114" s="31">
        <v>3.5720000000000002E-2</v>
      </c>
      <c r="AD114" s="28">
        <f>$AB$114*AC114</f>
        <v>2551468.6339600002</v>
      </c>
      <c r="AF114" s="51">
        <v>3.5720000000000002E-2</v>
      </c>
      <c r="AG114" s="28">
        <f>$AB$114*AF114</f>
        <v>2551468.6339600002</v>
      </c>
      <c r="AI114" s="57">
        <f t="shared" si="35"/>
        <v>0</v>
      </c>
      <c r="AK114" s="60">
        <f t="shared" si="38"/>
        <v>0</v>
      </c>
      <c r="AO114" s="9"/>
      <c r="AP114" s="8"/>
      <c r="AQ114" s="8"/>
      <c r="AR114" s="8"/>
      <c r="AS114" s="33"/>
      <c r="AT114" s="23"/>
      <c r="AV114" s="9"/>
      <c r="AW114" s="23"/>
      <c r="AY114" s="57"/>
      <c r="BA114" s="60"/>
    </row>
    <row r="115" spans="23:53" x14ac:dyDescent="0.25">
      <c r="Y115" s="101"/>
      <c r="Z115" s="8"/>
      <c r="AA115" s="8"/>
      <c r="AB115" s="8"/>
      <c r="AC115" s="8"/>
      <c r="AD115" s="23"/>
      <c r="AF115" s="9"/>
      <c r="AG115" s="23"/>
      <c r="AI115" s="57"/>
      <c r="AK115" s="60"/>
      <c r="AO115" s="9" t="s">
        <v>61</v>
      </c>
      <c r="AP115" s="8"/>
      <c r="AQ115" s="22">
        <f>Z75</f>
        <v>255383.76</v>
      </c>
      <c r="AR115" s="8"/>
      <c r="AS115" s="33">
        <v>5.2</v>
      </c>
      <c r="AT115" s="28">
        <f>$AQ115*AS115</f>
        <v>1327995.5520000001</v>
      </c>
      <c r="AV115" s="76">
        <v>5.2</v>
      </c>
      <c r="AW115" s="28">
        <f>$AQ115*AV115</f>
        <v>1327995.5520000001</v>
      </c>
      <c r="AY115" s="57">
        <f t="shared" ref="AY115" si="41">AW115-AT115</f>
        <v>0</v>
      </c>
      <c r="BA115" s="60">
        <f t="shared" ref="BA115:BA116" si="42">AY115/AT115</f>
        <v>0</v>
      </c>
    </row>
    <row r="116" spans="23:53" x14ac:dyDescent="0.25">
      <c r="Y116" s="101" t="s">
        <v>59</v>
      </c>
      <c r="Z116" s="8"/>
      <c r="AA116" s="22">
        <f>AC75</f>
        <v>106291.02000000002</v>
      </c>
      <c r="AB116" s="8"/>
      <c r="AC116" s="30">
        <v>19.05</v>
      </c>
      <c r="AD116" s="28">
        <f>$AA$116*AC116</f>
        <v>2024843.9310000003</v>
      </c>
      <c r="AF116" s="50">
        <v>20.71</v>
      </c>
      <c r="AG116" s="28">
        <f>$AA$116*AF116</f>
        <v>2201287.0242000003</v>
      </c>
      <c r="AI116" s="57">
        <f t="shared" si="35"/>
        <v>176443.0932</v>
      </c>
      <c r="AK116" s="60">
        <f t="shared" si="38"/>
        <v>8.7139107611548541E-2</v>
      </c>
      <c r="AO116" s="9" t="s">
        <v>69</v>
      </c>
      <c r="AP116" s="8"/>
      <c r="AQ116" s="22">
        <f>AG75</f>
        <v>142782.66500000001</v>
      </c>
      <c r="AR116" s="8"/>
      <c r="AS116" s="33">
        <v>5.2</v>
      </c>
      <c r="AT116" s="28">
        <f>$AQ116*AS116</f>
        <v>742469.85800000012</v>
      </c>
      <c r="AV116" s="76">
        <v>5.2</v>
      </c>
      <c r="AW116" s="28">
        <f>$AQ116*AV116</f>
        <v>742469.85800000012</v>
      </c>
      <c r="AY116" s="57"/>
      <c r="BA116" s="60">
        <f t="shared" si="42"/>
        <v>0</v>
      </c>
    </row>
    <row r="117" spans="23:53" x14ac:dyDescent="0.25">
      <c r="Y117" s="101" t="s">
        <v>63</v>
      </c>
      <c r="Z117" s="8"/>
      <c r="AA117" s="22">
        <f>AH75</f>
        <v>2090.4599999999996</v>
      </c>
      <c r="AB117" s="8"/>
      <c r="AC117" s="30">
        <v>19.05</v>
      </c>
      <c r="AD117" s="28">
        <f>$AA$117*AC117</f>
        <v>39823.262999999992</v>
      </c>
      <c r="AF117" s="50">
        <v>20.71</v>
      </c>
      <c r="AG117" s="28">
        <f>$AA$117*AF117</f>
        <v>43293.426599999992</v>
      </c>
      <c r="AI117" s="57">
        <f t="shared" si="35"/>
        <v>3470.1635999999999</v>
      </c>
      <c r="AK117" s="60">
        <f t="shared" si="38"/>
        <v>8.7139107611548569E-2</v>
      </c>
      <c r="AO117" s="9" t="s">
        <v>70</v>
      </c>
      <c r="AP117" s="8"/>
      <c r="AQ117" s="22">
        <f>BB55</f>
        <v>0</v>
      </c>
      <c r="AR117" s="8"/>
      <c r="AS117" s="33"/>
      <c r="AT117" s="23"/>
      <c r="AV117" s="76"/>
      <c r="AW117" s="23"/>
      <c r="AY117" s="57">
        <f>$AA$132*AV117</f>
        <v>0</v>
      </c>
      <c r="BA117" s="60" t="e">
        <f>AY117/AW117</f>
        <v>#DIV/0!</v>
      </c>
    </row>
    <row r="118" spans="23:53" x14ac:dyDescent="0.25">
      <c r="Y118" s="101"/>
      <c r="Z118" s="8"/>
      <c r="AA118" s="8"/>
      <c r="AB118" s="8"/>
      <c r="AC118" s="30"/>
      <c r="AD118" s="23"/>
      <c r="AF118" s="9"/>
      <c r="AG118" s="23"/>
      <c r="AI118" s="57"/>
      <c r="AK118" s="60"/>
      <c r="AO118" s="9"/>
      <c r="AP118" s="8"/>
      <c r="AQ118" s="8"/>
      <c r="AR118" s="8"/>
      <c r="AS118" s="33"/>
      <c r="AT118" s="23"/>
      <c r="AV118" s="76"/>
      <c r="AW118" s="23"/>
      <c r="AY118" s="57"/>
      <c r="BA118" s="60"/>
    </row>
    <row r="119" spans="23:53" x14ac:dyDescent="0.25">
      <c r="Y119" s="101" t="s">
        <v>60</v>
      </c>
      <c r="Z119" s="8"/>
      <c r="AA119" s="22">
        <f>AD75</f>
        <v>149092.74000000002</v>
      </c>
      <c r="AB119" s="8"/>
      <c r="AC119" s="30">
        <v>16.95</v>
      </c>
      <c r="AD119" s="28">
        <f>$AA$119*AC119</f>
        <v>2527121.9430000004</v>
      </c>
      <c r="AF119" s="50">
        <v>18.43</v>
      </c>
      <c r="AG119" s="28">
        <f>$AA$119*AF119</f>
        <v>2747779.1982000005</v>
      </c>
      <c r="AI119" s="57">
        <f t="shared" si="35"/>
        <v>220657.25520000001</v>
      </c>
      <c r="AK119" s="60">
        <f t="shared" si="38"/>
        <v>8.731563421828907E-2</v>
      </c>
      <c r="AO119" s="9" t="s">
        <v>66</v>
      </c>
      <c r="AP119" s="8"/>
      <c r="AQ119" s="22">
        <f>AA75</f>
        <v>255591.66</v>
      </c>
      <c r="AR119" s="8"/>
      <c r="AS119" s="33">
        <v>4.53</v>
      </c>
      <c r="AT119" s="28">
        <f>$AQ119*AS119</f>
        <v>1157830.2198000001</v>
      </c>
      <c r="AV119" s="76">
        <v>4.53</v>
      </c>
      <c r="AW119" s="28">
        <f>$AQ119*AV119</f>
        <v>1157830.2198000001</v>
      </c>
      <c r="AY119" s="57">
        <f t="shared" ref="AY119:AY120" si="43">AW119-AT119</f>
        <v>0</v>
      </c>
      <c r="BA119" s="60">
        <f t="shared" ref="BA119:BA120" si="44">AY119/AT119</f>
        <v>0</v>
      </c>
    </row>
    <row r="120" spans="23:53" x14ac:dyDescent="0.25">
      <c r="Y120" s="101" t="s">
        <v>63</v>
      </c>
      <c r="Z120" s="8"/>
      <c r="AA120" s="22">
        <f>AI75</f>
        <v>768.75499999999988</v>
      </c>
      <c r="AB120" s="8"/>
      <c r="AC120" s="30">
        <v>16.95</v>
      </c>
      <c r="AD120" s="28">
        <f>$AA$120*AC120</f>
        <v>13030.397249999998</v>
      </c>
      <c r="AF120" s="50">
        <v>18.43</v>
      </c>
      <c r="AG120" s="28">
        <f>$AA$120*AF120</f>
        <v>14168.154649999997</v>
      </c>
      <c r="AI120" s="57">
        <f t="shared" si="35"/>
        <v>1137.7573999999986</v>
      </c>
      <c r="AK120" s="60">
        <f t="shared" si="38"/>
        <v>8.7315634218288987E-2</v>
      </c>
      <c r="AO120" s="9" t="s">
        <v>63</v>
      </c>
      <c r="AP120" s="8"/>
      <c r="AQ120" s="22">
        <f>AF75</f>
        <v>2859.2149999999997</v>
      </c>
      <c r="AR120" s="8"/>
      <c r="AS120" s="33">
        <v>4.53</v>
      </c>
      <c r="AT120" s="28">
        <f>$AQ120*AS120</f>
        <v>12952.24395</v>
      </c>
      <c r="AV120" s="76">
        <v>4.53</v>
      </c>
      <c r="AW120" s="28">
        <f>$AQ120*AV120</f>
        <v>12952.24395</v>
      </c>
      <c r="AY120" s="57">
        <f t="shared" si="43"/>
        <v>0</v>
      </c>
      <c r="BA120" s="60">
        <f t="shared" si="44"/>
        <v>0</v>
      </c>
    </row>
    <row r="121" spans="23:53" x14ac:dyDescent="0.25">
      <c r="Y121" s="101"/>
      <c r="Z121" s="8"/>
      <c r="AA121" s="8"/>
      <c r="AB121" s="8"/>
      <c r="AC121" s="8"/>
      <c r="AD121" s="23"/>
      <c r="AF121" s="9"/>
      <c r="AG121" s="23"/>
      <c r="AI121" s="57"/>
      <c r="AK121" s="20"/>
      <c r="AO121" s="9"/>
      <c r="AP121" s="8"/>
      <c r="AQ121" s="8"/>
      <c r="AR121" s="8"/>
      <c r="AS121" s="33"/>
      <c r="AT121" s="23"/>
      <c r="AV121" s="76"/>
      <c r="AW121" s="23"/>
      <c r="AY121" s="57"/>
      <c r="BA121" s="60"/>
    </row>
    <row r="122" spans="23:53" ht="16.5" thickBot="1" x14ac:dyDescent="0.3">
      <c r="W122" s="179">
        <f>X122-AD122</f>
        <v>-180.16821000166237</v>
      </c>
      <c r="X122" s="179">
        <f>W75</f>
        <v>7288948</v>
      </c>
      <c r="Y122" s="93" t="s">
        <v>64</v>
      </c>
      <c r="Z122" s="29"/>
      <c r="AA122" s="29"/>
      <c r="AB122" s="29"/>
      <c r="AC122" s="29"/>
      <c r="AD122" s="5">
        <f>SUM(AD112:AD121)</f>
        <v>7289128.1682100017</v>
      </c>
      <c r="AF122" s="52"/>
      <c r="AG122" s="5">
        <f>SUM(AG112:AG121)</f>
        <v>7690836.4376100013</v>
      </c>
      <c r="AH122" s="1"/>
      <c r="AI122" s="58">
        <f t="shared" si="35"/>
        <v>401708.26939999964</v>
      </c>
      <c r="AK122" s="61">
        <f>AI122/AD122</f>
        <v>5.511060584062244E-2</v>
      </c>
      <c r="AO122" s="9" t="s">
        <v>62</v>
      </c>
      <c r="AP122" s="8"/>
      <c r="AQ122" s="22">
        <f>Z75</f>
        <v>255383.76</v>
      </c>
      <c r="AR122" s="8"/>
      <c r="AS122" s="33">
        <v>6.13</v>
      </c>
      <c r="AT122" s="28">
        <f>$AQ122*AS122</f>
        <v>1565502.4488000001</v>
      </c>
      <c r="AV122" s="76">
        <v>6.13</v>
      </c>
      <c r="AW122" s="28">
        <f>$AQ122*AV122</f>
        <v>1565502.4488000001</v>
      </c>
      <c r="AY122" s="57">
        <f t="shared" ref="AY122:AY123" si="45">AW122-AT122</f>
        <v>0</v>
      </c>
      <c r="BA122" s="60">
        <f t="shared" ref="BA122:BA123" si="46">AY122/AT122</f>
        <v>0</v>
      </c>
    </row>
    <row r="123" spans="23:53" ht="16.5" thickBot="1" x14ac:dyDescent="0.3">
      <c r="AI123" s="1"/>
      <c r="AO123" s="9" t="s">
        <v>63</v>
      </c>
      <c r="AP123" s="8"/>
      <c r="AQ123" s="22">
        <f>AE75</f>
        <v>2859.2150000000001</v>
      </c>
      <c r="AR123" s="8"/>
      <c r="AS123" s="33">
        <v>6.13</v>
      </c>
      <c r="AT123" s="28">
        <f>$AQ123*AS123</f>
        <v>17526.987949999999</v>
      </c>
      <c r="AV123" s="76">
        <v>6.13</v>
      </c>
      <c r="AW123" s="28">
        <f>$AQ123*AV123</f>
        <v>17526.987949999999</v>
      </c>
      <c r="AY123" s="57">
        <f t="shared" si="45"/>
        <v>0</v>
      </c>
      <c r="BA123" s="60">
        <f t="shared" si="46"/>
        <v>0</v>
      </c>
    </row>
    <row r="124" spans="23:53" x14ac:dyDescent="0.25">
      <c r="Y124" s="212" t="s">
        <v>38</v>
      </c>
      <c r="Z124" s="26"/>
      <c r="AA124" s="26"/>
      <c r="AB124" s="26"/>
      <c r="AC124" s="26"/>
      <c r="AD124" s="27"/>
      <c r="AF124" s="12"/>
      <c r="AG124" s="27"/>
      <c r="AI124" s="56"/>
      <c r="AK124" s="59"/>
      <c r="AO124" s="9"/>
      <c r="AP124" s="8"/>
      <c r="AQ124" s="8"/>
      <c r="AR124" s="8"/>
      <c r="AS124" s="33"/>
      <c r="AT124" s="23"/>
      <c r="AV124" s="9"/>
      <c r="AW124" s="23"/>
      <c r="AY124" s="57"/>
      <c r="BA124" s="60"/>
    </row>
    <row r="125" spans="23:53" ht="16.5" thickBot="1" x14ac:dyDescent="0.3">
      <c r="Y125" s="101"/>
      <c r="Z125" s="8"/>
      <c r="AA125" s="8"/>
      <c r="AB125" s="8"/>
      <c r="AC125" s="8"/>
      <c r="AD125" s="23"/>
      <c r="AF125" s="9"/>
      <c r="AG125" s="23"/>
      <c r="AI125" s="57"/>
      <c r="AK125" s="60"/>
      <c r="AO125" s="13" t="s">
        <v>64</v>
      </c>
      <c r="AP125" s="29"/>
      <c r="AQ125" s="29"/>
      <c r="AR125" s="29"/>
      <c r="AS125" s="29"/>
      <c r="AT125" s="5">
        <f>SUM(AT111:AT124)</f>
        <v>7638802.5826100009</v>
      </c>
      <c r="AV125" s="52"/>
      <c r="AW125" s="5">
        <f>SUM(AW111:AW124)</f>
        <v>7638802.5826100009</v>
      </c>
      <c r="AX125" s="1"/>
      <c r="AY125" s="58">
        <f t="shared" ref="AY125" si="47">AW125-AT125</f>
        <v>0</v>
      </c>
      <c r="BA125" s="61">
        <f t="shared" ref="BA125" si="48">AY125/AT125</f>
        <v>0</v>
      </c>
    </row>
    <row r="126" spans="23:53" x14ac:dyDescent="0.25">
      <c r="Y126" s="101" t="s">
        <v>58</v>
      </c>
      <c r="Z126" s="22">
        <f>12*J85</f>
        <v>996</v>
      </c>
      <c r="AA126" s="8"/>
      <c r="AB126" s="8"/>
      <c r="AC126" s="33">
        <v>200</v>
      </c>
      <c r="AD126" s="28">
        <f>$Z$126*AC126</f>
        <v>199200</v>
      </c>
      <c r="AF126" s="50">
        <v>200</v>
      </c>
      <c r="AG126" s="28">
        <f>$Z$126*AF126</f>
        <v>199200</v>
      </c>
      <c r="AI126" s="57">
        <f t="shared" si="35"/>
        <v>0</v>
      </c>
      <c r="AK126" s="60">
        <f t="shared" ref="AK126:AK140" si="49">AI126/AD126</f>
        <v>0</v>
      </c>
    </row>
    <row r="127" spans="23:53" ht="16.5" thickBot="1" x14ac:dyDescent="0.3">
      <c r="Y127" s="101"/>
      <c r="Z127" s="8"/>
      <c r="AA127" s="8"/>
      <c r="AB127" s="8"/>
      <c r="AC127" s="33"/>
      <c r="AD127" s="28"/>
      <c r="AF127" s="9"/>
      <c r="AG127" s="28"/>
      <c r="AI127" s="57"/>
      <c r="AK127" s="60"/>
    </row>
    <row r="128" spans="23:53" x14ac:dyDescent="0.25">
      <c r="Y128" s="101" t="s">
        <v>46</v>
      </c>
      <c r="Z128" s="8"/>
      <c r="AA128" s="8"/>
      <c r="AB128" s="22">
        <f>X77</f>
        <v>120872157.249</v>
      </c>
      <c r="AC128" s="34">
        <v>3.5270000000000003E-2</v>
      </c>
      <c r="AD128" s="28">
        <f>$AB$128*AC128</f>
        <v>4263160.98617223</v>
      </c>
      <c r="AF128" s="51">
        <v>3.5209999999999998E-2</v>
      </c>
      <c r="AG128" s="28">
        <f>$AB$128*AF128</f>
        <v>4255908.6567372894</v>
      </c>
      <c r="AI128" s="57">
        <f t="shared" si="35"/>
        <v>-7252.3294349405915</v>
      </c>
      <c r="AK128" s="60">
        <f t="shared" si="49"/>
        <v>-1.7011624610151657E-3</v>
      </c>
      <c r="AO128" s="75" t="s">
        <v>57</v>
      </c>
      <c r="AP128" s="26"/>
      <c r="AQ128" s="26"/>
      <c r="AR128" s="26"/>
      <c r="AS128" s="26"/>
      <c r="AT128" s="27"/>
      <c r="AU128" s="8"/>
      <c r="AV128" s="12"/>
      <c r="AW128" s="27"/>
      <c r="AX128" s="8"/>
      <c r="AY128" s="77"/>
      <c r="AZ128" s="8"/>
      <c r="BA128" s="77"/>
    </row>
    <row r="129" spans="23:53" x14ac:dyDescent="0.25">
      <c r="Y129" s="101"/>
      <c r="Z129" s="8"/>
      <c r="AA129" s="8"/>
      <c r="AB129" s="8"/>
      <c r="AC129" s="33"/>
      <c r="AD129" s="23"/>
      <c r="AF129" s="9"/>
      <c r="AG129" s="23"/>
      <c r="AI129" s="57"/>
      <c r="AK129" s="60"/>
      <c r="AO129" s="9"/>
      <c r="AP129" s="8"/>
      <c r="AQ129" s="8"/>
      <c r="AR129" s="8"/>
      <c r="AS129" s="8"/>
      <c r="AT129" s="23"/>
      <c r="AU129" s="8"/>
      <c r="AV129" s="9"/>
      <c r="AW129" s="23"/>
      <c r="AX129" s="8"/>
      <c r="AY129" s="20"/>
      <c r="AZ129" s="8"/>
      <c r="BA129" s="20"/>
    </row>
    <row r="130" spans="23:53" x14ac:dyDescent="0.25">
      <c r="Y130" s="101" t="s">
        <v>61</v>
      </c>
      <c r="Z130" s="8"/>
      <c r="AA130" s="22">
        <f>AA77</f>
        <v>381585.49147000001</v>
      </c>
      <c r="AB130" s="8"/>
      <c r="AC130" s="33">
        <v>5.2</v>
      </c>
      <c r="AD130" s="28">
        <f>$AA$130*AC130</f>
        <v>1984244.5556440002</v>
      </c>
      <c r="AF130" s="50">
        <v>3.24</v>
      </c>
      <c r="AG130" s="28">
        <f>$AA$130*AF130</f>
        <v>1236336.9923628001</v>
      </c>
      <c r="AI130" s="57">
        <f t="shared" si="35"/>
        <v>-747907.56328120013</v>
      </c>
      <c r="AK130" s="60">
        <f t="shared" si="49"/>
        <v>-0.37692307692307697</v>
      </c>
      <c r="AO130" s="9" t="s">
        <v>58</v>
      </c>
      <c r="AP130" s="8">
        <f>Z126</f>
        <v>996</v>
      </c>
      <c r="AQ130" s="8"/>
      <c r="AR130" s="8"/>
      <c r="AS130" s="8">
        <v>90</v>
      </c>
      <c r="AT130" s="7">
        <f>$AP$130*AS130</f>
        <v>89640</v>
      </c>
      <c r="AU130" s="8"/>
      <c r="AV130" s="9">
        <v>90</v>
      </c>
      <c r="AW130" s="7">
        <f>$AP$130*AV130</f>
        <v>89640</v>
      </c>
      <c r="AX130" s="8"/>
      <c r="AY130" s="20">
        <f t="shared" ref="AY130" si="50">AW130-AT130</f>
        <v>0</v>
      </c>
      <c r="AZ130" s="8"/>
      <c r="BA130" s="20">
        <f t="shared" ref="BA130" si="51">AY130/AT130</f>
        <v>0</v>
      </c>
    </row>
    <row r="131" spans="23:53" x14ac:dyDescent="0.25">
      <c r="Y131" s="101" t="s">
        <v>69</v>
      </c>
      <c r="Z131" s="8"/>
      <c r="AA131" s="22">
        <f>AG77</f>
        <v>15917.638779999999</v>
      </c>
      <c r="AB131" s="8"/>
      <c r="AC131" s="33">
        <v>5.2</v>
      </c>
      <c r="AD131" s="28">
        <f>$AA$131*AC131</f>
        <v>82771.721655999994</v>
      </c>
      <c r="AF131" s="50">
        <v>3.24</v>
      </c>
      <c r="AI131" s="57"/>
      <c r="AK131" s="60">
        <f t="shared" si="49"/>
        <v>0</v>
      </c>
      <c r="AO131" s="9"/>
      <c r="AP131" s="8"/>
      <c r="AQ131" s="8"/>
      <c r="AR131" s="8"/>
      <c r="AS131" s="8"/>
      <c r="AT131" s="7"/>
      <c r="AU131" s="8"/>
      <c r="AV131" s="9"/>
      <c r="AW131" s="7"/>
      <c r="AX131" s="8"/>
      <c r="AY131" s="20"/>
      <c r="AZ131" s="8"/>
      <c r="BA131" s="20"/>
    </row>
    <row r="132" spans="23:53" x14ac:dyDescent="0.25">
      <c r="Y132" s="101" t="s">
        <v>70</v>
      </c>
      <c r="Z132" s="8"/>
      <c r="AA132" s="22">
        <f>AL77</f>
        <v>96949.406329999998</v>
      </c>
      <c r="AB132" s="8"/>
      <c r="AC132" s="33"/>
      <c r="AD132" s="23"/>
      <c r="AF132" s="50">
        <v>3.24</v>
      </c>
      <c r="AG132" s="28">
        <f>$AA$132*AF132</f>
        <v>314116.07650920004</v>
      </c>
      <c r="AI132" s="57">
        <f>$AA$132*AF132</f>
        <v>314116.07650920004</v>
      </c>
      <c r="AK132" s="60">
        <f>AI132/AG132</f>
        <v>1</v>
      </c>
      <c r="AO132" s="9" t="s">
        <v>46</v>
      </c>
      <c r="AP132" s="8"/>
      <c r="AQ132" s="16"/>
      <c r="AR132" s="16">
        <f>AB128</f>
        <v>120872157.249</v>
      </c>
      <c r="AS132" s="8">
        <v>3.5720000000000002E-2</v>
      </c>
      <c r="AT132" s="7">
        <f>$AR$132*AS132</f>
        <v>4317553.4569342798</v>
      </c>
      <c r="AU132" s="8"/>
      <c r="AV132" s="9">
        <v>3.5720000000000002E-2</v>
      </c>
      <c r="AW132" s="7">
        <f>$AR$132*AV132</f>
        <v>4317553.4569342798</v>
      </c>
      <c r="AX132" s="8"/>
      <c r="AY132" s="20">
        <f t="shared" ref="AY132" si="52">AW132-AT132</f>
        <v>0</v>
      </c>
      <c r="AZ132" s="8"/>
      <c r="BA132" s="20">
        <f t="shared" ref="BA132" si="53">AY132/AT132</f>
        <v>0</v>
      </c>
    </row>
    <row r="133" spans="23:53" x14ac:dyDescent="0.25">
      <c r="Y133" s="101"/>
      <c r="Z133" s="8"/>
      <c r="AA133" s="8"/>
      <c r="AB133" s="8"/>
      <c r="AC133" s="33"/>
      <c r="AD133" s="23"/>
      <c r="AF133" s="50"/>
      <c r="AG133" s="23"/>
      <c r="AI133" s="57"/>
      <c r="AK133" s="60"/>
      <c r="AO133" s="9"/>
      <c r="AP133" s="8"/>
      <c r="AQ133" s="16"/>
      <c r="AR133" s="16"/>
      <c r="AS133" s="8"/>
      <c r="AT133" s="7"/>
      <c r="AU133" s="8"/>
      <c r="AV133" s="9"/>
      <c r="AW133" s="7"/>
      <c r="AX133" s="8"/>
      <c r="AY133" s="20"/>
      <c r="AZ133" s="8"/>
      <c r="BA133" s="20"/>
    </row>
    <row r="134" spans="23:53" x14ac:dyDescent="0.25">
      <c r="Y134" s="101" t="s">
        <v>66</v>
      </c>
      <c r="Z134" s="8"/>
      <c r="AA134" s="22">
        <f>AB77</f>
        <v>382412.49147000001</v>
      </c>
      <c r="AB134" s="8"/>
      <c r="AC134" s="33">
        <v>4.53</v>
      </c>
      <c r="AD134" s="28">
        <f>$AA$134*AC134</f>
        <v>1732328.5863591002</v>
      </c>
      <c r="AF134" s="50">
        <v>6.11</v>
      </c>
      <c r="AG134" s="28">
        <f>$AA$134*AF134</f>
        <v>2336540.3228817</v>
      </c>
      <c r="AI134" s="57">
        <f t="shared" si="35"/>
        <v>604211.73652259982</v>
      </c>
      <c r="AK134" s="60">
        <f t="shared" si="49"/>
        <v>0.34878587196467975</v>
      </c>
      <c r="AO134" s="9" t="s">
        <v>59</v>
      </c>
      <c r="AP134" s="8"/>
      <c r="AQ134" s="16">
        <f>AC77</f>
        <v>155190.25644999999</v>
      </c>
      <c r="AR134" s="16"/>
      <c r="AS134" s="8">
        <v>19.05</v>
      </c>
      <c r="AT134" s="7">
        <f>$AQ134*AS134</f>
        <v>2956374.3853724999</v>
      </c>
      <c r="AU134" s="8"/>
      <c r="AV134" s="9">
        <v>19.05</v>
      </c>
      <c r="AW134" s="7">
        <f>$AQ134*AV134</f>
        <v>2956374.3853724999</v>
      </c>
      <c r="AX134" s="8"/>
      <c r="AY134" s="20">
        <f t="shared" ref="AY134:AY135" si="54">AW134-AT134</f>
        <v>0</v>
      </c>
      <c r="AZ134" s="8"/>
      <c r="BA134" s="20">
        <f t="shared" ref="BA134:BA135" si="55">AY134/AT134</f>
        <v>0</v>
      </c>
    </row>
    <row r="135" spans="23:53" x14ac:dyDescent="0.25">
      <c r="Y135" s="101" t="s">
        <v>63</v>
      </c>
      <c r="Z135" s="8"/>
      <c r="AA135" s="22">
        <f>AF77</f>
        <v>2174.0380600000003</v>
      </c>
      <c r="AB135" s="8"/>
      <c r="AC135" s="33">
        <v>4.53</v>
      </c>
      <c r="AD135" s="28">
        <f>$AA$135*AC135</f>
        <v>9848.3924118000014</v>
      </c>
      <c r="AF135" s="50">
        <v>6.11</v>
      </c>
      <c r="AG135" s="28">
        <f>$AA$135*AF135</f>
        <v>13283.372546600003</v>
      </c>
      <c r="AI135" s="57">
        <f t="shared" si="35"/>
        <v>3434.9801348000019</v>
      </c>
      <c r="AK135" s="60">
        <f t="shared" si="49"/>
        <v>0.34878587196468008</v>
      </c>
      <c r="AO135" s="9" t="s">
        <v>63</v>
      </c>
      <c r="AP135" s="8"/>
      <c r="AQ135" s="16">
        <f>AH77</f>
        <v>1919.8</v>
      </c>
      <c r="AR135" s="16"/>
      <c r="AS135" s="8">
        <v>19.05</v>
      </c>
      <c r="AT135" s="7">
        <f>$AQ135*AS135</f>
        <v>36572.19</v>
      </c>
      <c r="AU135" s="8"/>
      <c r="AV135" s="9">
        <v>19.05</v>
      </c>
      <c r="AW135" s="7">
        <f>$AQ135*AV135</f>
        <v>36572.19</v>
      </c>
      <c r="AX135" s="8"/>
      <c r="AY135" s="20">
        <f t="shared" si="54"/>
        <v>0</v>
      </c>
      <c r="AZ135" s="8"/>
      <c r="BA135" s="20">
        <f t="shared" si="55"/>
        <v>0</v>
      </c>
    </row>
    <row r="136" spans="23:53" x14ac:dyDescent="0.25">
      <c r="Y136" s="101"/>
      <c r="Z136" s="8"/>
      <c r="AA136" s="8"/>
      <c r="AB136" s="8"/>
      <c r="AC136" s="33"/>
      <c r="AD136" s="23"/>
      <c r="AF136" s="9"/>
      <c r="AG136" s="23"/>
      <c r="AI136" s="57"/>
      <c r="AK136" s="60"/>
      <c r="AO136" s="9"/>
      <c r="AP136" s="8"/>
      <c r="AQ136" s="16"/>
      <c r="AR136" s="16"/>
      <c r="AS136" s="8"/>
      <c r="AT136" s="7"/>
      <c r="AU136" s="8"/>
      <c r="AV136" s="9"/>
      <c r="AW136" s="7"/>
      <c r="AX136" s="8"/>
      <c r="AY136" s="20"/>
      <c r="AZ136" s="8"/>
      <c r="BA136" s="20"/>
    </row>
    <row r="137" spans="23:53" x14ac:dyDescent="0.25">
      <c r="Y137" s="101" t="s">
        <v>62</v>
      </c>
      <c r="Z137" s="8"/>
      <c r="AA137" s="22">
        <f>Z77</f>
        <v>379561.09147000004</v>
      </c>
      <c r="AB137" s="8"/>
      <c r="AC137" s="33">
        <v>6.13</v>
      </c>
      <c r="AD137" s="28">
        <f>$AA$137*AC137</f>
        <v>2326709.4907111004</v>
      </c>
      <c r="AF137" s="50">
        <v>7.81</v>
      </c>
      <c r="AG137" s="28">
        <f>$AA$137*AF137</f>
        <v>2964372.1243807003</v>
      </c>
      <c r="AI137" s="57">
        <f t="shared" si="35"/>
        <v>637662.63366959989</v>
      </c>
      <c r="AK137" s="60">
        <f t="shared" si="49"/>
        <v>0.27406199021207167</v>
      </c>
      <c r="AO137" s="9" t="s">
        <v>60</v>
      </c>
      <c r="AP137" s="8"/>
      <c r="AQ137" s="16">
        <f>AD77</f>
        <v>224370.83502</v>
      </c>
      <c r="AR137" s="16"/>
      <c r="AS137" s="8">
        <v>16.95</v>
      </c>
      <c r="AT137" s="7">
        <f>$AQ137*AS137</f>
        <v>3803085.653589</v>
      </c>
      <c r="AU137" s="8"/>
      <c r="AV137" s="9">
        <v>16.95</v>
      </c>
      <c r="AW137" s="7">
        <f>$AQ137*AV137</f>
        <v>3803085.653589</v>
      </c>
      <c r="AX137" s="8"/>
      <c r="AY137" s="20">
        <f t="shared" ref="AY137:AY138" si="56">AW137-AT137</f>
        <v>0</v>
      </c>
      <c r="AZ137" s="8"/>
      <c r="BA137" s="20">
        <f t="shared" ref="BA137:BA138" si="57">AY137/AT137</f>
        <v>0</v>
      </c>
    </row>
    <row r="138" spans="23:53" x14ac:dyDescent="0.25">
      <c r="Y138" s="101" t="s">
        <v>63</v>
      </c>
      <c r="Z138" s="8"/>
      <c r="AA138" s="22">
        <f>AE77</f>
        <v>2162.5380600000003</v>
      </c>
      <c r="AB138" s="8"/>
      <c r="AC138" s="33">
        <v>6.13</v>
      </c>
      <c r="AD138" s="28">
        <f>$AA$138*AC138</f>
        <v>13256.358307800001</v>
      </c>
      <c r="AF138" s="50">
        <v>7.81</v>
      </c>
      <c r="AG138" s="28">
        <f>$AA$138*AF138</f>
        <v>16889.4222486</v>
      </c>
      <c r="AI138" s="57">
        <f t="shared" si="35"/>
        <v>3633.0639407999988</v>
      </c>
      <c r="AK138" s="60">
        <f t="shared" si="49"/>
        <v>0.27406199021207167</v>
      </c>
      <c r="AO138" s="9" t="s">
        <v>63</v>
      </c>
      <c r="AP138" s="8"/>
      <c r="AQ138" s="16">
        <f>AI77</f>
        <v>242.73806000000002</v>
      </c>
      <c r="AR138" s="16"/>
      <c r="AS138" s="8">
        <v>16.95</v>
      </c>
      <c r="AT138" s="7">
        <f>$AQ138*AS138</f>
        <v>4114.4101170000004</v>
      </c>
      <c r="AU138" s="8"/>
      <c r="AV138" s="9">
        <v>16.95</v>
      </c>
      <c r="AW138" s="7">
        <f>$AQ138*AV138</f>
        <v>4114.4101170000004</v>
      </c>
      <c r="AX138" s="8"/>
      <c r="AY138" s="20">
        <f t="shared" si="56"/>
        <v>0</v>
      </c>
      <c r="AZ138" s="8"/>
      <c r="BA138" s="20">
        <f t="shared" si="57"/>
        <v>0</v>
      </c>
    </row>
    <row r="139" spans="23:53" x14ac:dyDescent="0.25">
      <c r="Y139" s="101"/>
      <c r="Z139" s="8"/>
      <c r="AA139" s="8"/>
      <c r="AB139" s="8"/>
      <c r="AC139" s="33"/>
      <c r="AD139" s="23"/>
      <c r="AF139" s="9"/>
      <c r="AG139" s="23"/>
      <c r="AI139" s="57"/>
      <c r="AK139" s="60"/>
      <c r="AO139" s="9"/>
      <c r="AP139" s="8"/>
      <c r="AQ139" s="8"/>
      <c r="AR139" s="8"/>
      <c r="AS139" s="8"/>
      <c r="AT139" s="7"/>
      <c r="AU139" s="8"/>
      <c r="AV139" s="9"/>
      <c r="AW139" s="7"/>
      <c r="AX139" s="8"/>
      <c r="AY139" s="20"/>
      <c r="AZ139" s="8"/>
      <c r="BA139" s="20"/>
    </row>
    <row r="140" spans="23:53" ht="16.5" thickBot="1" x14ac:dyDescent="0.3">
      <c r="W140" s="179">
        <f>X140-AD140</f>
        <v>353.90873797051609</v>
      </c>
      <c r="X140" s="179">
        <f>W77</f>
        <v>10611874</v>
      </c>
      <c r="Y140" s="93" t="s">
        <v>64</v>
      </c>
      <c r="Z140" s="29"/>
      <c r="AA140" s="29"/>
      <c r="AB140" s="29"/>
      <c r="AC140" s="29"/>
      <c r="AD140" s="5">
        <f>SUM(AD126:AD139)</f>
        <v>10611520.091262029</v>
      </c>
      <c r="AF140" s="52"/>
      <c r="AG140" s="5">
        <f>SUM(AG126:AG139)</f>
        <v>11336646.96766689</v>
      </c>
      <c r="AH140" s="1"/>
      <c r="AI140" s="58">
        <f t="shared" si="35"/>
        <v>725126.87640486099</v>
      </c>
      <c r="AK140" s="61">
        <f t="shared" si="49"/>
        <v>6.8333930498982967E-2</v>
      </c>
      <c r="AO140" s="13" t="s">
        <v>64</v>
      </c>
      <c r="AP140" s="29"/>
      <c r="AQ140" s="29"/>
      <c r="AR140" s="29"/>
      <c r="AS140" s="29"/>
      <c r="AT140" s="5">
        <f>SUM(AT130:AT139)</f>
        <v>11207340.09601278</v>
      </c>
      <c r="AU140" s="8"/>
      <c r="AV140" s="13"/>
      <c r="AW140" s="5">
        <f>SUM(AW130:AW139)</f>
        <v>11207340.09601278</v>
      </c>
      <c r="AX140" s="8"/>
      <c r="AY140" s="82">
        <f t="shared" ref="AY140" si="58">AW140-AT140</f>
        <v>0</v>
      </c>
      <c r="AZ140" s="8"/>
      <c r="BA140" s="82">
        <f>AY140/AT140</f>
        <v>0</v>
      </c>
    </row>
    <row r="141" spans="23:53" x14ac:dyDescent="0.25">
      <c r="W141" s="179"/>
      <c r="X141" s="179"/>
      <c r="Y141" s="102"/>
      <c r="Z141" s="8"/>
      <c r="AA141" s="8"/>
      <c r="AB141" s="8"/>
      <c r="AC141" s="8"/>
      <c r="AD141" s="6"/>
      <c r="AF141" s="6"/>
      <c r="AG141" s="6"/>
      <c r="AH141" s="1"/>
      <c r="AI141" s="6"/>
      <c r="AK141" s="78"/>
    </row>
    <row r="142" spans="23:53" ht="16.5" thickBot="1" x14ac:dyDescent="0.3">
      <c r="W142" s="179"/>
      <c r="X142" s="179"/>
      <c r="Y142" s="102"/>
      <c r="Z142" s="8"/>
      <c r="AA142" s="8"/>
      <c r="AB142" s="8"/>
      <c r="AC142" s="8"/>
      <c r="AD142" s="6"/>
      <c r="AF142" s="6"/>
      <c r="AG142" s="6"/>
      <c r="AH142" s="1"/>
      <c r="AI142" s="6"/>
      <c r="AK142" s="78"/>
    </row>
    <row r="143" spans="23:53" x14ac:dyDescent="0.25">
      <c r="W143" s="179"/>
      <c r="X143" s="179"/>
      <c r="Y143" s="212" t="s">
        <v>79</v>
      </c>
      <c r="Z143" s="26"/>
      <c r="AA143" s="26"/>
      <c r="AB143" s="26"/>
      <c r="AC143" s="26"/>
      <c r="AD143" s="27"/>
      <c r="AF143" s="12"/>
      <c r="AG143" s="27"/>
      <c r="AI143" s="56"/>
      <c r="AK143" s="59"/>
      <c r="AO143" s="25" t="s">
        <v>57</v>
      </c>
      <c r="AP143" s="26"/>
      <c r="AQ143" s="26"/>
      <c r="AR143" s="26"/>
      <c r="AS143" s="26"/>
      <c r="AT143" s="27"/>
      <c r="AV143" s="12"/>
      <c r="AW143" s="53"/>
      <c r="AY143" s="56"/>
      <c r="BA143" s="59"/>
    </row>
    <row r="144" spans="23:53" x14ac:dyDescent="0.25">
      <c r="W144" s="179"/>
      <c r="X144" s="179"/>
      <c r="Y144" s="101"/>
      <c r="Z144" s="8"/>
      <c r="AA144" s="8"/>
      <c r="AB144" s="8"/>
      <c r="AC144" s="8"/>
      <c r="AD144" s="23"/>
      <c r="AF144" s="9"/>
      <c r="AG144" s="23"/>
      <c r="AI144" s="57"/>
      <c r="AK144" s="60"/>
      <c r="AO144" s="9"/>
      <c r="AP144" s="8"/>
      <c r="AQ144" s="8"/>
      <c r="AR144" s="8"/>
      <c r="AS144" s="8"/>
      <c r="AT144" s="23"/>
      <c r="AV144" s="9"/>
      <c r="AW144" s="28"/>
      <c r="AY144" s="57"/>
      <c r="BA144" s="60"/>
    </row>
    <row r="145" spans="23:53" x14ac:dyDescent="0.25">
      <c r="W145" s="179"/>
      <c r="X145" s="179"/>
      <c r="Y145" s="101" t="s">
        <v>58</v>
      </c>
      <c r="Z145" s="22">
        <f>Z112+Z126</f>
        <v>2472</v>
      </c>
      <c r="AA145" s="8"/>
      <c r="AB145" s="8"/>
      <c r="AC145" s="33">
        <v>200</v>
      </c>
      <c r="AD145" s="28">
        <f>$Z$145*AC145</f>
        <v>494400</v>
      </c>
      <c r="AF145" s="50">
        <v>200</v>
      </c>
      <c r="AG145" s="28">
        <f>$Z$145*AF145</f>
        <v>494400</v>
      </c>
      <c r="AI145" s="57">
        <f t="shared" ref="AI145" si="59">AG145-AD145</f>
        <v>0</v>
      </c>
      <c r="AK145" s="60">
        <f t="shared" ref="AK145" si="60">AI145/AD145</f>
        <v>0</v>
      </c>
      <c r="AO145" s="9" t="s">
        <v>58</v>
      </c>
      <c r="AP145" s="22">
        <f>Z145</f>
        <v>2472</v>
      </c>
      <c r="AQ145" s="8"/>
      <c r="AR145" s="8"/>
      <c r="AS145" s="30">
        <v>90</v>
      </c>
      <c r="AT145" s="28">
        <f>$Z$112*AS145</f>
        <v>132840</v>
      </c>
      <c r="AV145" s="50">
        <v>90</v>
      </c>
      <c r="AW145" s="28">
        <f>$Z$112*AV145</f>
        <v>132840</v>
      </c>
      <c r="AY145" s="57">
        <f t="shared" ref="AY145" si="61">AW145-AT145</f>
        <v>0</v>
      </c>
      <c r="BA145" s="60">
        <f t="shared" ref="BA145" si="62">AY145/AT145</f>
        <v>0</v>
      </c>
    </row>
    <row r="146" spans="23:53" x14ac:dyDescent="0.25">
      <c r="W146" s="179"/>
      <c r="X146" s="179"/>
      <c r="Y146" s="101"/>
      <c r="Z146" s="8"/>
      <c r="AA146" s="8"/>
      <c r="AB146" s="8"/>
      <c r="AC146" s="33"/>
      <c r="AD146" s="28"/>
      <c r="AF146" s="9"/>
      <c r="AG146" s="28"/>
      <c r="AI146" s="57"/>
      <c r="AK146" s="60"/>
      <c r="AO146" s="9"/>
      <c r="AP146" s="8"/>
      <c r="AQ146" s="8"/>
      <c r="AR146" s="8"/>
      <c r="AS146" s="30"/>
      <c r="AT146" s="28"/>
      <c r="AV146" s="9"/>
      <c r="AW146" s="28"/>
      <c r="AY146" s="57"/>
      <c r="BA146" s="60"/>
    </row>
    <row r="147" spans="23:53" x14ac:dyDescent="0.25">
      <c r="W147" s="252" t="s">
        <v>80</v>
      </c>
      <c r="X147" s="253"/>
      <c r="Y147" s="101" t="s">
        <v>46</v>
      </c>
      <c r="Z147" s="8"/>
      <c r="AA147" s="8"/>
      <c r="AB147" s="22">
        <f>AB114+AB128</f>
        <v>192301850.24900001</v>
      </c>
      <c r="AC147" s="34">
        <v>3.5270000000000003E-2</v>
      </c>
      <c r="AD147" s="28">
        <f>$AB$147*AC147</f>
        <v>6782486.2582822312</v>
      </c>
      <c r="AF147" s="51">
        <v>3.5209999999999998E-2</v>
      </c>
      <c r="AG147" s="28">
        <f>$AB$147*AF147</f>
        <v>6770948.1472672904</v>
      </c>
      <c r="AI147" s="57">
        <f t="shared" ref="AI147" si="63">AG147-AD147</f>
        <v>-11538.111014940776</v>
      </c>
      <c r="AK147" s="60">
        <f t="shared" ref="AK147" si="64">AI147/AD147</f>
        <v>-1.701162461015141E-3</v>
      </c>
      <c r="AO147" s="9" t="s">
        <v>46</v>
      </c>
      <c r="AP147" s="8"/>
      <c r="AQ147" s="8"/>
      <c r="AR147" s="22">
        <f>AB147</f>
        <v>192301850.24900001</v>
      </c>
      <c r="AS147" s="31">
        <v>3.5720000000000002E-2</v>
      </c>
      <c r="AT147" s="28">
        <f>$AB$114*AS147</f>
        <v>2551468.6339600002</v>
      </c>
      <c r="AV147" s="51">
        <v>3.5720000000000002E-2</v>
      </c>
      <c r="AW147" s="28">
        <f>$AB$114*AV147</f>
        <v>2551468.6339600002</v>
      </c>
      <c r="AY147" s="57">
        <f t="shared" ref="AY147" si="65">AW147-AT147</f>
        <v>0</v>
      </c>
      <c r="BA147" s="60">
        <f t="shared" ref="BA147" si="66">AY147/AT147</f>
        <v>0</v>
      </c>
    </row>
    <row r="148" spans="23:53" x14ac:dyDescent="0.25">
      <c r="W148" s="252"/>
      <c r="X148" s="253"/>
      <c r="Y148" s="101"/>
      <c r="Z148" s="8"/>
      <c r="AA148" s="8"/>
      <c r="AB148" s="8"/>
      <c r="AC148" s="33"/>
      <c r="AD148" s="23"/>
      <c r="AF148" s="9"/>
      <c r="AG148" s="23"/>
      <c r="AI148" s="57"/>
      <c r="AK148" s="60"/>
      <c r="AO148" s="9"/>
      <c r="AP148" s="8"/>
      <c r="AQ148" s="8"/>
      <c r="AR148" s="8"/>
      <c r="AS148" s="8"/>
      <c r="AT148" s="23"/>
      <c r="AV148" s="9"/>
      <c r="AW148" s="23"/>
      <c r="AY148" s="57"/>
      <c r="BA148" s="60"/>
    </row>
    <row r="149" spans="23:53" x14ac:dyDescent="0.25">
      <c r="W149" s="252"/>
      <c r="X149" s="253"/>
      <c r="Y149" s="101" t="s">
        <v>61</v>
      </c>
      <c r="Z149" s="8"/>
      <c r="AA149" s="22">
        <f>AB75+AB77</f>
        <v>632868.75147000002</v>
      </c>
      <c r="AB149" s="8"/>
      <c r="AC149" s="33">
        <v>5.2</v>
      </c>
      <c r="AD149" s="28">
        <f>$AA$149*AC149</f>
        <v>3290917.507644</v>
      </c>
      <c r="AF149" s="50">
        <f>AC149+$AF$162</f>
        <v>5.2</v>
      </c>
      <c r="AG149" s="28">
        <f>$AA$149*AF149</f>
        <v>3290917.507644</v>
      </c>
      <c r="AI149" s="57">
        <f t="shared" ref="AI149" si="67">AG149-AD149</f>
        <v>0</v>
      </c>
      <c r="AK149" s="60">
        <f t="shared" ref="AK149:AK150" si="68">AI149/AD149</f>
        <v>0</v>
      </c>
      <c r="AO149" s="9" t="s">
        <v>59</v>
      </c>
      <c r="AP149" s="8"/>
      <c r="AQ149" s="22">
        <f>AC75+AC77</f>
        <v>261481.27645</v>
      </c>
      <c r="AR149" s="8"/>
      <c r="AS149" s="30">
        <v>19.05</v>
      </c>
      <c r="AT149" s="28">
        <f>$AQ149*AS149</f>
        <v>4981218.3163725007</v>
      </c>
      <c r="AV149" s="50">
        <f>AS149+$AV$158</f>
        <v>16.701071399804778</v>
      </c>
      <c r="AW149" s="28">
        <f>$AQ149*AV149</f>
        <v>4367017.4677035417</v>
      </c>
      <c r="AY149" s="57">
        <f t="shared" ref="AY149:AY150" si="69">AW149-AT149</f>
        <v>-614200.84866895899</v>
      </c>
      <c r="BA149" s="60">
        <f t="shared" ref="BA149:BA150" si="70">AY149/AT149</f>
        <v>-0.12330333859292515</v>
      </c>
    </row>
    <row r="150" spans="23:53" x14ac:dyDescent="0.25">
      <c r="W150" s="179"/>
      <c r="X150" s="179"/>
      <c r="Y150" s="101" t="s">
        <v>69</v>
      </c>
      <c r="Z150" s="8"/>
      <c r="AA150" s="22">
        <f>AG75+AG77</f>
        <v>158700.30378000002</v>
      </c>
      <c r="AB150" s="8"/>
      <c r="AC150" s="33">
        <v>5.2</v>
      </c>
      <c r="AD150" s="28">
        <f>$AA$150*AC150</f>
        <v>825241.57965600013</v>
      </c>
      <c r="AF150" s="50">
        <f t="shared" ref="AF150:AF151" si="71">AC150+$AF$162</f>
        <v>5.2</v>
      </c>
      <c r="AG150" s="28">
        <f>$AA$150*AF150</f>
        <v>825241.57965600013</v>
      </c>
      <c r="AI150" s="57"/>
      <c r="AK150" s="60">
        <f t="shared" si="68"/>
        <v>0</v>
      </c>
      <c r="AO150" s="9" t="s">
        <v>63</v>
      </c>
      <c r="AP150" s="8"/>
      <c r="AQ150" s="22">
        <f>AH73+AH75</f>
        <v>2632.6699999999996</v>
      </c>
      <c r="AR150" s="8"/>
      <c r="AS150" s="30">
        <v>19.05</v>
      </c>
      <c r="AT150" s="28">
        <f t="shared" ref="AT150:AT153" si="72">$AQ150*AS150</f>
        <v>50152.363499999992</v>
      </c>
      <c r="AV150" s="50">
        <f t="shared" ref="AV150:AV153" si="73">AS150+$AV$158</f>
        <v>16.701071399804778</v>
      </c>
      <c r="AW150" s="28">
        <f t="shared" ref="AW150:AW153" si="74">$AQ150*AV150</f>
        <v>43968.409642124039</v>
      </c>
      <c r="AY150" s="57">
        <f t="shared" si="69"/>
        <v>-6183.953857875953</v>
      </c>
      <c r="BA150" s="60">
        <f t="shared" si="70"/>
        <v>-0.12330333859292501</v>
      </c>
    </row>
    <row r="151" spans="23:53" x14ac:dyDescent="0.25">
      <c r="W151" s="179"/>
      <c r="X151" s="179"/>
      <c r="Y151" s="101" t="s">
        <v>70</v>
      </c>
      <c r="Z151" s="8"/>
      <c r="AA151" s="22"/>
      <c r="AB151" s="8"/>
      <c r="AC151" s="33">
        <v>5.2</v>
      </c>
      <c r="AD151" s="23"/>
      <c r="AF151" s="50">
        <f t="shared" si="71"/>
        <v>5.2</v>
      </c>
      <c r="AG151" s="28"/>
      <c r="AI151" s="57">
        <f>$AA$132*AF151</f>
        <v>504136.912916</v>
      </c>
      <c r="AK151" s="60">
        <f>AI151/AG150</f>
        <v>0.61089616100796595</v>
      </c>
      <c r="AO151" s="9"/>
      <c r="AP151" s="8"/>
      <c r="AR151" s="8"/>
      <c r="AS151" s="30"/>
      <c r="AT151" s="28"/>
      <c r="AV151" s="50"/>
      <c r="AW151" s="28"/>
      <c r="AY151" s="57"/>
      <c r="BA151" s="60"/>
    </row>
    <row r="152" spans="23:53" x14ac:dyDescent="0.25">
      <c r="W152" s="179"/>
      <c r="X152" s="179"/>
      <c r="Y152" s="101"/>
      <c r="Z152" s="8"/>
      <c r="AA152" s="22"/>
      <c r="AB152" s="8"/>
      <c r="AC152" s="33"/>
      <c r="AD152" s="23"/>
      <c r="AF152" s="50"/>
      <c r="AG152" s="23"/>
      <c r="AI152" s="57"/>
      <c r="AK152" s="60"/>
      <c r="AO152" s="9" t="s">
        <v>60</v>
      </c>
      <c r="AP152" s="8"/>
      <c r="AQ152" s="22">
        <f>AD75+AD77</f>
        <v>373463.57501999999</v>
      </c>
      <c r="AR152" s="8"/>
      <c r="AS152" s="30">
        <v>16.95</v>
      </c>
      <c r="AT152" s="28">
        <f t="shared" si="72"/>
        <v>6330207.596589</v>
      </c>
      <c r="AV152" s="50">
        <f t="shared" si="73"/>
        <v>14.601071399804777</v>
      </c>
      <c r="AW152" s="28">
        <f t="shared" si="74"/>
        <v>5452968.3240933679</v>
      </c>
      <c r="AY152" s="57">
        <f t="shared" ref="AY152:AY153" si="75">AW152-AT152</f>
        <v>-877239.27249563206</v>
      </c>
      <c r="BA152" s="60">
        <f t="shared" ref="BA152:BA153" si="76">AY152/AT152</f>
        <v>-0.13857985841859718</v>
      </c>
    </row>
    <row r="153" spans="23:53" x14ac:dyDescent="0.25">
      <c r="W153" s="179"/>
      <c r="X153" s="179"/>
      <c r="Y153" s="101" t="s">
        <v>66</v>
      </c>
      <c r="Z153" s="8"/>
      <c r="AA153" s="22">
        <f>AA75+AA77</f>
        <v>637177.15147000004</v>
      </c>
      <c r="AB153" s="8"/>
      <c r="AC153" s="33">
        <v>4.53</v>
      </c>
      <c r="AD153" s="28">
        <f>$AA$153*AC153</f>
        <v>2886412.4961591004</v>
      </c>
      <c r="AF153" s="50">
        <f t="shared" ref="AF153:AF154" si="77">AC153+$AF$162</f>
        <v>4.53</v>
      </c>
      <c r="AG153" s="28">
        <f>$AA$153*AF153</f>
        <v>2886412.4961591004</v>
      </c>
      <c r="AI153" s="57">
        <f t="shared" ref="AI153:AI154" si="78">AG153-AD153</f>
        <v>0</v>
      </c>
      <c r="AK153" s="60">
        <f t="shared" ref="AK153:AK154" si="79">AI153/AD153</f>
        <v>0</v>
      </c>
      <c r="AO153" s="9" t="s">
        <v>63</v>
      </c>
      <c r="AP153" s="8"/>
      <c r="AQ153" s="22">
        <f>AI75+AI77</f>
        <v>1011.4930599999999</v>
      </c>
      <c r="AR153" s="8"/>
      <c r="AS153" s="30">
        <v>16.95</v>
      </c>
      <c r="AT153" s="28">
        <f t="shared" si="72"/>
        <v>17144.807366999998</v>
      </c>
      <c r="AV153" s="50">
        <f t="shared" si="73"/>
        <v>14.601071399804777</v>
      </c>
      <c r="AW153" s="28">
        <f t="shared" si="74"/>
        <v>14768.882389467015</v>
      </c>
      <c r="AY153" s="57">
        <f t="shared" si="75"/>
        <v>-2375.9249775329827</v>
      </c>
      <c r="BA153" s="60">
        <f t="shared" si="76"/>
        <v>-0.13857985841859724</v>
      </c>
    </row>
    <row r="154" spans="23:53" x14ac:dyDescent="0.25">
      <c r="W154" s="179"/>
      <c r="X154" s="179"/>
      <c r="Y154" s="101" t="s">
        <v>63</v>
      </c>
      <c r="Z154" s="8"/>
      <c r="AA154" s="22">
        <f>AF75+AF77</f>
        <v>5033.25306</v>
      </c>
      <c r="AB154" s="8"/>
      <c r="AC154" s="33">
        <v>4.53</v>
      </c>
      <c r="AD154" s="28">
        <f>$AA$154*AC154</f>
        <v>22800.6363618</v>
      </c>
      <c r="AF154" s="50">
        <f t="shared" si="77"/>
        <v>4.53</v>
      </c>
      <c r="AG154" s="28">
        <f>$AA$154*AF154</f>
        <v>22800.6363618</v>
      </c>
      <c r="AI154" s="57">
        <f t="shared" si="78"/>
        <v>0</v>
      </c>
      <c r="AK154" s="60">
        <f t="shared" si="79"/>
        <v>0</v>
      </c>
      <c r="AO154" s="9"/>
      <c r="AP154" s="8"/>
      <c r="AQ154" s="8"/>
      <c r="AR154" s="8"/>
      <c r="AS154" s="8"/>
      <c r="AT154" s="23"/>
      <c r="AV154" s="9"/>
      <c r="AW154" s="23"/>
      <c r="AY154" s="57"/>
      <c r="BA154" s="20"/>
    </row>
    <row r="155" spans="23:53" ht="16.5" thickBot="1" x14ac:dyDescent="0.3">
      <c r="W155" s="179"/>
      <c r="X155" s="179"/>
      <c r="Y155" s="101"/>
      <c r="Z155" s="8"/>
      <c r="AA155" s="8"/>
      <c r="AB155" s="8"/>
      <c r="AC155" s="33"/>
      <c r="AD155" s="23"/>
      <c r="AF155" s="9"/>
      <c r="AG155" s="23"/>
      <c r="AI155" s="57"/>
      <c r="AK155" s="60"/>
      <c r="AO155" s="13" t="s">
        <v>64</v>
      </c>
      <c r="AP155" s="29"/>
      <c r="AQ155" s="29"/>
      <c r="AR155" s="29"/>
      <c r="AS155" s="29"/>
      <c r="AT155" s="5">
        <f>SUM(AT145:AT154)</f>
        <v>14063031.717788503</v>
      </c>
      <c r="AV155" s="52"/>
      <c r="AW155" s="5">
        <f>SUM(AW145:AW154)</f>
        <v>12563031.717788501</v>
      </c>
      <c r="AX155" s="1"/>
      <c r="AY155" s="58">
        <f t="shared" ref="AY155" si="80">AW155-AT155</f>
        <v>-1500000.0000000019</v>
      </c>
      <c r="BA155" s="61">
        <f>AY155/AT155</f>
        <v>-0.10666263364126764</v>
      </c>
    </row>
    <row r="156" spans="23:53" x14ac:dyDescent="0.25">
      <c r="W156" s="179"/>
      <c r="X156" s="179"/>
      <c r="Y156" s="101" t="s">
        <v>62</v>
      </c>
      <c r="Z156" s="8"/>
      <c r="AA156" s="22">
        <f>Z75+Z77</f>
        <v>634944.85147000011</v>
      </c>
      <c r="AB156" s="8"/>
      <c r="AC156" s="33">
        <v>6.13</v>
      </c>
      <c r="AD156" s="28">
        <f>$AA$156*AC156</f>
        <v>3892211.9395111008</v>
      </c>
      <c r="AF156" s="50">
        <f t="shared" ref="AF156:AF157" si="81">AC156+$AF$162</f>
        <v>6.13</v>
      </c>
      <c r="AG156" s="28">
        <f>$AA$156*AF156</f>
        <v>3892211.9395111008</v>
      </c>
      <c r="AI156" s="57">
        <f t="shared" ref="AI156:AI157" si="82">AG156-AD156</f>
        <v>0</v>
      </c>
      <c r="AK156" s="60">
        <f t="shared" ref="AK156:AK157" si="83">AI156/AD156</f>
        <v>0</v>
      </c>
    </row>
    <row r="157" spans="23:53" x14ac:dyDescent="0.25">
      <c r="W157" s="179"/>
      <c r="X157" s="179"/>
      <c r="Y157" s="101" t="s">
        <v>63</v>
      </c>
      <c r="Z157" s="8"/>
      <c r="AA157" s="22">
        <f>AE75+AE77</f>
        <v>5021.7530600000009</v>
      </c>
      <c r="AB157" s="8"/>
      <c r="AC157" s="33">
        <v>6.13</v>
      </c>
      <c r="AD157" s="28">
        <f>$AA$157*AC157</f>
        <v>30783.346257800004</v>
      </c>
      <c r="AF157" s="50">
        <f t="shared" si="81"/>
        <v>6.13</v>
      </c>
      <c r="AG157" s="28">
        <f>$AA$138*AF157</f>
        <v>13256.358307800001</v>
      </c>
      <c r="AI157" s="57">
        <f t="shared" si="82"/>
        <v>-17526.987950000002</v>
      </c>
      <c r="AK157" s="60">
        <f t="shared" si="83"/>
        <v>-0.56936590984025803</v>
      </c>
      <c r="AT157" s="1">
        <f>AT155</f>
        <v>14063031.717788503</v>
      </c>
      <c r="AU157" s="1"/>
      <c r="AV157" s="1"/>
    </row>
    <row r="158" spans="23:53" x14ac:dyDescent="0.25">
      <c r="W158" s="179"/>
      <c r="X158" s="179"/>
      <c r="Y158" s="101"/>
      <c r="Z158" s="8"/>
      <c r="AA158" s="8"/>
      <c r="AB158" s="8"/>
      <c r="AC158" s="33"/>
      <c r="AD158" s="23"/>
      <c r="AF158" s="9"/>
      <c r="AG158" s="23"/>
      <c r="AI158" s="57"/>
      <c r="AK158" s="60"/>
      <c r="AT158" s="1">
        <v>-1500000</v>
      </c>
      <c r="AU158" s="1"/>
      <c r="AV158" s="81">
        <f>AT158/(SUM(AQ149:AQ153))</f>
        <v>-2.3489286001952232</v>
      </c>
    </row>
    <row r="159" spans="23:53" ht="16.5" thickBot="1" x14ac:dyDescent="0.3">
      <c r="W159" s="179"/>
      <c r="X159" s="179"/>
      <c r="Y159" s="93" t="s">
        <v>64</v>
      </c>
      <c r="Z159" s="29"/>
      <c r="AA159" s="29"/>
      <c r="AB159" s="29"/>
      <c r="AC159" s="29"/>
      <c r="AD159" s="5">
        <f>SUM(AD145:AD158)</f>
        <v>18225253.763872031</v>
      </c>
      <c r="AF159" s="52"/>
      <c r="AG159" s="5">
        <f>SUM(AG145:AG158)</f>
        <v>18196188.664907094</v>
      </c>
      <c r="AH159" s="1"/>
      <c r="AI159" s="58">
        <f t="shared" ref="AI159" si="84">AG159-AD159</f>
        <v>-29065.098964937031</v>
      </c>
      <c r="AK159" s="61">
        <f t="shared" ref="AK159" si="85">AI159/AD159</f>
        <v>-1.5947706046514894E-3</v>
      </c>
      <c r="AT159" s="1">
        <f>SUM(AT157:AT158)</f>
        <v>12563031.717788503</v>
      </c>
      <c r="AU159" s="1"/>
      <c r="AV159" s="1"/>
    </row>
    <row r="160" spans="23:53" x14ac:dyDescent="0.25">
      <c r="W160" s="179"/>
      <c r="X160" s="179"/>
      <c r="Y160" s="102"/>
      <c r="Z160" s="8"/>
      <c r="AA160" s="8"/>
      <c r="AB160" s="8"/>
      <c r="AC160" s="8"/>
      <c r="AD160" s="6"/>
      <c r="AF160" s="6"/>
      <c r="AG160" s="6"/>
      <c r="AH160" s="1"/>
      <c r="AI160" s="6"/>
      <c r="AK160" s="78"/>
      <c r="AT160" s="1"/>
      <c r="AU160" s="1"/>
      <c r="AV160" s="1"/>
    </row>
    <row r="161" spans="1:40" x14ac:dyDescent="0.25">
      <c r="W161" s="179"/>
      <c r="X161" s="179"/>
      <c r="Y161" s="102"/>
      <c r="Z161" s="8"/>
      <c r="AA161" s="8"/>
      <c r="AB161" s="6">
        <f>AD122+AD140</f>
        <v>17900648.259472031</v>
      </c>
      <c r="AC161" s="8"/>
      <c r="AD161" s="1">
        <f>AD159</f>
        <v>18225253.763872031</v>
      </c>
      <c r="AF161" s="6"/>
      <c r="AG161" s="6"/>
      <c r="AH161" s="1"/>
      <c r="AI161" s="6"/>
      <c r="AK161" s="78"/>
    </row>
    <row r="162" spans="1:40" x14ac:dyDescent="0.25">
      <c r="W162" s="179"/>
      <c r="X162" s="179"/>
      <c r="Y162" s="102"/>
      <c r="Z162" s="8"/>
      <c r="AA162" s="8"/>
      <c r="AB162" s="8"/>
      <c r="AC162" s="8"/>
      <c r="AD162" s="6">
        <v>0</v>
      </c>
      <c r="AF162" s="30">
        <f>AD162/(SUM(AA149:AA157))</f>
        <v>0</v>
      </c>
      <c r="AG162" s="6"/>
      <c r="AH162" s="1"/>
      <c r="AI162" s="6"/>
      <c r="AK162" s="78"/>
    </row>
    <row r="163" spans="1:40" x14ac:dyDescent="0.25">
      <c r="W163" s="179"/>
      <c r="X163" s="179"/>
      <c r="Y163" s="102"/>
      <c r="Z163" s="8"/>
      <c r="AA163" s="8"/>
      <c r="AB163" s="8"/>
      <c r="AC163" s="8"/>
      <c r="AD163" s="6">
        <f>SUM(AD161:AD162)</f>
        <v>18225253.763872031</v>
      </c>
      <c r="AF163" s="6"/>
      <c r="AG163" s="6"/>
      <c r="AH163" s="1"/>
      <c r="AI163" s="6"/>
      <c r="AK163" s="78"/>
    </row>
    <row r="164" spans="1:40" x14ac:dyDescent="0.25">
      <c r="W164" s="179"/>
      <c r="X164" s="179"/>
      <c r="Y164" s="102"/>
      <c r="Z164" s="8"/>
      <c r="AA164" s="8"/>
      <c r="AB164" s="8"/>
      <c r="AC164" s="8"/>
      <c r="AD164" s="6"/>
      <c r="AF164" s="6"/>
      <c r="AG164" s="6"/>
      <c r="AH164" s="1"/>
      <c r="AI164" s="6"/>
      <c r="AK164" s="78"/>
    </row>
    <row r="165" spans="1:40" s="79" customFormat="1" ht="16.5" thickBot="1" x14ac:dyDescent="0.3">
      <c r="A165" s="213"/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  <c r="V165" s="213"/>
      <c r="W165" s="213"/>
      <c r="X165" s="213"/>
      <c r="Y165" s="213"/>
    </row>
    <row r="166" spans="1:40" ht="16.5" thickBot="1" x14ac:dyDescent="0.3">
      <c r="A166" s="232" t="s">
        <v>76</v>
      </c>
      <c r="B166" s="124" t="s">
        <v>13</v>
      </c>
      <c r="C166" s="167"/>
      <c r="D166" s="125">
        <v>3910378.7187000001</v>
      </c>
      <c r="E166" s="125">
        <v>4055523.5636999994</v>
      </c>
      <c r="F166" s="168"/>
      <c r="G166" s="125">
        <v>5023367.1705999998</v>
      </c>
      <c r="H166" s="125">
        <v>5312732.1851999993</v>
      </c>
      <c r="I166" s="168"/>
      <c r="J166" s="125">
        <v>4964790.1517000012</v>
      </c>
      <c r="K166" s="125">
        <v>5225390.4825000018</v>
      </c>
      <c r="L166" s="169"/>
      <c r="M166" s="127">
        <v>15396.384166666661</v>
      </c>
      <c r="N166" s="184"/>
      <c r="O166" s="171">
        <v>46363230</v>
      </c>
      <c r="P166" s="133">
        <v>20375.400000000005</v>
      </c>
      <c r="T166" s="130"/>
      <c r="U166" s="131"/>
      <c r="W166" s="132"/>
      <c r="X166" s="185"/>
      <c r="Y166" s="97" t="s">
        <v>42</v>
      </c>
      <c r="Z166" s="14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0</v>
      </c>
      <c r="AJ166" s="14">
        <v>0</v>
      </c>
      <c r="AK166" s="14">
        <v>0</v>
      </c>
      <c r="AL166" s="14">
        <v>0</v>
      </c>
      <c r="AM166" s="14">
        <v>0</v>
      </c>
      <c r="AN166" s="15">
        <v>0</v>
      </c>
    </row>
    <row r="167" spans="1:40" ht="16.5" thickBot="1" x14ac:dyDescent="0.3">
      <c r="A167" s="232"/>
      <c r="B167" s="134"/>
      <c r="C167" s="138"/>
      <c r="D167" s="173"/>
      <c r="E167" s="173"/>
      <c r="F167" s="173"/>
      <c r="G167" s="173"/>
      <c r="H167" s="173"/>
      <c r="I167" s="173"/>
      <c r="J167" s="173"/>
      <c r="K167" s="173"/>
      <c r="L167" s="138"/>
      <c r="M167" s="173"/>
      <c r="N167" s="173"/>
      <c r="O167" s="185"/>
      <c r="W167" s="132"/>
      <c r="X167" s="185"/>
      <c r="Y167" s="101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7"/>
    </row>
    <row r="168" spans="1:40" x14ac:dyDescent="0.25">
      <c r="A168" s="232"/>
      <c r="B168" s="134" t="s">
        <v>14</v>
      </c>
      <c r="C168" s="138"/>
      <c r="D168" s="175"/>
      <c r="E168" s="175"/>
      <c r="F168" s="176"/>
      <c r="G168" s="175"/>
      <c r="H168" s="175"/>
      <c r="I168" s="176"/>
      <c r="J168" s="175"/>
      <c r="K168" s="175"/>
      <c r="L168" s="136">
        <v>6.1171273525054623E-2</v>
      </c>
      <c r="M168" s="172"/>
      <c r="N168" s="173"/>
      <c r="O168" s="174"/>
      <c r="P168" s="133"/>
      <c r="W168" s="177">
        <f>D174</f>
        <v>3910378.7187000001</v>
      </c>
      <c r="X168" s="174">
        <f>O170</f>
        <v>46363230</v>
      </c>
      <c r="Y168" s="101" t="s">
        <v>43</v>
      </c>
      <c r="Z168" s="69">
        <v>184756.61000000004</v>
      </c>
      <c r="AA168" s="70">
        <v>184756.61000000004</v>
      </c>
      <c r="AB168" s="70">
        <v>181561.73000000004</v>
      </c>
      <c r="AC168" s="70">
        <v>71146.409999999989</v>
      </c>
      <c r="AD168" s="70">
        <v>113610.2</v>
      </c>
      <c r="AE168" s="70">
        <v>3811.55</v>
      </c>
      <c r="AF168" s="70">
        <v>3811.5500000000006</v>
      </c>
      <c r="AG168" s="70">
        <v>50535.420000000013</v>
      </c>
      <c r="AH168" s="70">
        <v>2534.8000000000002</v>
      </c>
      <c r="AI168" s="70">
        <v>1276.7500000000002</v>
      </c>
      <c r="AJ168" s="70">
        <v>3811.55</v>
      </c>
      <c r="AK168" s="70">
        <v>3811.55</v>
      </c>
      <c r="AL168" s="70">
        <v>83403.070000000022</v>
      </c>
      <c r="AM168" s="70">
        <v>2534.8000000000002</v>
      </c>
      <c r="AN168" s="71">
        <v>1276.7500000000002</v>
      </c>
    </row>
    <row r="169" spans="1:40" ht="18" customHeight="1" thickBot="1" x14ac:dyDescent="0.3">
      <c r="A169" s="232"/>
      <c r="B169" s="134"/>
      <c r="C169" s="138"/>
      <c r="D169" s="135"/>
      <c r="E169" s="135"/>
      <c r="F169" s="136"/>
      <c r="G169" s="135"/>
      <c r="H169" s="135"/>
      <c r="I169" s="141"/>
      <c r="J169" s="135"/>
      <c r="K169" s="135"/>
      <c r="L169" s="136"/>
      <c r="M169" s="137"/>
      <c r="N169" s="138"/>
      <c r="O169" s="186"/>
      <c r="P169" s="140"/>
      <c r="W169" s="173"/>
      <c r="X169" s="174"/>
      <c r="Y169" s="101"/>
      <c r="Z169" s="38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40"/>
    </row>
    <row r="170" spans="1:40" x14ac:dyDescent="0.25">
      <c r="A170" s="232"/>
      <c r="B170" s="134" t="s">
        <v>15</v>
      </c>
      <c r="C170" s="138"/>
      <c r="D170" s="135">
        <f>D166-D168</f>
        <v>3910378.7187000001</v>
      </c>
      <c r="E170" s="135">
        <f>E166-E168</f>
        <v>4055523.5636999994</v>
      </c>
      <c r="F170" s="136"/>
      <c r="G170" s="135">
        <f>G166-G168</f>
        <v>5023367.1705999998</v>
      </c>
      <c r="H170" s="135">
        <f>H166-H168</f>
        <v>5312732.1851999993</v>
      </c>
      <c r="I170" s="141"/>
      <c r="J170" s="135">
        <f>J166-J168</f>
        <v>4964790.1517000012</v>
      </c>
      <c r="K170" s="135">
        <f>K166-K168</f>
        <v>5225390.4825000018</v>
      </c>
      <c r="L170" s="136"/>
      <c r="M170" s="137">
        <f>M166-M168</f>
        <v>15396.384166666661</v>
      </c>
      <c r="N170" s="138"/>
      <c r="O170" s="137">
        <f t="shared" ref="O170" si="86">O166-O168</f>
        <v>46363230</v>
      </c>
      <c r="P170" s="140">
        <f>P166-P168</f>
        <v>20375.400000000005</v>
      </c>
      <c r="Q170" s="113" t="s">
        <v>26</v>
      </c>
      <c r="T170" s="142">
        <f t="shared" ref="T170:U170" si="87">T166-T168</f>
        <v>0</v>
      </c>
      <c r="U170" s="143">
        <f t="shared" si="87"/>
        <v>0</v>
      </c>
      <c r="W170" s="175"/>
      <c r="X170" s="174"/>
      <c r="Y170" s="101" t="s">
        <v>39</v>
      </c>
      <c r="Z170" s="72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73"/>
    </row>
    <row r="171" spans="1:40" x14ac:dyDescent="0.25">
      <c r="A171" s="232"/>
      <c r="B171" s="134"/>
      <c r="C171" s="138"/>
      <c r="D171" s="145"/>
      <c r="E171" s="138"/>
      <c r="F171" s="138"/>
      <c r="G171" s="146"/>
      <c r="H171" s="146"/>
      <c r="I171" s="146"/>
      <c r="J171" s="146"/>
      <c r="K171" s="138"/>
      <c r="L171" s="138"/>
      <c r="M171" s="137"/>
      <c r="N171" s="138"/>
      <c r="O171" s="147"/>
      <c r="P171" s="183">
        <v>1.1875812547</v>
      </c>
      <c r="T171" s="149">
        <v>1.1875812547</v>
      </c>
      <c r="U171" s="150">
        <v>1.1875812547</v>
      </c>
      <c r="W171" s="144"/>
      <c r="X171" s="174"/>
      <c r="Y171" s="101"/>
      <c r="Z171" s="43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5"/>
    </row>
    <row r="172" spans="1:40" ht="16.5" thickBot="1" x14ac:dyDescent="0.3">
      <c r="A172" s="232"/>
      <c r="B172" s="134"/>
      <c r="C172" s="138"/>
      <c r="D172" s="135"/>
      <c r="E172" s="135"/>
      <c r="F172" s="138"/>
      <c r="G172" s="135"/>
      <c r="H172" s="135"/>
      <c r="I172" s="138"/>
      <c r="J172" s="135"/>
      <c r="K172" s="135"/>
      <c r="L172" s="138"/>
      <c r="M172" s="137"/>
      <c r="N172" s="138"/>
      <c r="O172" s="147"/>
      <c r="P172" s="151">
        <f>P170/P171</f>
        <v>17157.057607100007</v>
      </c>
      <c r="Q172" s="113" t="s">
        <v>22</v>
      </c>
      <c r="T172" s="152">
        <f>T166/T171</f>
        <v>0</v>
      </c>
      <c r="U172" s="153">
        <f>U166/U171</f>
        <v>0</v>
      </c>
      <c r="W172" s="144"/>
      <c r="X172" s="174"/>
      <c r="Y172" s="93" t="s">
        <v>38</v>
      </c>
      <c r="Z172" s="46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8"/>
    </row>
    <row r="173" spans="1:40" x14ac:dyDescent="0.25">
      <c r="A173" s="232"/>
      <c r="B173" s="134"/>
      <c r="C173" s="138"/>
      <c r="D173" s="135"/>
      <c r="E173" s="135"/>
      <c r="F173" s="138"/>
      <c r="G173" s="135"/>
      <c r="H173" s="135"/>
      <c r="I173" s="138"/>
      <c r="J173" s="135"/>
      <c r="K173" s="135"/>
      <c r="L173" s="138"/>
      <c r="M173" s="137"/>
      <c r="N173" s="138"/>
      <c r="O173" s="147"/>
      <c r="P173" s="113">
        <v>1.0933999999999999</v>
      </c>
      <c r="Q173" s="113" t="s">
        <v>24</v>
      </c>
      <c r="T173" s="154">
        <v>1.0933999999999999</v>
      </c>
      <c r="U173" s="155">
        <v>1.0933999999999999</v>
      </c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16.5" thickBot="1" x14ac:dyDescent="0.3">
      <c r="A174" s="232"/>
      <c r="B174" s="134" t="s">
        <v>74</v>
      </c>
      <c r="C174" s="138"/>
      <c r="D174" s="135">
        <f>D170-D172</f>
        <v>3910378.7187000001</v>
      </c>
      <c r="E174" s="135">
        <f>E170-E172</f>
        <v>4055523.5636999994</v>
      </c>
      <c r="F174" s="138"/>
      <c r="G174" s="135">
        <f t="shared" ref="G174:H174" si="88">G170-G172</f>
        <v>5023367.1705999998</v>
      </c>
      <c r="H174" s="135">
        <f t="shared" si="88"/>
        <v>5312732.1851999993</v>
      </c>
      <c r="I174" s="138"/>
      <c r="J174" s="135">
        <f t="shared" ref="J174:K174" si="89">J170-J172</f>
        <v>4964790.1517000012</v>
      </c>
      <c r="K174" s="135">
        <f t="shared" si="89"/>
        <v>5225390.4825000018</v>
      </c>
      <c r="L174" s="138"/>
      <c r="M174" s="137"/>
      <c r="N174" s="138"/>
      <c r="O174" s="147"/>
      <c r="P174" s="151">
        <f>P172*P173</f>
        <v>18759.526787603147</v>
      </c>
      <c r="Q174" s="113" t="s">
        <v>23</v>
      </c>
      <c r="T174" s="156">
        <f t="shared" ref="T174:U174" si="90">T172*T173</f>
        <v>0</v>
      </c>
      <c r="U174" s="157">
        <f t="shared" si="90"/>
        <v>0</v>
      </c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</row>
    <row r="175" spans="1:40" x14ac:dyDescent="0.25">
      <c r="A175" s="232"/>
      <c r="B175" s="134"/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47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16.5" thickBot="1" x14ac:dyDescent="0.3">
      <c r="A176" s="232"/>
      <c r="B176" s="134" t="s">
        <v>16</v>
      </c>
      <c r="C176" s="138"/>
      <c r="D176" s="214">
        <v>63</v>
      </c>
      <c r="E176" s="214">
        <v>63</v>
      </c>
      <c r="F176" s="138"/>
      <c r="G176" s="138"/>
      <c r="H176" s="138"/>
      <c r="I176" s="138"/>
      <c r="J176" s="138"/>
      <c r="K176" s="138"/>
      <c r="L176" s="138"/>
      <c r="M176" s="187"/>
      <c r="N176" s="138"/>
      <c r="O176" s="147"/>
      <c r="P176" s="151">
        <f>S176*$P$45</f>
        <v>11799.795714157262</v>
      </c>
      <c r="Q176" s="160" t="s">
        <v>19</v>
      </c>
      <c r="S176" s="113">
        <v>0.64281481027750809</v>
      </c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x14ac:dyDescent="0.25">
      <c r="A177" s="232"/>
      <c r="B177" s="134"/>
      <c r="C177" s="138"/>
      <c r="D177" s="138"/>
      <c r="E177" s="138"/>
      <c r="F177" s="138"/>
      <c r="G177" s="138"/>
      <c r="H177" s="138"/>
      <c r="I177" s="138"/>
      <c r="J177" s="138"/>
      <c r="K177" s="138"/>
      <c r="L177" s="124"/>
      <c r="M177" s="158"/>
      <c r="N177" s="158"/>
      <c r="O177" s="159"/>
      <c r="P177" s="151">
        <f>S177*$P$45</f>
        <v>8753.5240156731379</v>
      </c>
      <c r="Q177" s="160" t="s">
        <v>20</v>
      </c>
      <c r="S177" s="113">
        <v>0.47686375389054009</v>
      </c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x14ac:dyDescent="0.25">
      <c r="A178" s="232"/>
      <c r="B178" s="134" t="s">
        <v>14</v>
      </c>
      <c r="C178" s="138"/>
      <c r="D178" s="173"/>
      <c r="E178" s="173"/>
      <c r="F178" s="138"/>
      <c r="G178" s="138"/>
      <c r="H178" s="138"/>
      <c r="I178" s="138"/>
      <c r="J178" s="138"/>
      <c r="K178" s="138"/>
      <c r="L178" s="134"/>
      <c r="M178" s="135"/>
      <c r="N178" s="135"/>
      <c r="O178" s="162"/>
      <c r="P178" s="151">
        <f>S178*$P$45</f>
        <v>11799.795714157262</v>
      </c>
      <c r="Q178" s="160" t="s">
        <v>21</v>
      </c>
      <c r="S178" s="113">
        <v>0.64281481027750809</v>
      </c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x14ac:dyDescent="0.25">
      <c r="A179" s="232"/>
      <c r="B179" s="134"/>
      <c r="C179" s="138"/>
      <c r="D179" s="138"/>
      <c r="E179" s="138"/>
      <c r="F179" s="138"/>
      <c r="G179" s="138"/>
      <c r="H179" s="138"/>
      <c r="I179" s="138"/>
      <c r="J179" s="138"/>
      <c r="K179" s="138"/>
      <c r="L179" s="163"/>
      <c r="M179" s="135"/>
      <c r="N179" s="135"/>
      <c r="O179" s="16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x14ac:dyDescent="0.25">
      <c r="A180" s="232"/>
      <c r="B180" s="134" t="s">
        <v>17</v>
      </c>
      <c r="C180" s="138"/>
      <c r="D180" s="138">
        <f>D176-D178</f>
        <v>63</v>
      </c>
      <c r="E180" s="138">
        <f>E176-E178</f>
        <v>63</v>
      </c>
      <c r="F180" s="138"/>
      <c r="G180" s="173"/>
      <c r="H180" s="138"/>
      <c r="I180" s="138"/>
      <c r="J180" s="173"/>
      <c r="K180" s="138"/>
      <c r="L180" s="134"/>
      <c r="M180" s="135"/>
      <c r="N180" s="135"/>
      <c r="O180" s="16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ht="16.5" thickBot="1" x14ac:dyDescent="0.3">
      <c r="A181" s="232"/>
      <c r="B181" s="164"/>
      <c r="C181" s="165"/>
      <c r="D181" s="165"/>
      <c r="E181" s="165"/>
      <c r="F181" s="165"/>
      <c r="G181" s="165"/>
      <c r="H181" s="165"/>
      <c r="I181" s="165"/>
      <c r="J181" s="165"/>
      <c r="K181" s="165"/>
      <c r="L181" s="164"/>
      <c r="M181" s="111"/>
      <c r="N181" s="111"/>
      <c r="O181" s="11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ht="16.5" thickBot="1" x14ac:dyDescent="0.3"/>
    <row r="183" spans="1:40" ht="16.5" thickBot="1" x14ac:dyDescent="0.3">
      <c r="A183" s="232" t="s">
        <v>77</v>
      </c>
      <c r="B183" s="124" t="s">
        <v>13</v>
      </c>
      <c r="C183" s="167"/>
      <c r="D183" s="125">
        <v>2412025.5721399998</v>
      </c>
      <c r="E183" s="125">
        <v>2500530.0811400008</v>
      </c>
      <c r="F183" s="168"/>
      <c r="G183" s="125">
        <v>2806129.3218199993</v>
      </c>
      <c r="H183" s="125">
        <v>2958233.5338199995</v>
      </c>
      <c r="I183" s="168"/>
      <c r="J183" s="125">
        <v>2877657.3686200003</v>
      </c>
      <c r="K183" s="125">
        <v>2996495.0298599997</v>
      </c>
      <c r="L183" s="169"/>
      <c r="M183" s="127">
        <v>7995.4666666666662</v>
      </c>
      <c r="N183" s="184"/>
      <c r="O183" s="171">
        <v>28603006</v>
      </c>
      <c r="P183" s="133">
        <v>11001.199999999999</v>
      </c>
      <c r="T183" s="130"/>
      <c r="U183" s="131"/>
      <c r="W183" s="132"/>
      <c r="X183" s="185"/>
      <c r="Y183" s="97" t="s">
        <v>42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0</v>
      </c>
      <c r="AK183" s="14">
        <v>0</v>
      </c>
      <c r="AL183" s="14">
        <v>0</v>
      </c>
      <c r="AM183" s="14">
        <v>0</v>
      </c>
      <c r="AN183" s="15">
        <v>0</v>
      </c>
    </row>
    <row r="184" spans="1:40" ht="16.5" thickBot="1" x14ac:dyDescent="0.3">
      <c r="A184" s="232"/>
      <c r="B184" s="134"/>
      <c r="C184" s="138"/>
      <c r="D184" s="173"/>
      <c r="E184" s="173"/>
      <c r="F184" s="173"/>
      <c r="G184" s="173"/>
      <c r="H184" s="173"/>
      <c r="I184" s="173"/>
      <c r="J184" s="173"/>
      <c r="K184" s="173"/>
      <c r="L184" s="138"/>
      <c r="M184" s="173"/>
      <c r="N184" s="173"/>
      <c r="O184" s="185"/>
      <c r="W184" s="132"/>
      <c r="X184" s="185"/>
      <c r="Y184" s="101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7"/>
    </row>
    <row r="185" spans="1:40" x14ac:dyDescent="0.25">
      <c r="A185" s="232"/>
      <c r="B185" s="134" t="s">
        <v>14</v>
      </c>
      <c r="C185" s="138"/>
      <c r="D185" s="175"/>
      <c r="E185" s="175"/>
      <c r="F185" s="176"/>
      <c r="G185" s="175"/>
      <c r="H185" s="175"/>
      <c r="I185" s="176"/>
      <c r="J185" s="175"/>
      <c r="K185" s="175"/>
      <c r="L185" s="136">
        <v>6.1171273525054623E-2</v>
      </c>
      <c r="M185" s="172"/>
      <c r="N185" s="173"/>
      <c r="O185" s="174"/>
      <c r="P185" s="133"/>
      <c r="W185" s="177">
        <f>D187</f>
        <v>2412025.5721399998</v>
      </c>
      <c r="X185" s="174">
        <f>O187</f>
        <v>28603006</v>
      </c>
      <c r="Y185" s="101" t="s">
        <v>43</v>
      </c>
      <c r="Z185" s="35">
        <v>68934.3</v>
      </c>
      <c r="AA185" s="36">
        <v>68934.3</v>
      </c>
      <c r="AB185" s="36">
        <v>68934.3</v>
      </c>
      <c r="AC185" s="36">
        <v>24126.399999999994</v>
      </c>
      <c r="AD185" s="36">
        <v>44807.9</v>
      </c>
      <c r="AE185" s="36">
        <v>1661.45</v>
      </c>
      <c r="AF185" s="36">
        <v>1661.4500000000003</v>
      </c>
      <c r="AG185" s="36">
        <v>22583.474999999999</v>
      </c>
      <c r="AH185" s="36">
        <v>1440.2000000000005</v>
      </c>
      <c r="AI185" s="36">
        <v>221.25000000000009</v>
      </c>
      <c r="AJ185" s="36">
        <v>1661.4499999999998</v>
      </c>
      <c r="AK185" s="36">
        <v>1661.45</v>
      </c>
      <c r="AL185" s="36">
        <v>39263.699999999997</v>
      </c>
      <c r="AM185" s="36">
        <v>1440.2000000000005</v>
      </c>
      <c r="AN185" s="37">
        <v>221.25000000000006</v>
      </c>
    </row>
    <row r="186" spans="1:40" ht="18" customHeight="1" thickBot="1" x14ac:dyDescent="0.3">
      <c r="A186" s="232"/>
      <c r="B186" s="134"/>
      <c r="C186" s="138"/>
      <c r="D186" s="135"/>
      <c r="E186" s="135"/>
      <c r="F186" s="136"/>
      <c r="G186" s="135"/>
      <c r="H186" s="135"/>
      <c r="I186" s="141"/>
      <c r="J186" s="135"/>
      <c r="K186" s="135"/>
      <c r="L186" s="136"/>
      <c r="M186" s="137"/>
      <c r="N186" s="138"/>
      <c r="O186" s="186"/>
      <c r="P186" s="140"/>
      <c r="W186" s="173"/>
      <c r="X186" s="174"/>
      <c r="Y186" s="101"/>
      <c r="Z186" s="38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40"/>
    </row>
    <row r="187" spans="1:40" x14ac:dyDescent="0.25">
      <c r="A187" s="232"/>
      <c r="B187" s="134" t="s">
        <v>15</v>
      </c>
      <c r="C187" s="138"/>
      <c r="D187" s="135">
        <f>D183-D185</f>
        <v>2412025.5721399998</v>
      </c>
      <c r="E187" s="135">
        <f>E183-E185</f>
        <v>2500530.0811400008</v>
      </c>
      <c r="F187" s="136"/>
      <c r="G187" s="135">
        <f>G183-G185</f>
        <v>2806129.3218199993</v>
      </c>
      <c r="H187" s="135">
        <f>H183-H185</f>
        <v>2958233.5338199995</v>
      </c>
      <c r="I187" s="141"/>
      <c r="J187" s="135">
        <f>J183-J185</f>
        <v>2877657.3686200003</v>
      </c>
      <c r="K187" s="135">
        <f>K183-K185</f>
        <v>2996495.0298599997</v>
      </c>
      <c r="L187" s="136"/>
      <c r="M187" s="137">
        <f>M183-M185</f>
        <v>7995.4666666666662</v>
      </c>
      <c r="N187" s="138"/>
      <c r="O187" s="137">
        <f t="shared" ref="O187" si="91">O183-O185</f>
        <v>28603006</v>
      </c>
      <c r="P187" s="140">
        <f>P183-P185</f>
        <v>11001.199999999999</v>
      </c>
      <c r="Q187" s="113" t="s">
        <v>26</v>
      </c>
      <c r="T187" s="142">
        <f t="shared" ref="T187:U187" si="92">T183-T185</f>
        <v>0</v>
      </c>
      <c r="U187" s="143">
        <f t="shared" si="92"/>
        <v>0</v>
      </c>
      <c r="W187" s="175"/>
      <c r="X187" s="174"/>
      <c r="Y187" s="101" t="s">
        <v>39</v>
      </c>
      <c r="Z187" s="72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73"/>
    </row>
    <row r="188" spans="1:40" x14ac:dyDescent="0.25">
      <c r="A188" s="232"/>
      <c r="B188" s="134"/>
      <c r="C188" s="138"/>
      <c r="D188" s="145"/>
      <c r="E188" s="138"/>
      <c r="F188" s="138"/>
      <c r="G188" s="146"/>
      <c r="H188" s="146"/>
      <c r="I188" s="146"/>
      <c r="J188" s="146"/>
      <c r="K188" s="138"/>
      <c r="L188" s="138"/>
      <c r="M188" s="137"/>
      <c r="N188" s="138"/>
      <c r="O188" s="147"/>
      <c r="P188" s="183">
        <v>1.1875812547</v>
      </c>
      <c r="T188" s="149">
        <v>1.1875812547</v>
      </c>
      <c r="U188" s="150">
        <v>1.1875812547</v>
      </c>
      <c r="W188" s="144"/>
      <c r="X188" s="174"/>
      <c r="Y188" s="101"/>
      <c r="Z188" s="43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5"/>
    </row>
    <row r="189" spans="1:40" ht="16.5" thickBot="1" x14ac:dyDescent="0.3">
      <c r="A189" s="232"/>
      <c r="B189" s="134"/>
      <c r="C189" s="138"/>
      <c r="D189" s="135"/>
      <c r="E189" s="135"/>
      <c r="F189" s="138"/>
      <c r="G189" s="135"/>
      <c r="H189" s="135"/>
      <c r="I189" s="138"/>
      <c r="J189" s="135"/>
      <c r="K189" s="135"/>
      <c r="L189" s="138"/>
      <c r="M189" s="137"/>
      <c r="N189" s="138"/>
      <c r="O189" s="147"/>
      <c r="P189" s="151">
        <f>P187/P188</f>
        <v>9263.534563602605</v>
      </c>
      <c r="Q189" s="113" t="s">
        <v>22</v>
      </c>
      <c r="T189" s="152">
        <f>T183/T188</f>
        <v>0</v>
      </c>
      <c r="U189" s="153">
        <f>U183/U188</f>
        <v>0</v>
      </c>
      <c r="W189" s="144"/>
      <c r="X189" s="174"/>
      <c r="Y189" s="93" t="s">
        <v>38</v>
      </c>
      <c r="Z189" s="46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8"/>
    </row>
    <row r="190" spans="1:40" x14ac:dyDescent="0.25">
      <c r="A190" s="232"/>
      <c r="B190" s="134"/>
      <c r="C190" s="138"/>
      <c r="D190" s="135"/>
      <c r="E190" s="135"/>
      <c r="F190" s="138"/>
      <c r="G190" s="135"/>
      <c r="H190" s="135"/>
      <c r="I190" s="138"/>
      <c r="J190" s="135"/>
      <c r="K190" s="135"/>
      <c r="L190" s="138"/>
      <c r="M190" s="137"/>
      <c r="N190" s="138"/>
      <c r="O190" s="147"/>
      <c r="P190" s="113">
        <v>1.0933999999999999</v>
      </c>
      <c r="Q190" s="113" t="s">
        <v>24</v>
      </c>
      <c r="T190" s="154">
        <v>1.0933999999999999</v>
      </c>
      <c r="U190" s="155">
        <v>1.0933999999999999</v>
      </c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1:40" ht="16.5" thickBot="1" x14ac:dyDescent="0.3">
      <c r="A191" s="232"/>
      <c r="B191" s="134" t="s">
        <v>74</v>
      </c>
      <c r="C191" s="138"/>
      <c r="D191" s="135">
        <f>D187-D189</f>
        <v>2412025.5721399998</v>
      </c>
      <c r="E191" s="135">
        <f>E187-E189</f>
        <v>2500530.0811400008</v>
      </c>
      <c r="F191" s="138"/>
      <c r="G191" s="135">
        <f t="shared" ref="G191:H191" si="93">G187-G189</f>
        <v>2806129.3218199993</v>
      </c>
      <c r="H191" s="135">
        <f t="shared" si="93"/>
        <v>2958233.5338199995</v>
      </c>
      <c r="I191" s="138"/>
      <c r="J191" s="135">
        <f t="shared" ref="J191:K191" si="94">J187-J189</f>
        <v>2877657.3686200003</v>
      </c>
      <c r="K191" s="135">
        <f t="shared" si="94"/>
        <v>2996495.0298599997</v>
      </c>
      <c r="L191" s="138"/>
      <c r="M191" s="137"/>
      <c r="N191" s="138"/>
      <c r="O191" s="147"/>
      <c r="P191" s="151">
        <f>P189*P190</f>
        <v>10128.748691843088</v>
      </c>
      <c r="Q191" s="113" t="s">
        <v>23</v>
      </c>
      <c r="T191" s="156">
        <f t="shared" ref="T191:U191" si="95">T189*T190</f>
        <v>0</v>
      </c>
      <c r="U191" s="157">
        <f t="shared" si="95"/>
        <v>0</v>
      </c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</row>
    <row r="192" spans="1:40" x14ac:dyDescent="0.25">
      <c r="A192" s="232"/>
      <c r="B192" s="134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47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</row>
    <row r="193" spans="1:40" ht="16.5" thickBot="1" x14ac:dyDescent="0.3">
      <c r="A193" s="232"/>
      <c r="B193" s="134" t="s">
        <v>16</v>
      </c>
      <c r="C193" s="138"/>
      <c r="D193" s="173">
        <v>38</v>
      </c>
      <c r="E193" s="173"/>
      <c r="F193" s="138"/>
      <c r="G193" s="138"/>
      <c r="H193" s="138"/>
      <c r="I193" s="138"/>
      <c r="J193" s="138"/>
      <c r="K193" s="138"/>
      <c r="L193" s="138"/>
      <c r="M193" s="187"/>
      <c r="N193" s="138"/>
      <c r="O193" s="147"/>
      <c r="P193" s="151">
        <f>S193*$P$45</f>
        <v>11799.795714157262</v>
      </c>
      <c r="Q193" s="160" t="s">
        <v>19</v>
      </c>
      <c r="S193" s="113">
        <v>0.64281481027750809</v>
      </c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</row>
    <row r="194" spans="1:40" x14ac:dyDescent="0.25">
      <c r="A194" s="232"/>
      <c r="B194" s="134"/>
      <c r="C194" s="138"/>
      <c r="D194" s="138"/>
      <c r="E194" s="138"/>
      <c r="F194" s="138"/>
      <c r="G194" s="138"/>
      <c r="H194" s="138"/>
      <c r="I194" s="138"/>
      <c r="J194" s="138"/>
      <c r="K194" s="138"/>
      <c r="L194" s="124"/>
      <c r="M194" s="158"/>
      <c r="N194" s="158"/>
      <c r="O194" s="159"/>
      <c r="P194" s="151">
        <f>S194*$P$45</f>
        <v>8753.5240156731379</v>
      </c>
      <c r="Q194" s="160" t="s">
        <v>20</v>
      </c>
      <c r="S194" s="113">
        <v>0.47686375389054009</v>
      </c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</row>
    <row r="195" spans="1:40" x14ac:dyDescent="0.25">
      <c r="A195" s="232"/>
      <c r="B195" s="134" t="s">
        <v>14</v>
      </c>
      <c r="C195" s="138"/>
      <c r="D195" s="173"/>
      <c r="E195" s="173"/>
      <c r="F195" s="138"/>
      <c r="G195" s="138"/>
      <c r="H195" s="138"/>
      <c r="I195" s="138"/>
      <c r="J195" s="138"/>
      <c r="K195" s="138"/>
      <c r="L195" s="134"/>
      <c r="M195" s="135"/>
      <c r="N195" s="135"/>
      <c r="O195" s="162"/>
      <c r="P195" s="151">
        <f>S195*$P$45</f>
        <v>11799.795714157262</v>
      </c>
      <c r="Q195" s="160" t="s">
        <v>21</v>
      </c>
      <c r="S195" s="113">
        <v>0.64281481027750809</v>
      </c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1:40" x14ac:dyDescent="0.25">
      <c r="A196" s="232"/>
      <c r="B196" s="134"/>
      <c r="C196" s="138"/>
      <c r="D196" s="138"/>
      <c r="E196" s="138"/>
      <c r="F196" s="138"/>
      <c r="G196" s="138"/>
      <c r="H196" s="138"/>
      <c r="I196" s="138"/>
      <c r="J196" s="138"/>
      <c r="K196" s="138"/>
      <c r="L196" s="163"/>
      <c r="M196" s="135"/>
      <c r="N196" s="135"/>
      <c r="O196" s="16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1:40" x14ac:dyDescent="0.25">
      <c r="A197" s="232"/>
      <c r="B197" s="134" t="s">
        <v>17</v>
      </c>
      <c r="C197" s="138"/>
      <c r="D197" s="138">
        <f>D193-D195</f>
        <v>38</v>
      </c>
      <c r="E197" s="138">
        <f>E193-E195</f>
        <v>0</v>
      </c>
      <c r="F197" s="138"/>
      <c r="G197" s="173"/>
      <c r="H197" s="138"/>
      <c r="I197" s="138"/>
      <c r="J197" s="173"/>
      <c r="K197" s="138"/>
      <c r="L197" s="134"/>
      <c r="M197" s="135"/>
      <c r="N197" s="135"/>
      <c r="O197" s="16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1:40" ht="16.5" thickBot="1" x14ac:dyDescent="0.3">
      <c r="A198" s="232"/>
      <c r="B198" s="164"/>
      <c r="C198" s="165"/>
      <c r="D198" s="165"/>
      <c r="E198" s="165"/>
      <c r="F198" s="165"/>
      <c r="G198" s="165"/>
      <c r="H198" s="165"/>
      <c r="I198" s="165"/>
      <c r="J198" s="165"/>
      <c r="K198" s="165"/>
      <c r="L198" s="164"/>
      <c r="M198" s="111"/>
      <c r="N198" s="111"/>
      <c r="O198" s="11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1:40" ht="16.5" thickBot="1" x14ac:dyDescent="0.3"/>
    <row r="200" spans="1:40" ht="16.5" thickBot="1" x14ac:dyDescent="0.3">
      <c r="B200" s="124" t="s">
        <v>13</v>
      </c>
      <c r="C200" s="167"/>
      <c r="D200" s="158">
        <f>D73+D166+D183</f>
        <v>8230234.2952700006</v>
      </c>
      <c r="E200" s="158">
        <f>E73+E166+E183</f>
        <v>8523097.569769999</v>
      </c>
      <c r="F200" s="169">
        <f>(E200-D200)/D200</f>
        <v>3.5583832002001443E-2</v>
      </c>
      <c r="G200" s="158">
        <f>G73+G166+G183</f>
        <v>11836428.768169999</v>
      </c>
      <c r="H200" s="158">
        <f>H73+H166+H183</f>
        <v>12496797.35117</v>
      </c>
      <c r="I200" s="169">
        <f>(H200-G200)/G200</f>
        <v>5.5791201546857995E-2</v>
      </c>
      <c r="J200" s="158">
        <f>J73+J166+J183</f>
        <v>12144500.993659802</v>
      </c>
      <c r="K200" s="158">
        <f>K73+K166+K183</f>
        <v>11994239.2201396</v>
      </c>
      <c r="L200" s="169">
        <f>(K200-J200)/J200</f>
        <v>-1.2372824012995479E-2</v>
      </c>
      <c r="M200" s="190">
        <f>M73+M166+M183</f>
        <v>32637.15083333333</v>
      </c>
      <c r="N200" s="190"/>
      <c r="O200" s="190">
        <f>O73+O166+O183</f>
        <v>97642183</v>
      </c>
      <c r="P200" s="190">
        <f>P73+P166+P183</f>
        <v>39008.100000000006</v>
      </c>
      <c r="Q200" s="113" t="s">
        <v>18</v>
      </c>
      <c r="T200" s="191">
        <f>T110+T126+T166+T183</f>
        <v>0</v>
      </c>
      <c r="U200" s="131">
        <f>U110+U126+U166+U183</f>
        <v>0</v>
      </c>
      <c r="V200" s="250" t="s">
        <v>27</v>
      </c>
      <c r="W200" s="191">
        <f>W110+W126+W166+W183</f>
        <v>0</v>
      </c>
      <c r="X200" s="191">
        <f>X110+X126+X166+X183</f>
        <v>0</v>
      </c>
      <c r="Y200" s="97" t="s">
        <v>42</v>
      </c>
      <c r="Z200" s="3">
        <f>Z166+Z183</f>
        <v>0</v>
      </c>
      <c r="AA200" s="3">
        <f t="shared" ref="AA200:AN200" si="96">AA166+AA183</f>
        <v>0</v>
      </c>
      <c r="AB200" s="3">
        <f t="shared" si="96"/>
        <v>0</v>
      </c>
      <c r="AC200" s="3">
        <f t="shared" si="96"/>
        <v>0</v>
      </c>
      <c r="AD200" s="3">
        <f t="shared" si="96"/>
        <v>0</v>
      </c>
      <c r="AE200" s="3">
        <f t="shared" si="96"/>
        <v>0</v>
      </c>
      <c r="AF200" s="3">
        <f t="shared" si="96"/>
        <v>0</v>
      </c>
      <c r="AG200" s="3">
        <f t="shared" si="96"/>
        <v>0</v>
      </c>
      <c r="AH200" s="3">
        <f t="shared" si="96"/>
        <v>0</v>
      </c>
      <c r="AI200" s="3">
        <f t="shared" si="96"/>
        <v>0</v>
      </c>
      <c r="AJ200" s="3">
        <f t="shared" si="96"/>
        <v>0</v>
      </c>
      <c r="AK200" s="3">
        <f t="shared" si="96"/>
        <v>0</v>
      </c>
      <c r="AL200" s="3">
        <f t="shared" si="96"/>
        <v>0</v>
      </c>
      <c r="AM200" s="3">
        <f t="shared" si="96"/>
        <v>0</v>
      </c>
      <c r="AN200" s="3">
        <f t="shared" si="96"/>
        <v>0</v>
      </c>
    </row>
    <row r="201" spans="1:40" ht="16.5" thickBot="1" x14ac:dyDescent="0.3">
      <c r="B201" s="134"/>
      <c r="C201" s="138"/>
      <c r="D201" s="138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47"/>
      <c r="P201" s="138"/>
      <c r="V201" s="250"/>
      <c r="W201" s="192"/>
      <c r="X201" s="139"/>
      <c r="Y201" s="101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</row>
    <row r="202" spans="1:40" ht="16.5" thickBot="1" x14ac:dyDescent="0.3">
      <c r="B202" s="134" t="s">
        <v>14</v>
      </c>
      <c r="C202" s="138"/>
      <c r="D202" s="135">
        <f>D168+D185</f>
        <v>0</v>
      </c>
      <c r="E202" s="135">
        <f>E168+E185</f>
        <v>0</v>
      </c>
      <c r="F202" s="136" t="e">
        <f>(E202-D202)/D202</f>
        <v>#DIV/0!</v>
      </c>
      <c r="G202" s="135">
        <f>G168+G185</f>
        <v>0</v>
      </c>
      <c r="H202" s="135">
        <f>H168+H185</f>
        <v>0</v>
      </c>
      <c r="I202" s="136" t="e">
        <f>(H202-G202)/G202</f>
        <v>#DIV/0!</v>
      </c>
      <c r="J202" s="135">
        <f>J168+J185</f>
        <v>0</v>
      </c>
      <c r="K202" s="135">
        <f>K168+K185</f>
        <v>0</v>
      </c>
      <c r="L202" s="136" t="e">
        <f>(K202-J202)/J202</f>
        <v>#DIV/0!</v>
      </c>
      <c r="M202" s="137">
        <f>M112+M128+M168+M185</f>
        <v>0</v>
      </c>
      <c r="N202" s="138"/>
      <c r="O202" s="139">
        <f>O112+O128+O168+O185</f>
        <v>0</v>
      </c>
      <c r="P202" s="137">
        <f>P112+P128+P168+P185</f>
        <v>0</v>
      </c>
      <c r="W202" s="191">
        <f>W73+W168+W185</f>
        <v>8230234.2908399999</v>
      </c>
      <c r="X202" s="191">
        <f>X73+X168+X185</f>
        <v>97642183</v>
      </c>
      <c r="Y202" s="101" t="s">
        <v>43</v>
      </c>
      <c r="Z202" s="67">
        <f t="shared" ref="Z202:AN202" si="97">Z73+Z168+Z185</f>
        <v>325754.95000000007</v>
      </c>
      <c r="AA202" s="67">
        <f t="shared" si="97"/>
        <v>325754.95000000007</v>
      </c>
      <c r="AB202" s="67">
        <f t="shared" si="97"/>
        <v>322560.07000000007</v>
      </c>
      <c r="AC202" s="67">
        <f t="shared" si="97"/>
        <v>121935.54999999997</v>
      </c>
      <c r="AD202" s="67">
        <f t="shared" si="97"/>
        <v>203819.4</v>
      </c>
      <c r="AE202" s="67">
        <f t="shared" si="97"/>
        <v>6034.86</v>
      </c>
      <c r="AF202" s="67">
        <f t="shared" si="97"/>
        <v>6034.8600000000006</v>
      </c>
      <c r="AG202" s="67">
        <f t="shared" si="97"/>
        <v>88863.654999999999</v>
      </c>
      <c r="AH202" s="67">
        <f t="shared" si="97"/>
        <v>4517.2100000000009</v>
      </c>
      <c r="AI202" s="67">
        <f t="shared" si="97"/>
        <v>1517.6500000000003</v>
      </c>
      <c r="AJ202" s="67">
        <f t="shared" si="97"/>
        <v>6034.86</v>
      </c>
      <c r="AK202" s="67">
        <f t="shared" si="97"/>
        <v>6034.86</v>
      </c>
      <c r="AL202" s="67">
        <f t="shared" si="97"/>
        <v>152410.73000000004</v>
      </c>
      <c r="AM202" s="67">
        <f t="shared" si="97"/>
        <v>4517.2100000000009</v>
      </c>
      <c r="AN202" s="67">
        <f t="shared" si="97"/>
        <v>1517.6500000000003</v>
      </c>
    </row>
    <row r="203" spans="1:40" ht="16.5" thickBot="1" x14ac:dyDescent="0.3">
      <c r="B203" s="134"/>
      <c r="C203" s="138"/>
      <c r="D203" s="135"/>
      <c r="E203" s="135"/>
      <c r="F203" s="136"/>
      <c r="G203" s="135"/>
      <c r="H203" s="135"/>
      <c r="I203" s="141"/>
      <c r="J203" s="135"/>
      <c r="K203" s="135"/>
      <c r="L203" s="136"/>
      <c r="M203" s="137"/>
      <c r="N203" s="138"/>
      <c r="O203" s="139">
        <f t="shared" ref="O203" si="98">O199-O201</f>
        <v>0</v>
      </c>
      <c r="P203" s="215"/>
      <c r="W203" s="138"/>
      <c r="X203" s="139"/>
      <c r="Y203" s="101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</row>
    <row r="204" spans="1:40" ht="16.5" thickBot="1" x14ac:dyDescent="0.3">
      <c r="B204" s="134" t="s">
        <v>15</v>
      </c>
      <c r="C204" s="138"/>
      <c r="D204" s="135">
        <f>D200-D202</f>
        <v>8230234.2952700006</v>
      </c>
      <c r="E204" s="135">
        <f>E200-E202</f>
        <v>8523097.569769999</v>
      </c>
      <c r="F204" s="136">
        <f>(E204-D204)/D204</f>
        <v>3.5583832002001443E-2</v>
      </c>
      <c r="G204" s="135">
        <f>G200-G202</f>
        <v>11836428.768169999</v>
      </c>
      <c r="H204" s="135">
        <f>H200-H202</f>
        <v>12496797.35117</v>
      </c>
      <c r="I204" s="136">
        <f>(H204-G204)/G204</f>
        <v>5.5791201546857995E-2</v>
      </c>
      <c r="J204" s="135">
        <f>J200-J202</f>
        <v>12144500.993659802</v>
      </c>
      <c r="K204" s="135">
        <f>K200-K202</f>
        <v>11994239.2201396</v>
      </c>
      <c r="L204" s="136">
        <f>(K204-J204)/J204</f>
        <v>-1.2372824012995479E-2</v>
      </c>
      <c r="M204" s="137">
        <f>M200-M202</f>
        <v>32637.15083333333</v>
      </c>
      <c r="N204" s="138"/>
      <c r="O204" s="130">
        <f>O200-O202</f>
        <v>97642183</v>
      </c>
      <c r="P204" s="131">
        <f>P200-P202</f>
        <v>39008.100000000006</v>
      </c>
      <c r="Q204" s="113" t="s">
        <v>26</v>
      </c>
      <c r="T204" s="130">
        <f t="shared" ref="T204:U204" si="99">T200-T202</f>
        <v>0</v>
      </c>
      <c r="U204" s="130">
        <f t="shared" si="99"/>
        <v>0</v>
      </c>
      <c r="V204" s="140">
        <v>56694</v>
      </c>
      <c r="W204" s="191">
        <f>W114+W130+W170+W187</f>
        <v>0</v>
      </c>
      <c r="X204" s="191">
        <f>X114+X130+X170+X187</f>
        <v>0</v>
      </c>
      <c r="Y204" s="101" t="s">
        <v>39</v>
      </c>
      <c r="Z204" s="4">
        <f>Z170+Z187</f>
        <v>0</v>
      </c>
      <c r="AA204" s="4">
        <f t="shared" ref="AA204:AN204" si="100">AA170+AA187</f>
        <v>0</v>
      </c>
      <c r="AB204" s="4">
        <f t="shared" si="100"/>
        <v>0</v>
      </c>
      <c r="AC204" s="4">
        <f t="shared" si="100"/>
        <v>0</v>
      </c>
      <c r="AD204" s="4">
        <f t="shared" si="100"/>
        <v>0</v>
      </c>
      <c r="AE204" s="4">
        <f t="shared" si="100"/>
        <v>0</v>
      </c>
      <c r="AF204" s="4">
        <f t="shared" si="100"/>
        <v>0</v>
      </c>
      <c r="AG204" s="4">
        <f t="shared" si="100"/>
        <v>0</v>
      </c>
      <c r="AH204" s="4">
        <f t="shared" si="100"/>
        <v>0</v>
      </c>
      <c r="AI204" s="4">
        <f t="shared" si="100"/>
        <v>0</v>
      </c>
      <c r="AJ204" s="4">
        <f t="shared" si="100"/>
        <v>0</v>
      </c>
      <c r="AK204" s="4">
        <f t="shared" si="100"/>
        <v>0</v>
      </c>
      <c r="AL204" s="4">
        <f t="shared" si="100"/>
        <v>0</v>
      </c>
      <c r="AM204" s="4">
        <f t="shared" si="100"/>
        <v>0</v>
      </c>
      <c r="AN204" s="4">
        <f t="shared" si="100"/>
        <v>0</v>
      </c>
    </row>
    <row r="205" spans="1:40" ht="16.5" thickBot="1" x14ac:dyDescent="0.3">
      <c r="B205" s="134"/>
      <c r="C205" s="138"/>
      <c r="D205" s="145"/>
      <c r="E205" s="138"/>
      <c r="F205" s="138"/>
      <c r="G205" s="146" t="s">
        <v>75</v>
      </c>
      <c r="H205" s="146"/>
      <c r="I205" s="146"/>
      <c r="J205" s="146"/>
      <c r="K205" s="138"/>
      <c r="L205" s="138"/>
      <c r="M205" s="137"/>
      <c r="N205" s="138"/>
      <c r="O205" s="147"/>
      <c r="P205" s="216">
        <v>1.1875812547</v>
      </c>
      <c r="T205" s="195">
        <v>1.1875812547</v>
      </c>
      <c r="U205" s="196">
        <v>1.1875812547</v>
      </c>
      <c r="V205" s="183">
        <v>1.1875812547</v>
      </c>
      <c r="W205" s="197"/>
      <c r="X205" s="139"/>
      <c r="Y205" s="101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</row>
    <row r="206" spans="1:40" ht="16.5" thickBot="1" x14ac:dyDescent="0.3">
      <c r="B206" s="134"/>
      <c r="C206" s="138"/>
      <c r="D206" s="135"/>
      <c r="E206" s="135"/>
      <c r="F206" s="138"/>
      <c r="G206" s="135"/>
      <c r="H206" s="135"/>
      <c r="I206" s="138"/>
      <c r="J206" s="135"/>
      <c r="K206" s="135"/>
      <c r="L206" s="138"/>
      <c r="M206" s="137"/>
      <c r="N206" s="138"/>
      <c r="O206" s="147"/>
      <c r="P206" s="104">
        <f>P204/P205</f>
        <v>32846.678781448107</v>
      </c>
      <c r="Q206" s="113" t="s">
        <v>22</v>
      </c>
      <c r="T206" s="198">
        <f t="shared" ref="T206:U206" si="101">T204/T205</f>
        <v>0</v>
      </c>
      <c r="U206" s="217">
        <f t="shared" si="101"/>
        <v>0</v>
      </c>
      <c r="V206" s="140">
        <f>V204/V205</f>
        <v>47739.049244526614</v>
      </c>
      <c r="W206" s="191">
        <f>W116+W132+W172+W189</f>
        <v>0</v>
      </c>
      <c r="X206" s="191">
        <f>X116+X132+X172+X189</f>
        <v>0</v>
      </c>
      <c r="Y206" s="93" t="s">
        <v>38</v>
      </c>
      <c r="Z206" s="68">
        <f>Z172+Z189</f>
        <v>0</v>
      </c>
      <c r="AA206" s="68">
        <f t="shared" ref="AA206:AN206" si="102">AA172+AA189</f>
        <v>0</v>
      </c>
      <c r="AB206" s="68">
        <f t="shared" si="102"/>
        <v>0</v>
      </c>
      <c r="AC206" s="68">
        <f t="shared" si="102"/>
        <v>0</v>
      </c>
      <c r="AD206" s="68">
        <f t="shared" si="102"/>
        <v>0</v>
      </c>
      <c r="AE206" s="68">
        <f t="shared" si="102"/>
        <v>0</v>
      </c>
      <c r="AF206" s="68">
        <f t="shared" si="102"/>
        <v>0</v>
      </c>
      <c r="AG206" s="68">
        <f t="shared" si="102"/>
        <v>0</v>
      </c>
      <c r="AH206" s="68">
        <f t="shared" si="102"/>
        <v>0</v>
      </c>
      <c r="AI206" s="68">
        <f t="shared" si="102"/>
        <v>0</v>
      </c>
      <c r="AJ206" s="68">
        <f t="shared" si="102"/>
        <v>0</v>
      </c>
      <c r="AK206" s="68">
        <f t="shared" si="102"/>
        <v>0</v>
      </c>
      <c r="AL206" s="68">
        <f t="shared" si="102"/>
        <v>0</v>
      </c>
      <c r="AM206" s="68">
        <f t="shared" si="102"/>
        <v>0</v>
      </c>
      <c r="AN206" s="68">
        <f t="shared" si="102"/>
        <v>0</v>
      </c>
    </row>
    <row r="207" spans="1:40" ht="16.5" thickBot="1" x14ac:dyDescent="0.3">
      <c r="B207" s="134"/>
      <c r="C207" s="138"/>
      <c r="D207" s="135"/>
      <c r="E207" s="135"/>
      <c r="F207" s="138"/>
      <c r="G207" s="135"/>
      <c r="H207" s="135"/>
      <c r="I207" s="138"/>
      <c r="J207" s="135"/>
      <c r="K207" s="135"/>
      <c r="L207" s="138"/>
      <c r="M207" s="137"/>
      <c r="N207" s="138"/>
      <c r="O207" s="147"/>
      <c r="P207" s="102">
        <v>1.0933999999999999</v>
      </c>
      <c r="Q207" s="113" t="s">
        <v>24</v>
      </c>
      <c r="T207" s="101">
        <v>1.0933999999999999</v>
      </c>
      <c r="U207" s="200">
        <v>1.0933999999999999</v>
      </c>
      <c r="V207" s="113">
        <v>1.0933999999999999</v>
      </c>
    </row>
    <row r="208" spans="1:40" ht="15.75" customHeight="1" thickBot="1" x14ac:dyDescent="0.3">
      <c r="B208" s="134" t="s">
        <v>74</v>
      </c>
      <c r="C208" s="138"/>
      <c r="D208" s="201">
        <f>D204-D206</f>
        <v>8230234.2952700006</v>
      </c>
      <c r="E208" s="135">
        <f>E204-E206</f>
        <v>8523097.569769999</v>
      </c>
      <c r="F208" s="135">
        <f>E208-D208</f>
        <v>292863.27449999843</v>
      </c>
      <c r="G208" s="135">
        <f>G204-G206</f>
        <v>11836428.768169999</v>
      </c>
      <c r="H208" s="135">
        <f>H204-H206</f>
        <v>12496797.35117</v>
      </c>
      <c r="I208" s="138"/>
      <c r="J208" s="135">
        <f>J204-J206</f>
        <v>12144500.993659802</v>
      </c>
      <c r="K208" s="135">
        <f>K204-K206</f>
        <v>11994239.2201396</v>
      </c>
      <c r="L208" s="138"/>
      <c r="M208" s="137"/>
      <c r="N208" s="138"/>
      <c r="O208" s="147"/>
      <c r="P208" s="218">
        <f>P206*P207</f>
        <v>35914.558579635355</v>
      </c>
      <c r="Q208" s="113" t="s">
        <v>23</v>
      </c>
      <c r="T208" s="202">
        <f t="shared" ref="T208:U208" si="103">T206*T207</f>
        <v>0</v>
      </c>
      <c r="U208" s="202">
        <f t="shared" si="103"/>
        <v>0</v>
      </c>
      <c r="V208" s="140">
        <f>V206*V207</f>
        <v>52197.876443965397</v>
      </c>
      <c r="Y208" s="211" t="s">
        <v>43</v>
      </c>
      <c r="Z208" s="63" t="s">
        <v>52</v>
      </c>
      <c r="AA208" s="32" t="s">
        <v>67</v>
      </c>
      <c r="AB208" s="32" t="s">
        <v>13</v>
      </c>
      <c r="AC208" s="32" t="s">
        <v>54</v>
      </c>
      <c r="AD208" s="32" t="s">
        <v>56</v>
      </c>
      <c r="AF208" s="49" t="s">
        <v>71</v>
      </c>
      <c r="AG208" s="49" t="s">
        <v>71</v>
      </c>
      <c r="AI208" s="64" t="s">
        <v>72</v>
      </c>
      <c r="AK208" s="74" t="s">
        <v>73</v>
      </c>
    </row>
    <row r="209" spans="2:37" ht="16.5" thickBot="1" x14ac:dyDescent="0.3">
      <c r="B209" s="134"/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47"/>
      <c r="P209" s="102"/>
      <c r="Y209" s="102"/>
      <c r="Z209" s="63"/>
      <c r="AA209" s="32" t="s">
        <v>68</v>
      </c>
      <c r="AB209" s="32" t="s">
        <v>53</v>
      </c>
      <c r="AC209" s="32" t="s">
        <v>55</v>
      </c>
      <c r="AD209" s="32" t="s">
        <v>47</v>
      </c>
      <c r="AF209" s="49" t="s">
        <v>55</v>
      </c>
      <c r="AG209" s="49" t="s">
        <v>47</v>
      </c>
      <c r="AI209" s="64"/>
      <c r="AK209" s="74" t="s">
        <v>72</v>
      </c>
    </row>
    <row r="210" spans="2:37" ht="16.5" thickBot="1" x14ac:dyDescent="0.3">
      <c r="B210" s="134" t="s">
        <v>16</v>
      </c>
      <c r="C210" s="138"/>
      <c r="D210" s="214">
        <f>D83+D176+D193</f>
        <v>122</v>
      </c>
      <c r="E210" s="214"/>
      <c r="F210" s="138"/>
      <c r="G210" s="138"/>
      <c r="H210" s="138"/>
      <c r="I210" s="138"/>
      <c r="J210" s="138"/>
      <c r="K210" s="138"/>
      <c r="L210" s="124"/>
      <c r="M210" s="158"/>
      <c r="N210" s="158"/>
      <c r="O210" s="159"/>
      <c r="P210" s="137">
        <f>P120+P136+P176</f>
        <v>11799.795714157262</v>
      </c>
      <c r="Q210" s="160" t="s">
        <v>19</v>
      </c>
      <c r="S210" s="113">
        <v>0.64281481027750809</v>
      </c>
      <c r="V210" s="140">
        <v>38354</v>
      </c>
      <c r="Y210" s="110"/>
      <c r="Z210" s="29"/>
      <c r="AA210" s="29"/>
      <c r="AB210" s="29"/>
      <c r="AC210" s="29"/>
      <c r="AD210" s="29"/>
    </row>
    <row r="211" spans="2:37" ht="16.5" thickBot="1" x14ac:dyDescent="0.3">
      <c r="B211" s="134"/>
      <c r="C211" s="138"/>
      <c r="D211" s="138"/>
      <c r="E211" s="138"/>
      <c r="F211" s="138"/>
      <c r="G211" s="138"/>
      <c r="H211" s="138"/>
      <c r="I211" s="138"/>
      <c r="J211" s="138"/>
      <c r="K211" s="138"/>
      <c r="L211" s="134"/>
      <c r="M211" s="135"/>
      <c r="N211" s="135"/>
      <c r="O211" s="162"/>
      <c r="P211" s="131">
        <f>P121+P137+P177</f>
        <v>8753.5240156731379</v>
      </c>
      <c r="Q211" s="160" t="s">
        <v>20</v>
      </c>
      <c r="S211" s="113">
        <v>0.47686375389054009</v>
      </c>
      <c r="V211" s="140">
        <v>24891</v>
      </c>
      <c r="Y211" s="97" t="s">
        <v>58</v>
      </c>
      <c r="Z211" s="26">
        <f>D210*12</f>
        <v>1464</v>
      </c>
      <c r="AA211" s="26"/>
      <c r="AB211" s="26"/>
      <c r="AC211" s="55">
        <v>40</v>
      </c>
      <c r="AD211" s="53">
        <f>$Z$211*AC211</f>
        <v>58560</v>
      </c>
      <c r="AF211" s="54">
        <f>AF145</f>
        <v>200</v>
      </c>
      <c r="AG211" s="53">
        <f>$Z$211*AF211</f>
        <v>292800</v>
      </c>
      <c r="AI211" s="56">
        <f>AG211-AD211</f>
        <v>234240</v>
      </c>
      <c r="AK211" s="59">
        <f t="shared" ref="AK211" si="104">AI211/AD211</f>
        <v>4</v>
      </c>
    </row>
    <row r="212" spans="2:37" ht="16.5" thickBot="1" x14ac:dyDescent="0.3">
      <c r="B212" s="134" t="s">
        <v>14</v>
      </c>
      <c r="C212" s="138"/>
      <c r="D212" s="138">
        <f>D178+D195</f>
        <v>0</v>
      </c>
      <c r="E212" s="138">
        <f>E178+E195</f>
        <v>0</v>
      </c>
      <c r="F212" s="138"/>
      <c r="G212" s="138"/>
      <c r="H212" s="138"/>
      <c r="I212" s="138"/>
      <c r="J212" s="138"/>
      <c r="K212" s="138"/>
      <c r="L212" s="163"/>
      <c r="M212" s="135"/>
      <c r="N212" s="135"/>
      <c r="O212" s="162"/>
      <c r="P212" s="137">
        <f>P122+P138+P178</f>
        <v>11799.795714157262</v>
      </c>
      <c r="Q212" s="160" t="s">
        <v>21</v>
      </c>
      <c r="S212" s="113">
        <v>0.64281481027750809</v>
      </c>
      <c r="V212" s="140">
        <v>33554</v>
      </c>
      <c r="Y212" s="101"/>
      <c r="Z212" s="8"/>
      <c r="AA212" s="8"/>
      <c r="AB212" s="8"/>
      <c r="AC212" s="33"/>
      <c r="AD212" s="28"/>
      <c r="AF212" s="76"/>
      <c r="AG212" s="28"/>
      <c r="AI212" s="57"/>
      <c r="AK212" s="60"/>
    </row>
    <row r="213" spans="2:37" x14ac:dyDescent="0.25">
      <c r="B213" s="134"/>
      <c r="C213" s="138"/>
      <c r="D213" s="138"/>
      <c r="E213" s="138"/>
      <c r="F213" s="138"/>
      <c r="G213" s="138"/>
      <c r="H213" s="138"/>
      <c r="I213" s="138"/>
      <c r="J213" s="138"/>
      <c r="K213" s="138"/>
      <c r="L213" s="134"/>
      <c r="M213" s="135"/>
      <c r="N213" s="135"/>
      <c r="O213" s="162"/>
      <c r="Q213" s="243" t="s">
        <v>28</v>
      </c>
      <c r="R213" s="206" t="s">
        <v>29</v>
      </c>
      <c r="Y213" s="101" t="s">
        <v>46</v>
      </c>
      <c r="Z213" s="8"/>
      <c r="AA213" s="8"/>
      <c r="AB213" s="22">
        <f>X202</f>
        <v>97642183</v>
      </c>
      <c r="AC213" s="34">
        <v>8.3690000000000001E-2</v>
      </c>
      <c r="AD213" s="28">
        <f>AB213*AC213</f>
        <v>8171674.2952699997</v>
      </c>
      <c r="AF213" s="76">
        <f t="shared" ref="AF213:AF223" si="105">AF147</f>
        <v>3.5209999999999998E-2</v>
      </c>
      <c r="AG213" s="28">
        <f>$AB$213*AF213</f>
        <v>3437981.2634299998</v>
      </c>
      <c r="AI213" s="57">
        <f t="shared" ref="AI213:AI225" si="106">AG213-AD213</f>
        <v>-4733693.0318400003</v>
      </c>
      <c r="AK213" s="60">
        <f t="shared" ref="AK213:AK225" si="107">AI213/AD213</f>
        <v>-0.57928067869518463</v>
      </c>
    </row>
    <row r="214" spans="2:37" ht="16.5" thickBot="1" x14ac:dyDescent="0.3">
      <c r="B214" s="219"/>
      <c r="C214" s="165"/>
      <c r="D214" s="165">
        <f>D210-D212</f>
        <v>122</v>
      </c>
      <c r="E214" s="165">
        <f>E210-E212</f>
        <v>0</v>
      </c>
      <c r="F214" s="165"/>
      <c r="G214" s="165">
        <f>G124+G140+G180+G197</f>
        <v>0</v>
      </c>
      <c r="H214" s="165"/>
      <c r="I214" s="165"/>
      <c r="J214" s="165">
        <f>J124+J140+J180+J197</f>
        <v>0</v>
      </c>
      <c r="K214" s="165"/>
      <c r="L214" s="164"/>
      <c r="M214" s="111"/>
      <c r="N214" s="111"/>
      <c r="O214" s="112"/>
      <c r="Q214" s="243"/>
      <c r="R214" s="207">
        <f>P211/V211*V214</f>
        <v>112.88743758913171</v>
      </c>
      <c r="V214" s="140">
        <v>321</v>
      </c>
      <c r="Y214" s="101"/>
      <c r="Z214" s="8"/>
      <c r="AA214" s="8"/>
      <c r="AB214" s="8"/>
      <c r="AC214" s="8"/>
      <c r="AD214" s="23"/>
      <c r="AF214" s="76"/>
      <c r="AG214" s="23"/>
      <c r="AI214" s="57"/>
      <c r="AK214" s="60"/>
    </row>
    <row r="215" spans="2:37" x14ac:dyDescent="0.25">
      <c r="B215" s="220"/>
      <c r="D215" s="179"/>
      <c r="E215" s="179"/>
      <c r="F215" s="179"/>
      <c r="G215" s="179"/>
      <c r="H215" s="179"/>
      <c r="I215" s="179"/>
      <c r="J215" s="179"/>
      <c r="K215" s="179"/>
      <c r="W215" s="179">
        <f>X215-AD225</f>
        <v>-4.4299997389316559E-3</v>
      </c>
      <c r="X215" s="179">
        <f>W202</f>
        <v>8230234.2908399999</v>
      </c>
      <c r="Y215" s="101" t="s">
        <v>61</v>
      </c>
      <c r="Z215" s="8"/>
      <c r="AA215" s="22">
        <f>AB202</f>
        <v>322560.07000000007</v>
      </c>
      <c r="AB215" s="8"/>
      <c r="AC215" s="8"/>
      <c r="AD215" s="7"/>
      <c r="AF215" s="76">
        <f t="shared" si="105"/>
        <v>5.2</v>
      </c>
      <c r="AG215" s="7">
        <f>AA215*AF215</f>
        <v>1677312.3640000003</v>
      </c>
      <c r="AH215" s="1"/>
      <c r="AI215" s="57">
        <f t="shared" si="106"/>
        <v>1677312.3640000003</v>
      </c>
      <c r="AK215" s="60" t="e">
        <f t="shared" si="107"/>
        <v>#DIV/0!</v>
      </c>
    </row>
    <row r="216" spans="2:37" x14ac:dyDescent="0.25">
      <c r="B216" s="188"/>
      <c r="Y216" s="101" t="s">
        <v>69</v>
      </c>
      <c r="Z216" s="8"/>
      <c r="AA216" s="22">
        <f>AG202</f>
        <v>88863.654999999999</v>
      </c>
      <c r="AB216" s="8"/>
      <c r="AC216" s="8"/>
      <c r="AD216" s="23"/>
      <c r="AF216" s="76">
        <f t="shared" si="105"/>
        <v>5.2</v>
      </c>
      <c r="AG216" s="7">
        <f>AA216*AF216</f>
        <v>462091.00599999999</v>
      </c>
      <c r="AI216" s="57">
        <f t="shared" si="106"/>
        <v>462091.00599999999</v>
      </c>
      <c r="AK216" s="60" t="e">
        <f t="shared" si="107"/>
        <v>#DIV/0!</v>
      </c>
    </row>
    <row r="217" spans="2:37" x14ac:dyDescent="0.25">
      <c r="B217" s="188"/>
      <c r="Y217" s="101" t="s">
        <v>70</v>
      </c>
      <c r="Z217" s="8"/>
      <c r="AA217" s="8"/>
      <c r="AB217" s="8"/>
      <c r="AC217" s="8"/>
      <c r="AD217" s="23"/>
      <c r="AF217" s="76"/>
      <c r="AG217" s="7"/>
      <c r="AI217" s="57"/>
      <c r="AK217" s="60"/>
    </row>
    <row r="218" spans="2:37" x14ac:dyDescent="0.25">
      <c r="B218" s="188"/>
      <c r="G218" s="179"/>
      <c r="Y218" s="101"/>
      <c r="Z218" s="8"/>
      <c r="AA218" s="8"/>
      <c r="AB218" s="8"/>
      <c r="AC218" s="8"/>
      <c r="AD218" s="23"/>
      <c r="AF218" s="76"/>
      <c r="AG218" s="7"/>
      <c r="AI218" s="57"/>
      <c r="AK218" s="60"/>
    </row>
    <row r="219" spans="2:37" x14ac:dyDescent="0.25">
      <c r="B219" s="188"/>
      <c r="Y219" s="101" t="s">
        <v>66</v>
      </c>
      <c r="Z219" s="8"/>
      <c r="AA219" s="22">
        <f>AA202</f>
        <v>325754.95000000007</v>
      </c>
      <c r="AB219" s="8"/>
      <c r="AC219" s="8"/>
      <c r="AD219" s="23"/>
      <c r="AF219" s="76">
        <f t="shared" si="105"/>
        <v>4.53</v>
      </c>
      <c r="AG219" s="7">
        <f>AA219*AF219</f>
        <v>1475669.9235000005</v>
      </c>
      <c r="AI219" s="57">
        <f t="shared" si="106"/>
        <v>1475669.9235000005</v>
      </c>
      <c r="AK219" s="60" t="e">
        <f t="shared" si="107"/>
        <v>#DIV/0!</v>
      </c>
    </row>
    <row r="220" spans="2:37" x14ac:dyDescent="0.25">
      <c r="B220" s="188"/>
      <c r="J220" s="179"/>
      <c r="Y220" s="101" t="s">
        <v>63</v>
      </c>
      <c r="Z220" s="8"/>
      <c r="AA220" s="22">
        <f>AF202</f>
        <v>6034.8600000000006</v>
      </c>
      <c r="AB220" s="8"/>
      <c r="AC220" s="8"/>
      <c r="AD220" s="23"/>
      <c r="AF220" s="76">
        <f t="shared" si="105"/>
        <v>4.53</v>
      </c>
      <c r="AG220" s="7">
        <f>AA220*AF220</f>
        <v>27337.915800000002</v>
      </c>
      <c r="AI220" s="57">
        <f t="shared" si="106"/>
        <v>27337.915800000002</v>
      </c>
      <c r="AK220" s="60" t="e">
        <f t="shared" si="107"/>
        <v>#DIV/0!</v>
      </c>
    </row>
    <row r="221" spans="2:37" x14ac:dyDescent="0.25">
      <c r="Y221" s="101"/>
      <c r="Z221" s="8"/>
      <c r="AA221" s="8"/>
      <c r="AB221" s="8"/>
      <c r="AC221" s="8"/>
      <c r="AD221" s="23"/>
      <c r="AF221" s="76"/>
      <c r="AG221" s="7"/>
      <c r="AI221" s="57"/>
      <c r="AK221" s="60"/>
    </row>
    <row r="222" spans="2:37" x14ac:dyDescent="0.25">
      <c r="Y222" s="101" t="s">
        <v>62</v>
      </c>
      <c r="Z222" s="8"/>
      <c r="AA222" s="22">
        <f>Z202</f>
        <v>325754.95000000007</v>
      </c>
      <c r="AB222" s="8"/>
      <c r="AC222" s="8"/>
      <c r="AD222" s="23"/>
      <c r="AF222" s="76">
        <f t="shared" si="105"/>
        <v>6.13</v>
      </c>
      <c r="AG222" s="7">
        <f t="shared" ref="AG222:AG223" si="108">AA222*AF222</f>
        <v>1996877.8435000004</v>
      </c>
      <c r="AI222" s="57">
        <f t="shared" si="106"/>
        <v>1996877.8435000004</v>
      </c>
      <c r="AK222" s="60" t="e">
        <f t="shared" si="107"/>
        <v>#DIV/0!</v>
      </c>
    </row>
    <row r="223" spans="2:37" x14ac:dyDescent="0.25">
      <c r="J223" s="179"/>
      <c r="Y223" s="101" t="s">
        <v>63</v>
      </c>
      <c r="Z223" s="8"/>
      <c r="AA223" s="22">
        <f>AE202</f>
        <v>6034.86</v>
      </c>
      <c r="AB223" s="8"/>
      <c r="AC223" s="8"/>
      <c r="AD223" s="23"/>
      <c r="AF223" s="76">
        <f t="shared" si="105"/>
        <v>6.13</v>
      </c>
      <c r="AG223" s="7">
        <f t="shared" si="108"/>
        <v>36993.691800000001</v>
      </c>
      <c r="AI223" s="57">
        <f t="shared" si="106"/>
        <v>36993.691800000001</v>
      </c>
      <c r="AK223" s="60" t="e">
        <f t="shared" si="107"/>
        <v>#DIV/0!</v>
      </c>
    </row>
    <row r="224" spans="2:37" x14ac:dyDescent="0.25">
      <c r="G224" s="151"/>
      <c r="J224" s="151"/>
      <c r="Y224" s="101"/>
      <c r="Z224" s="8"/>
      <c r="AA224" s="8"/>
      <c r="AB224" s="8"/>
      <c r="AC224" s="8"/>
      <c r="AD224" s="23"/>
      <c r="AF224" s="9"/>
      <c r="AG224" s="23"/>
      <c r="AI224" s="57"/>
      <c r="AK224" s="60"/>
    </row>
    <row r="225" spans="7:37" ht="16.5" thickBot="1" x14ac:dyDescent="0.3">
      <c r="Y225" s="93" t="s">
        <v>64</v>
      </c>
      <c r="Z225" s="29"/>
      <c r="AA225" s="29"/>
      <c r="AB225" s="29"/>
      <c r="AC225" s="29"/>
      <c r="AD225" s="5">
        <f>SUM(AD211:AD224)</f>
        <v>8230234.2952699997</v>
      </c>
      <c r="AF225" s="13"/>
      <c r="AG225" s="5">
        <f>SUM(AG211:AG224)</f>
        <v>9407064.0080300011</v>
      </c>
      <c r="AI225" s="58">
        <f t="shared" si="106"/>
        <v>1176829.7127600014</v>
      </c>
      <c r="AK225" s="61">
        <f t="shared" si="107"/>
        <v>0.14298860403480099</v>
      </c>
    </row>
    <row r="226" spans="7:37" x14ac:dyDescent="0.25">
      <c r="G226" s="179"/>
      <c r="J226" s="179"/>
    </row>
    <row r="228" spans="7:37" x14ac:dyDescent="0.25">
      <c r="G228" s="179"/>
      <c r="J228" s="179"/>
      <c r="K228" s="179"/>
    </row>
  </sheetData>
  <mergeCells count="41">
    <mergeCell ref="V200:V201"/>
    <mergeCell ref="Q213:Q214"/>
    <mergeCell ref="H1:H2"/>
    <mergeCell ref="J1:J2"/>
    <mergeCell ref="K1:K2"/>
    <mergeCell ref="I1:I2"/>
    <mergeCell ref="L1:L2"/>
    <mergeCell ref="AM1:AN1"/>
    <mergeCell ref="AE2:AG2"/>
    <mergeCell ref="AH2:AI2"/>
    <mergeCell ref="AJ2:AL2"/>
    <mergeCell ref="AM2:AN2"/>
    <mergeCell ref="Z2:AD2"/>
    <mergeCell ref="AE1:AG1"/>
    <mergeCell ref="AH1:AI1"/>
    <mergeCell ref="AJ1:AL1"/>
    <mergeCell ref="A166:A181"/>
    <mergeCell ref="A54:A69"/>
    <mergeCell ref="C1:C2"/>
    <mergeCell ref="F1:F2"/>
    <mergeCell ref="A1:A2"/>
    <mergeCell ref="B1:B2"/>
    <mergeCell ref="D1:D2"/>
    <mergeCell ref="E1:E2"/>
    <mergeCell ref="G1:G2"/>
    <mergeCell ref="W147:X149"/>
    <mergeCell ref="F88:F92"/>
    <mergeCell ref="F95:F96"/>
    <mergeCell ref="A183:A198"/>
    <mergeCell ref="AJ4:AN4"/>
    <mergeCell ref="Z4:AB4"/>
    <mergeCell ref="AC4:AD4"/>
    <mergeCell ref="AE4:AI4"/>
    <mergeCell ref="A5:A19"/>
    <mergeCell ref="A21:A35"/>
    <mergeCell ref="C88:C92"/>
    <mergeCell ref="V73:V74"/>
    <mergeCell ref="Q84:Q85"/>
    <mergeCell ref="A71:A86"/>
    <mergeCell ref="A37:A52"/>
    <mergeCell ref="P87:T87"/>
  </mergeCells>
  <pageMargins left="0.45" right="0.45" top="0.75" bottom="0.75" header="0.3" footer="0.3"/>
  <pageSetup scale="44" orientation="landscape" r:id="rId1"/>
  <rowBreaks count="3" manualBreakCount="3">
    <brk id="69" max="39" man="1"/>
    <brk id="141" max="39" man="1"/>
    <brk id="164" max="39" man="1"/>
  </rowBreaks>
  <colBreaks count="1" manualBreakCount="1">
    <brk id="24" max="2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7"/>
  <sheetViews>
    <sheetView zoomScale="78" zoomScaleNormal="78" workbookViewId="0">
      <pane ySplit="8" topLeftCell="A33" activePane="bottomLeft" state="frozen"/>
      <selection pane="bottomLeft" activeCell="AC100" sqref="AC100"/>
    </sheetView>
  </sheetViews>
  <sheetFormatPr defaultRowHeight="15" x14ac:dyDescent="0.25"/>
  <cols>
    <col min="3" max="3" width="14.28515625" bestFit="1" customWidth="1"/>
    <col min="4" max="4" width="14.28515625" customWidth="1"/>
    <col min="5" max="5" width="11.5703125" bestFit="1" customWidth="1"/>
    <col min="6" max="6" width="13.28515625" customWidth="1"/>
    <col min="7" max="9" width="11.5703125" bestFit="1" customWidth="1"/>
    <col min="10" max="10" width="9.5703125" bestFit="1" customWidth="1"/>
    <col min="11" max="11" width="11.85546875" customWidth="1"/>
    <col min="12" max="12" width="10.5703125" bestFit="1" customWidth="1"/>
    <col min="13" max="13" width="9.5703125" bestFit="1" customWidth="1"/>
    <col min="14" max="14" width="11.28515625" customWidth="1"/>
    <col min="15" max="15" width="11" customWidth="1"/>
    <col min="16" max="16" width="9.5703125" bestFit="1" customWidth="1"/>
    <col min="17" max="17" width="12.140625" customWidth="1"/>
    <col min="18" max="19" width="9.5703125" bestFit="1" customWidth="1"/>
    <col min="20" max="20" width="12.42578125" customWidth="1"/>
    <col min="21" max="21" width="12.140625" customWidth="1"/>
    <col min="22" max="22" width="10.140625" bestFit="1" customWidth="1"/>
    <col min="25" max="25" width="14.140625" customWidth="1"/>
    <col min="27" max="27" width="12.140625" customWidth="1"/>
    <col min="29" max="29" width="11.140625" customWidth="1"/>
    <col min="31" max="31" width="11.140625" bestFit="1" customWidth="1"/>
  </cols>
  <sheetData>
    <row r="1" spans="1:20" x14ac:dyDescent="0.25">
      <c r="J1" s="248" t="s">
        <v>38</v>
      </c>
      <c r="K1" s="248"/>
      <c r="L1" s="248"/>
      <c r="M1" s="248" t="s">
        <v>39</v>
      </c>
      <c r="N1" s="248"/>
      <c r="O1" s="248" t="s">
        <v>38</v>
      </c>
      <c r="P1" s="248"/>
      <c r="Q1" s="248"/>
      <c r="R1" s="248" t="s">
        <v>39</v>
      </c>
      <c r="S1" s="248"/>
    </row>
    <row r="2" spans="1:20" x14ac:dyDescent="0.25">
      <c r="E2" s="247" t="s">
        <v>31</v>
      </c>
      <c r="F2" s="247"/>
      <c r="G2" s="247"/>
      <c r="H2" s="247"/>
      <c r="I2" s="247"/>
      <c r="J2" s="247" t="s">
        <v>32</v>
      </c>
      <c r="K2" s="247"/>
      <c r="L2" s="255"/>
      <c r="M2" s="247" t="s">
        <v>32</v>
      </c>
      <c r="N2" s="247"/>
      <c r="O2" s="247" t="s">
        <v>32</v>
      </c>
      <c r="P2" s="247"/>
      <c r="Q2" s="255"/>
      <c r="R2" s="247" t="s">
        <v>32</v>
      </c>
      <c r="S2" s="247"/>
    </row>
    <row r="3" spans="1:20" ht="15.75" thickBot="1" x14ac:dyDescent="0.3">
      <c r="B3" s="84" t="s">
        <v>83</v>
      </c>
      <c r="C3" s="84" t="s">
        <v>84</v>
      </c>
      <c r="D3" s="84" t="s">
        <v>53</v>
      </c>
      <c r="E3" s="10" t="s">
        <v>33</v>
      </c>
      <c r="F3" s="10" t="s">
        <v>34</v>
      </c>
      <c r="G3" s="10" t="s">
        <v>35</v>
      </c>
      <c r="H3" s="11" t="s">
        <v>36</v>
      </c>
      <c r="I3" s="11" t="s">
        <v>37</v>
      </c>
      <c r="J3" s="11" t="s">
        <v>33</v>
      </c>
      <c r="K3" s="11" t="s">
        <v>34</v>
      </c>
      <c r="L3" s="11" t="s">
        <v>35</v>
      </c>
      <c r="M3" s="11" t="s">
        <v>36</v>
      </c>
      <c r="N3" s="11" t="s">
        <v>37</v>
      </c>
      <c r="O3" s="10" t="s">
        <v>33</v>
      </c>
      <c r="P3" s="10" t="s">
        <v>34</v>
      </c>
      <c r="Q3" s="10" t="s">
        <v>35</v>
      </c>
      <c r="R3" s="10" t="s">
        <v>36</v>
      </c>
      <c r="S3" s="10" t="s">
        <v>37</v>
      </c>
    </row>
    <row r="4" spans="1:20" ht="16.5" thickBot="1" x14ac:dyDescent="0.3">
      <c r="A4" t="s">
        <v>43</v>
      </c>
      <c r="B4">
        <v>122</v>
      </c>
      <c r="C4" s="221">
        <v>8230234.2908399999</v>
      </c>
      <c r="D4" s="221">
        <v>97642183</v>
      </c>
      <c r="E4" s="67">
        <v>325754.95000000007</v>
      </c>
      <c r="F4" s="67">
        <v>325754.95000000007</v>
      </c>
      <c r="G4" s="67">
        <v>322560.07000000007</v>
      </c>
      <c r="H4" s="67">
        <v>121935.54999999997</v>
      </c>
      <c r="I4" s="67">
        <v>203819.4</v>
      </c>
      <c r="J4" s="67">
        <v>6034.86</v>
      </c>
      <c r="K4" s="67">
        <v>6034.8600000000006</v>
      </c>
      <c r="L4" s="67">
        <v>88863.654999999999</v>
      </c>
      <c r="M4" s="67">
        <v>4517.2100000000009</v>
      </c>
      <c r="N4" s="67">
        <v>1517.6500000000003</v>
      </c>
      <c r="O4" s="67">
        <v>6034.86</v>
      </c>
      <c r="P4" s="67">
        <v>6034.86</v>
      </c>
      <c r="Q4" s="67">
        <v>152410.73000000004</v>
      </c>
      <c r="R4" s="67">
        <v>4517.2100000000009</v>
      </c>
      <c r="S4" s="67">
        <v>1517.6500000000003</v>
      </c>
    </row>
    <row r="5" spans="1:20" ht="8.25" customHeight="1" thickBot="1" x14ac:dyDescent="0.3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0" ht="16.5" thickBot="1" x14ac:dyDescent="0.3">
      <c r="A6" t="s">
        <v>39</v>
      </c>
      <c r="B6">
        <v>123</v>
      </c>
      <c r="C6" s="193">
        <v>7288948</v>
      </c>
      <c r="D6" s="191">
        <v>71429693</v>
      </c>
      <c r="E6" s="2">
        <v>255383.76</v>
      </c>
      <c r="F6" s="2">
        <v>255591.66</v>
      </c>
      <c r="G6" s="2">
        <v>250456.26</v>
      </c>
      <c r="H6" s="2">
        <v>106291.02000000002</v>
      </c>
      <c r="I6" s="2">
        <v>149092.74000000002</v>
      </c>
      <c r="J6" s="2">
        <v>2859.2150000000001</v>
      </c>
      <c r="K6" s="2">
        <v>2859.2149999999997</v>
      </c>
      <c r="L6" s="2">
        <v>142782.66500000001</v>
      </c>
      <c r="M6" s="2">
        <v>2090.4599999999996</v>
      </c>
      <c r="N6" s="2">
        <v>768.75499999999988</v>
      </c>
      <c r="O6" s="2">
        <v>2859.2149999999997</v>
      </c>
      <c r="P6" s="2">
        <v>2859.2149999999997</v>
      </c>
      <c r="Q6" s="2">
        <v>167462.54</v>
      </c>
      <c r="R6" s="2">
        <v>2090.4600000000005</v>
      </c>
      <c r="S6" s="2">
        <v>768.75500000000011</v>
      </c>
    </row>
    <row r="7" spans="1:20" ht="6" customHeight="1" thickBot="1" x14ac:dyDescent="0.3">
      <c r="C7" s="197"/>
      <c r="D7" s="139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ht="16.5" thickBot="1" x14ac:dyDescent="0.3">
      <c r="A8" t="s">
        <v>38</v>
      </c>
      <c r="B8">
        <v>83</v>
      </c>
      <c r="C8" s="193">
        <v>10611874</v>
      </c>
      <c r="D8" s="191">
        <v>120872157.249</v>
      </c>
      <c r="E8" s="2">
        <v>379561.09147000004</v>
      </c>
      <c r="F8" s="2">
        <v>381585.49147000001</v>
      </c>
      <c r="G8" s="2">
        <v>382412.49147000001</v>
      </c>
      <c r="H8" s="2">
        <v>155190.25644999999</v>
      </c>
      <c r="I8" s="2">
        <v>224370.83502</v>
      </c>
      <c r="J8" s="2">
        <v>2162.5380600000003</v>
      </c>
      <c r="K8" s="2">
        <v>2174.0380600000003</v>
      </c>
      <c r="L8" s="2">
        <v>15917.638779999999</v>
      </c>
      <c r="M8" s="2">
        <v>1919.8</v>
      </c>
      <c r="N8" s="2">
        <v>242.73806000000002</v>
      </c>
      <c r="O8" s="2">
        <v>2162.5380600000003</v>
      </c>
      <c r="P8" s="2">
        <v>2174.0380600000003</v>
      </c>
      <c r="Q8" s="2">
        <v>96949.406329999998</v>
      </c>
      <c r="R8" s="2">
        <v>1919.8000000000006</v>
      </c>
      <c r="S8" s="2">
        <v>242.73806000000025</v>
      </c>
    </row>
    <row r="14" spans="1:20" ht="15.75" thickBot="1" x14ac:dyDescent="0.3"/>
    <row r="15" spans="1:20" x14ac:dyDescent="0.25">
      <c r="B15" t="s">
        <v>43</v>
      </c>
      <c r="C15" s="12"/>
      <c r="D15" s="85" t="s">
        <v>85</v>
      </c>
      <c r="E15" s="85" t="s">
        <v>86</v>
      </c>
      <c r="F15" s="85" t="s">
        <v>87</v>
      </c>
      <c r="G15" s="257" t="s">
        <v>43</v>
      </c>
      <c r="H15" s="258"/>
      <c r="J15" s="259" t="s">
        <v>39</v>
      </c>
      <c r="K15" s="258"/>
      <c r="M15" s="259" t="s">
        <v>39</v>
      </c>
      <c r="N15" s="258"/>
      <c r="P15" s="259" t="s">
        <v>38</v>
      </c>
      <c r="Q15" s="258"/>
      <c r="S15" s="259" t="s">
        <v>38</v>
      </c>
      <c r="T15" s="258"/>
    </row>
    <row r="16" spans="1:20" ht="5.25" customHeight="1" x14ac:dyDescent="0.25">
      <c r="C16" s="9"/>
      <c r="D16" s="8"/>
      <c r="E16" s="8"/>
      <c r="F16" s="8"/>
      <c r="G16" s="8"/>
      <c r="H16" s="23"/>
      <c r="J16" s="9"/>
      <c r="K16" s="23"/>
      <c r="M16" s="9"/>
      <c r="N16" s="23"/>
      <c r="P16" s="9"/>
      <c r="Q16" s="23"/>
      <c r="S16" s="9"/>
      <c r="T16" s="23"/>
    </row>
    <row r="17" spans="3:20" x14ac:dyDescent="0.25">
      <c r="C17" s="9" t="s">
        <v>58</v>
      </c>
      <c r="D17" s="16">
        <f>12*B4</f>
        <v>1464</v>
      </c>
      <c r="E17" s="8"/>
      <c r="F17" s="8"/>
      <c r="G17" s="33">
        <v>40</v>
      </c>
      <c r="H17" s="7">
        <f>D17*G17</f>
        <v>58560</v>
      </c>
      <c r="J17" s="50">
        <v>90</v>
      </c>
      <c r="K17" s="7">
        <f>D17*J17</f>
        <v>131760</v>
      </c>
      <c r="L17" s="1"/>
      <c r="M17" s="50">
        <v>90</v>
      </c>
      <c r="N17" s="7">
        <f>$D17*M17</f>
        <v>131760</v>
      </c>
      <c r="P17" s="76">
        <v>200</v>
      </c>
      <c r="Q17" s="7">
        <f>G17*P17</f>
        <v>8000</v>
      </c>
      <c r="S17" s="76">
        <v>200</v>
      </c>
      <c r="T17" s="7">
        <f>$D17*S17</f>
        <v>292800</v>
      </c>
    </row>
    <row r="18" spans="3:20" x14ac:dyDescent="0.25">
      <c r="C18" s="9"/>
      <c r="D18" s="8"/>
      <c r="E18" s="8"/>
      <c r="F18" s="8"/>
      <c r="G18" s="33"/>
      <c r="H18" s="7"/>
      <c r="J18" s="50"/>
      <c r="K18" s="7"/>
      <c r="L18" s="1"/>
      <c r="M18" s="50"/>
      <c r="N18" s="7"/>
      <c r="P18" s="76"/>
      <c r="Q18" s="7"/>
      <c r="S18" s="76"/>
      <c r="T18" s="7"/>
    </row>
    <row r="19" spans="3:20" x14ac:dyDescent="0.25">
      <c r="C19" s="9" t="s">
        <v>46</v>
      </c>
      <c r="D19" s="8"/>
      <c r="E19" s="16"/>
      <c r="F19" s="16">
        <f>D4</f>
        <v>97642183</v>
      </c>
      <c r="G19" s="34">
        <v>8.3690000000000001E-2</v>
      </c>
      <c r="H19" s="7">
        <f>F19*G19</f>
        <v>8171674.2952699997</v>
      </c>
      <c r="J19" s="51">
        <v>3.5720000000000002E-2</v>
      </c>
      <c r="K19" s="7">
        <f>J19*F19</f>
        <v>3487778.7767600003</v>
      </c>
      <c r="L19" s="1"/>
      <c r="M19" s="51">
        <v>3.5720000000000002E-2</v>
      </c>
      <c r="N19" s="7">
        <f>M19*$F19</f>
        <v>3487778.7767600003</v>
      </c>
      <c r="P19" s="80">
        <v>3.5270000000000003E-2</v>
      </c>
      <c r="Q19" s="7">
        <f>F19*P19</f>
        <v>3443839.7944100001</v>
      </c>
      <c r="S19" s="80">
        <v>3.5270000000000003E-2</v>
      </c>
      <c r="T19" s="7">
        <f>$F19*S19</f>
        <v>3443839.7944100001</v>
      </c>
    </row>
    <row r="20" spans="3:20" x14ac:dyDescent="0.25">
      <c r="C20" s="9"/>
      <c r="D20" s="8"/>
      <c r="E20" s="16"/>
      <c r="F20" s="16"/>
      <c r="G20" s="34"/>
      <c r="H20" s="7"/>
      <c r="J20" s="9"/>
      <c r="K20" s="7"/>
      <c r="L20" s="1"/>
      <c r="M20" s="9"/>
      <c r="N20" s="7"/>
      <c r="P20" s="51"/>
      <c r="Q20" s="7"/>
      <c r="S20" s="51"/>
      <c r="T20" s="7"/>
    </row>
    <row r="21" spans="3:20" x14ac:dyDescent="0.25">
      <c r="C21" s="9" t="s">
        <v>59</v>
      </c>
      <c r="D21" s="8"/>
      <c r="E21" s="16">
        <f>H4</f>
        <v>121935.54999999997</v>
      </c>
      <c r="F21" s="16"/>
      <c r="G21" s="34"/>
      <c r="H21" s="7"/>
      <c r="J21" s="50">
        <v>19.05</v>
      </c>
      <c r="K21" s="7">
        <f>E21*J21</f>
        <v>2322872.2274999996</v>
      </c>
      <c r="L21" s="1"/>
      <c r="M21" s="50">
        <f>J21-$K$117</f>
        <v>15.065417082782385</v>
      </c>
      <c r="N21" s="7">
        <f>$E21*M21</f>
        <v>1837009.9179684652</v>
      </c>
      <c r="P21" s="50"/>
      <c r="Q21" s="7">
        <f>H21*P21</f>
        <v>0</v>
      </c>
      <c r="S21" s="50"/>
      <c r="T21" s="7">
        <f>K21*S21</f>
        <v>0</v>
      </c>
    </row>
    <row r="22" spans="3:20" x14ac:dyDescent="0.25">
      <c r="C22" s="9" t="s">
        <v>63</v>
      </c>
      <c r="D22" s="8"/>
      <c r="E22" s="16">
        <f>M4</f>
        <v>4517.2100000000009</v>
      </c>
      <c r="F22" s="16"/>
      <c r="G22" s="34"/>
      <c r="H22" s="7"/>
      <c r="J22" s="50">
        <v>19.05</v>
      </c>
      <c r="K22" s="7">
        <f t="shared" ref="K22:K25" si="0">E22*J22</f>
        <v>86052.850500000015</v>
      </c>
      <c r="L22" s="1"/>
      <c r="M22" s="50">
        <f>J22-$K$117</f>
        <v>15.065417082782385</v>
      </c>
      <c r="N22" s="7">
        <f>$E22*M22</f>
        <v>68053.652700515435</v>
      </c>
      <c r="P22" s="50"/>
      <c r="Q22" s="7">
        <f>H22*P22</f>
        <v>0</v>
      </c>
      <c r="S22" s="50"/>
      <c r="T22" s="7">
        <f>K22*S22</f>
        <v>0</v>
      </c>
    </row>
    <row r="23" spans="3:20" x14ac:dyDescent="0.25">
      <c r="C23" s="9"/>
      <c r="D23" s="8"/>
      <c r="E23" s="16"/>
      <c r="F23" s="16"/>
      <c r="G23" s="34"/>
      <c r="H23" s="7"/>
      <c r="J23" s="50"/>
      <c r="K23" s="7"/>
      <c r="L23" s="1"/>
      <c r="M23" s="50"/>
      <c r="N23" s="7"/>
      <c r="P23" s="50"/>
      <c r="Q23" s="7"/>
      <c r="S23" s="50"/>
      <c r="T23" s="7"/>
    </row>
    <row r="24" spans="3:20" x14ac:dyDescent="0.25">
      <c r="C24" s="9" t="s">
        <v>60</v>
      </c>
      <c r="D24" s="8"/>
      <c r="E24" s="16">
        <f>I4</f>
        <v>203819.4</v>
      </c>
      <c r="F24" s="16"/>
      <c r="G24" s="34"/>
      <c r="H24" s="7"/>
      <c r="J24" s="50">
        <v>16.95</v>
      </c>
      <c r="K24" s="7">
        <f t="shared" si="0"/>
        <v>3454738.8299999996</v>
      </c>
      <c r="L24" s="1"/>
      <c r="M24" s="50">
        <f>J24-$K$117</f>
        <v>12.965417082782384</v>
      </c>
      <c r="N24" s="7">
        <f>$E24*M24</f>
        <v>2642603.5305624558</v>
      </c>
      <c r="P24" s="50"/>
      <c r="Q24" s="7">
        <f>H24*P24</f>
        <v>0</v>
      </c>
      <c r="S24" s="50"/>
      <c r="T24" s="7">
        <f>K24*S24</f>
        <v>0</v>
      </c>
    </row>
    <row r="25" spans="3:20" x14ac:dyDescent="0.25">
      <c r="C25" s="9" t="s">
        <v>63</v>
      </c>
      <c r="D25" s="8"/>
      <c r="E25" s="16">
        <f>N4</f>
        <v>1517.6500000000003</v>
      </c>
      <c r="F25" s="16"/>
      <c r="G25" s="34"/>
      <c r="H25" s="7"/>
      <c r="J25" s="50">
        <v>16.95</v>
      </c>
      <c r="K25" s="7">
        <f t="shared" si="0"/>
        <v>25724.167500000003</v>
      </c>
      <c r="L25" s="1"/>
      <c r="M25" s="50">
        <f>J25-$K$117</f>
        <v>12.965417082782384</v>
      </c>
      <c r="N25" s="7">
        <f>$E25*M25</f>
        <v>19676.965235684689</v>
      </c>
      <c r="P25" s="50"/>
      <c r="Q25" s="7">
        <f>H25*P25</f>
        <v>0</v>
      </c>
      <c r="S25" s="50"/>
      <c r="T25" s="7">
        <f>K25*S25</f>
        <v>0</v>
      </c>
    </row>
    <row r="26" spans="3:20" x14ac:dyDescent="0.25">
      <c r="C26" s="9"/>
      <c r="D26" s="8"/>
      <c r="E26" s="16"/>
      <c r="F26" s="16"/>
      <c r="G26" s="34"/>
      <c r="H26" s="7"/>
      <c r="J26" s="51"/>
      <c r="K26" s="7"/>
      <c r="L26" s="1"/>
      <c r="M26" s="51"/>
      <c r="N26" s="7"/>
      <c r="P26" s="51"/>
      <c r="Q26" s="7"/>
      <c r="S26" s="51"/>
      <c r="T26" s="7"/>
    </row>
    <row r="27" spans="3:20" x14ac:dyDescent="0.25">
      <c r="C27" s="9" t="s">
        <v>61</v>
      </c>
      <c r="D27" s="8"/>
      <c r="E27" s="16">
        <f>G4</f>
        <v>322560.07000000007</v>
      </c>
      <c r="F27" s="16"/>
      <c r="G27" s="30"/>
      <c r="H27" s="7">
        <f>$AB27*G27</f>
        <v>0</v>
      </c>
      <c r="J27" s="50"/>
      <c r="K27" s="7"/>
      <c r="L27" s="1"/>
      <c r="M27" s="50"/>
      <c r="N27" s="7"/>
      <c r="P27" s="76">
        <v>5.2</v>
      </c>
      <c r="Q27" s="7">
        <f>E27*P27</f>
        <v>1677312.3640000003</v>
      </c>
      <c r="S27" s="76">
        <f>P27-$Q$117</f>
        <v>3.9703412467483266</v>
      </c>
      <c r="T27" s="7">
        <f>$E27*S27</f>
        <v>1280673.5504750276</v>
      </c>
    </row>
    <row r="28" spans="3:20" x14ac:dyDescent="0.25">
      <c r="C28" s="9" t="s">
        <v>69</v>
      </c>
      <c r="D28" s="8"/>
      <c r="E28" s="16">
        <f>L4</f>
        <v>88863.654999999999</v>
      </c>
      <c r="F28" s="16"/>
      <c r="G28" s="30"/>
      <c r="H28" s="7">
        <f>$AB28*G28</f>
        <v>0</v>
      </c>
      <c r="J28" s="50"/>
      <c r="K28" s="7"/>
      <c r="L28" s="1"/>
      <c r="M28" s="50"/>
      <c r="N28" s="7"/>
      <c r="P28" s="76">
        <v>5.2</v>
      </c>
      <c r="Q28" s="7">
        <f>E28*P28</f>
        <v>462091.00599999999</v>
      </c>
      <c r="S28" s="76">
        <f>P28-$Q$117</f>
        <v>3.9703412467483266</v>
      </c>
      <c r="T28" s="7">
        <f>$E28*S28</f>
        <v>352819.03478331317</v>
      </c>
    </row>
    <row r="29" spans="3:20" x14ac:dyDescent="0.25">
      <c r="C29" s="9" t="s">
        <v>70</v>
      </c>
      <c r="D29" s="8"/>
      <c r="E29" s="16">
        <f>Q4</f>
        <v>152410.73000000004</v>
      </c>
      <c r="F29" s="16"/>
      <c r="G29" s="30"/>
      <c r="H29" s="7"/>
      <c r="J29" s="50"/>
      <c r="K29" s="7"/>
      <c r="L29" s="1"/>
      <c r="M29" s="50"/>
      <c r="N29" s="7"/>
      <c r="P29" s="76">
        <v>5.2</v>
      </c>
      <c r="Q29" s="7"/>
      <c r="S29" s="76">
        <f>P29-$Q$117</f>
        <v>3.9703412467483266</v>
      </c>
      <c r="T29" s="7"/>
    </row>
    <row r="30" spans="3:20" x14ac:dyDescent="0.25">
      <c r="C30" s="9"/>
      <c r="D30" s="8"/>
      <c r="E30" s="16"/>
      <c r="F30" s="16"/>
      <c r="G30" s="30"/>
      <c r="H30" s="7"/>
      <c r="J30" s="50"/>
      <c r="K30" s="7"/>
      <c r="L30" s="1"/>
      <c r="M30" s="50"/>
      <c r="N30" s="7"/>
      <c r="P30" s="76"/>
      <c r="Q30" s="7"/>
      <c r="S30" s="76"/>
      <c r="T30" s="7"/>
    </row>
    <row r="31" spans="3:20" x14ac:dyDescent="0.25">
      <c r="C31" s="9" t="s">
        <v>66</v>
      </c>
      <c r="D31" s="8"/>
      <c r="E31" s="16">
        <f>F4</f>
        <v>325754.95000000007</v>
      </c>
      <c r="F31" s="16"/>
      <c r="G31" s="30"/>
      <c r="H31" s="7">
        <f>$AB31*G31</f>
        <v>0</v>
      </c>
      <c r="J31" s="50"/>
      <c r="K31" s="7"/>
      <c r="L31" s="1"/>
      <c r="M31" s="50"/>
      <c r="N31" s="7"/>
      <c r="P31" s="76">
        <v>4.53</v>
      </c>
      <c r="Q31" s="7">
        <f>E31*P31</f>
        <v>1475669.9235000005</v>
      </c>
      <c r="S31" s="76">
        <f>P31-$Q$117</f>
        <v>3.3003412467483266</v>
      </c>
      <c r="T31" s="7">
        <f>$E31*S31</f>
        <v>1075102.497817439</v>
      </c>
    </row>
    <row r="32" spans="3:20" x14ac:dyDescent="0.25">
      <c r="C32" s="9" t="s">
        <v>63</v>
      </c>
      <c r="D32" s="8"/>
      <c r="E32" s="16">
        <f>K4</f>
        <v>6034.8600000000006</v>
      </c>
      <c r="F32" s="16"/>
      <c r="G32" s="30"/>
      <c r="H32" s="7">
        <f>$AB32*G32</f>
        <v>0</v>
      </c>
      <c r="J32" s="50"/>
      <c r="K32" s="7"/>
      <c r="L32" s="1"/>
      <c r="M32" s="50"/>
      <c r="N32" s="7"/>
      <c r="P32" s="76">
        <v>4.53</v>
      </c>
      <c r="Q32" s="7">
        <f>E32*P32</f>
        <v>27337.915800000002</v>
      </c>
      <c r="S32" s="76">
        <f>P32-$Q$117</f>
        <v>3.3003412467483266</v>
      </c>
      <c r="T32" s="7">
        <f>$E32*S32</f>
        <v>19917.097376351609</v>
      </c>
    </row>
    <row r="33" spans="2:29" x14ac:dyDescent="0.25">
      <c r="C33" s="9"/>
      <c r="D33" s="8"/>
      <c r="E33" s="16"/>
      <c r="F33" s="16"/>
      <c r="G33" s="30"/>
      <c r="H33" s="7"/>
      <c r="J33" s="50"/>
      <c r="K33" s="7"/>
      <c r="L33" s="1"/>
      <c r="M33" s="50"/>
      <c r="N33" s="7"/>
      <c r="P33" s="9"/>
      <c r="Q33" s="7"/>
      <c r="S33" s="9"/>
      <c r="T33" s="7"/>
    </row>
    <row r="34" spans="2:29" x14ac:dyDescent="0.25">
      <c r="C34" s="9" t="s">
        <v>62</v>
      </c>
      <c r="D34" s="8"/>
      <c r="E34" s="16">
        <f>E4</f>
        <v>325754.95000000007</v>
      </c>
      <c r="F34" s="16"/>
      <c r="G34" s="30"/>
      <c r="H34" s="7">
        <f>$AB34*G34</f>
        <v>0</v>
      </c>
      <c r="J34" s="50"/>
      <c r="K34" s="7"/>
      <c r="L34" s="1"/>
      <c r="M34" s="50"/>
      <c r="N34" s="7"/>
      <c r="P34" s="76">
        <v>6.13</v>
      </c>
      <c r="Q34" s="7">
        <f>E34*P34</f>
        <v>1996877.8435000004</v>
      </c>
      <c r="S34" s="76">
        <f>P34-$Q$117</f>
        <v>4.9003412467483258</v>
      </c>
      <c r="T34" s="7">
        <f t="shared" ref="T34:T35" si="1">$E34*S34</f>
        <v>1596310.417817439</v>
      </c>
    </row>
    <row r="35" spans="2:29" x14ac:dyDescent="0.25">
      <c r="C35" s="9" t="s">
        <v>63</v>
      </c>
      <c r="D35" s="8"/>
      <c r="E35" s="16">
        <f>J4</f>
        <v>6034.86</v>
      </c>
      <c r="F35" s="16"/>
      <c r="G35" s="8"/>
      <c r="H35" s="7">
        <f>$AB35*G35</f>
        <v>0</v>
      </c>
      <c r="J35" s="50"/>
      <c r="K35" s="7"/>
      <c r="L35" s="1"/>
      <c r="M35" s="50"/>
      <c r="N35" s="7"/>
      <c r="P35" s="76">
        <v>6.13</v>
      </c>
      <c r="Q35" s="7">
        <f>E35*P35</f>
        <v>36993.691800000001</v>
      </c>
      <c r="S35" s="76">
        <f>P35-$Q$117</f>
        <v>4.9003412467483258</v>
      </c>
      <c r="T35" s="7">
        <f t="shared" si="1"/>
        <v>29572.873376351599</v>
      </c>
    </row>
    <row r="36" spans="2:29" x14ac:dyDescent="0.25">
      <c r="C36" s="9"/>
      <c r="D36" s="8"/>
      <c r="E36" s="8"/>
      <c r="F36" s="8"/>
      <c r="G36" s="8"/>
      <c r="H36" s="23"/>
      <c r="J36" s="87"/>
      <c r="K36" s="23"/>
      <c r="L36" s="1"/>
      <c r="M36" s="87"/>
      <c r="N36" s="23"/>
      <c r="P36" s="76"/>
      <c r="Q36" s="23"/>
      <c r="S36" s="76"/>
      <c r="T36" s="23"/>
    </row>
    <row r="37" spans="2:29" ht="15.75" thickBot="1" x14ac:dyDescent="0.3">
      <c r="C37" s="13" t="s">
        <v>64</v>
      </c>
      <c r="D37" s="29"/>
      <c r="E37" s="29"/>
      <c r="F37" s="29"/>
      <c r="G37" s="29"/>
      <c r="H37" s="5">
        <f>SUM(H17:H36)</f>
        <v>8230234.2952699997</v>
      </c>
      <c r="J37" s="52"/>
      <c r="K37" s="5">
        <f>SUM(K17:K36)</f>
        <v>9508926.8522599991</v>
      </c>
      <c r="L37" s="1"/>
      <c r="M37" s="52"/>
      <c r="N37" s="5">
        <f>SUM(N17:N36)</f>
        <v>8186882.843227122</v>
      </c>
      <c r="P37" s="52"/>
      <c r="Q37" s="5">
        <f>SUM(Q17:Q36)</f>
        <v>9128122.5390100013</v>
      </c>
      <c r="S37" s="52"/>
      <c r="T37" s="5">
        <f>SUM(T17:T36)</f>
        <v>8091035.266055922</v>
      </c>
    </row>
    <row r="38" spans="2:29" x14ac:dyDescent="0.25">
      <c r="C38" s="8"/>
      <c r="D38" s="8"/>
      <c r="E38" s="8"/>
      <c r="F38" s="8"/>
      <c r="G38" s="8"/>
      <c r="H38" s="6"/>
      <c r="J38" s="6"/>
      <c r="K38" s="6"/>
      <c r="L38" s="1"/>
      <c r="P38" s="6"/>
      <c r="Q38" s="6"/>
      <c r="S38" s="86"/>
    </row>
    <row r="39" spans="2:29" x14ac:dyDescent="0.25">
      <c r="C39" s="8"/>
      <c r="D39" s="8"/>
      <c r="E39" s="8"/>
      <c r="F39" s="8"/>
      <c r="G39" s="8"/>
      <c r="H39" s="6"/>
      <c r="J39" s="6"/>
      <c r="K39" s="6"/>
      <c r="L39" s="1"/>
      <c r="P39" s="6"/>
      <c r="Q39" s="6"/>
      <c r="S39" s="86"/>
    </row>
    <row r="40" spans="2:29" x14ac:dyDescent="0.25">
      <c r="C40" s="8"/>
      <c r="D40" s="8"/>
      <c r="E40" s="8"/>
      <c r="F40" s="8"/>
      <c r="G40" s="8"/>
      <c r="H40" s="6"/>
      <c r="J40" s="6"/>
      <c r="K40" s="6"/>
      <c r="L40" s="1"/>
      <c r="P40" s="6"/>
      <c r="Q40" s="6"/>
      <c r="S40" s="86"/>
    </row>
    <row r="41" spans="2:29" x14ac:dyDescent="0.25">
      <c r="C41" s="8"/>
      <c r="D41" s="8"/>
      <c r="E41" s="8"/>
      <c r="F41" s="8"/>
      <c r="G41" s="8"/>
      <c r="H41" s="6"/>
      <c r="J41" s="6"/>
      <c r="K41" s="6"/>
      <c r="L41" s="1"/>
      <c r="P41" s="6"/>
      <c r="Q41" s="6"/>
      <c r="S41" s="86"/>
    </row>
    <row r="42" spans="2:29" ht="15.75" thickBot="1" x14ac:dyDescent="0.3">
      <c r="Q42" s="8"/>
    </row>
    <row r="43" spans="2:29" ht="15.75" thickBot="1" x14ac:dyDescent="0.3">
      <c r="B43" t="s">
        <v>39</v>
      </c>
      <c r="C43" s="12"/>
      <c r="D43" s="85" t="s">
        <v>85</v>
      </c>
      <c r="E43" s="85" t="s">
        <v>86</v>
      </c>
      <c r="F43" s="85" t="s">
        <v>87</v>
      </c>
      <c r="G43" s="257" t="s">
        <v>43</v>
      </c>
      <c r="H43" s="258"/>
      <c r="J43" s="259" t="s">
        <v>39</v>
      </c>
      <c r="K43" s="258"/>
      <c r="M43" s="259" t="s">
        <v>39</v>
      </c>
      <c r="N43" s="258"/>
      <c r="P43" s="259" t="s">
        <v>38</v>
      </c>
      <c r="Q43" s="258"/>
      <c r="S43" s="259" t="s">
        <v>38</v>
      </c>
      <c r="T43" s="258"/>
      <c r="V43" s="231" t="s">
        <v>39</v>
      </c>
      <c r="W43" s="222" t="s">
        <v>85</v>
      </c>
      <c r="X43" s="222" t="s">
        <v>86</v>
      </c>
      <c r="Y43" s="222" t="s">
        <v>87</v>
      </c>
      <c r="Z43" s="261" t="s">
        <v>92</v>
      </c>
      <c r="AA43" s="261"/>
      <c r="AB43" s="261" t="s">
        <v>93</v>
      </c>
      <c r="AC43" s="261"/>
    </row>
    <row r="44" spans="2:29" x14ac:dyDescent="0.25">
      <c r="C44" s="9"/>
      <c r="D44" s="8"/>
      <c r="E44" s="8"/>
      <c r="F44" s="8"/>
      <c r="G44" s="8"/>
      <c r="H44" s="23"/>
      <c r="J44" s="9"/>
      <c r="K44" s="23"/>
      <c r="M44" s="9"/>
      <c r="N44" s="23"/>
      <c r="P44" s="9"/>
      <c r="Q44" s="23"/>
      <c r="S44" s="9"/>
      <c r="T44" s="23"/>
      <c r="V44" s="9"/>
      <c r="W44" s="8"/>
      <c r="X44" s="8"/>
      <c r="Y44" s="8"/>
      <c r="Z44" s="8"/>
      <c r="AA44" s="8"/>
      <c r="AB44" s="8"/>
      <c r="AC44" s="23"/>
    </row>
    <row r="45" spans="2:29" x14ac:dyDescent="0.25">
      <c r="C45" s="9" t="s">
        <v>58</v>
      </c>
      <c r="D45" s="16">
        <f>12*B6</f>
        <v>1476</v>
      </c>
      <c r="E45" s="8"/>
      <c r="F45" s="8"/>
      <c r="G45" s="33">
        <v>40</v>
      </c>
      <c r="H45" s="7">
        <f>D45*G45</f>
        <v>59040</v>
      </c>
      <c r="J45" s="50">
        <v>90</v>
      </c>
      <c r="K45" s="7">
        <f>$D45*J45</f>
        <v>132840</v>
      </c>
      <c r="L45" s="1"/>
      <c r="M45" s="50">
        <v>90</v>
      </c>
      <c r="N45" s="7">
        <f>$D45*M45</f>
        <v>132840</v>
      </c>
      <c r="P45" s="76">
        <v>200</v>
      </c>
      <c r="Q45" s="7">
        <f>$D45*P45</f>
        <v>295200</v>
      </c>
      <c r="S45" s="76">
        <v>200</v>
      </c>
      <c r="T45" s="7">
        <f>$D45*S45</f>
        <v>295200</v>
      </c>
      <c r="V45" s="9" t="s">
        <v>58</v>
      </c>
      <c r="W45" s="16">
        <v>1476</v>
      </c>
      <c r="X45" s="8"/>
      <c r="Y45" s="8"/>
      <c r="Z45" s="30">
        <v>90</v>
      </c>
      <c r="AA45" s="6">
        <f>W45*Z45</f>
        <v>132840</v>
      </c>
      <c r="AB45" s="30">
        <v>90</v>
      </c>
      <c r="AC45" s="7">
        <f>W45*AB45</f>
        <v>132840</v>
      </c>
    </row>
    <row r="46" spans="2:29" x14ac:dyDescent="0.25">
      <c r="C46" s="9"/>
      <c r="D46" s="8"/>
      <c r="E46" s="8"/>
      <c r="F46" s="8"/>
      <c r="G46" s="33"/>
      <c r="H46" s="7"/>
      <c r="J46" s="50"/>
      <c r="K46" s="7"/>
      <c r="L46" s="1"/>
      <c r="M46" s="50"/>
      <c r="N46" s="7"/>
      <c r="P46" s="76"/>
      <c r="Q46" s="7"/>
      <c r="S46" s="76"/>
      <c r="T46" s="7"/>
      <c r="V46" s="9"/>
      <c r="W46" s="8"/>
      <c r="X46" s="8"/>
      <c r="Y46" s="8"/>
      <c r="Z46" s="30"/>
      <c r="AA46" s="6"/>
      <c r="AB46" s="30"/>
      <c r="AC46" s="7"/>
    </row>
    <row r="47" spans="2:29" x14ac:dyDescent="0.25">
      <c r="C47" s="9" t="s">
        <v>46</v>
      </c>
      <c r="D47" s="8"/>
      <c r="E47" s="16"/>
      <c r="F47" s="16">
        <f>D6</f>
        <v>71429693</v>
      </c>
      <c r="G47" s="34">
        <v>8.3690000000000001E-2</v>
      </c>
      <c r="H47" s="7">
        <f>F47*G47</f>
        <v>5977951.0071700001</v>
      </c>
      <c r="J47" s="51">
        <v>3.5720000000000002E-2</v>
      </c>
      <c r="K47" s="7">
        <f>J47*$F47</f>
        <v>2551468.6339600002</v>
      </c>
      <c r="L47" s="1"/>
      <c r="M47" s="51">
        <v>3.5720000000000002E-2</v>
      </c>
      <c r="N47" s="7">
        <f>M47*$F47</f>
        <v>2551468.6339600002</v>
      </c>
      <c r="P47" s="80">
        <v>3.5270000000000003E-2</v>
      </c>
      <c r="Q47" s="7">
        <f>$F47*P47</f>
        <v>2519325.2721100003</v>
      </c>
      <c r="S47" s="80">
        <v>3.5270000000000003E-2</v>
      </c>
      <c r="T47" s="7">
        <f>$F47*S47</f>
        <v>2519325.2721100003</v>
      </c>
      <c r="V47" s="9" t="s">
        <v>46</v>
      </c>
      <c r="W47" s="8"/>
      <c r="X47" s="16"/>
      <c r="Y47" s="16">
        <v>71429693</v>
      </c>
      <c r="Z47" s="31">
        <v>3.5720000000000002E-2</v>
      </c>
      <c r="AA47" s="6">
        <f>Y47*Z47</f>
        <v>2551468.6339600002</v>
      </c>
      <c r="AB47" s="31">
        <v>3.5720000000000002E-2</v>
      </c>
      <c r="AC47" s="7">
        <f>Y47*AB47</f>
        <v>2551468.6339600002</v>
      </c>
    </row>
    <row r="48" spans="2:29" x14ac:dyDescent="0.25">
      <c r="C48" s="9"/>
      <c r="D48" s="8"/>
      <c r="E48" s="16"/>
      <c r="F48" s="16"/>
      <c r="G48" s="34"/>
      <c r="H48" s="7"/>
      <c r="J48" s="9"/>
      <c r="K48" s="7"/>
      <c r="L48" s="1"/>
      <c r="M48" s="9"/>
      <c r="N48" s="7"/>
      <c r="P48" s="51"/>
      <c r="Q48" s="7"/>
      <c r="S48" s="51"/>
      <c r="T48" s="7"/>
      <c r="V48" s="9"/>
      <c r="W48" s="8"/>
      <c r="X48" s="16"/>
      <c r="Y48" s="16"/>
      <c r="Z48" s="8"/>
      <c r="AA48" s="6"/>
      <c r="AB48" s="30"/>
      <c r="AC48" s="7"/>
    </row>
    <row r="49" spans="3:29" x14ac:dyDescent="0.25">
      <c r="C49" s="9" t="s">
        <v>59</v>
      </c>
      <c r="D49" s="8"/>
      <c r="E49" s="16">
        <f>H6</f>
        <v>106291.02000000002</v>
      </c>
      <c r="F49" s="16"/>
      <c r="G49" s="34"/>
      <c r="H49" s="7"/>
      <c r="J49" s="50">
        <v>19.05</v>
      </c>
      <c r="K49" s="7">
        <f>$E49*J49</f>
        <v>2024843.9310000003</v>
      </c>
      <c r="L49" s="1"/>
      <c r="M49" s="50">
        <f>J49-$K$117</f>
        <v>15.065417082782385</v>
      </c>
      <c r="N49" s="7">
        <f>$E49*M49</f>
        <v>1601318.5484543645</v>
      </c>
      <c r="P49" s="50"/>
      <c r="Q49" s="7">
        <f>H49*P49</f>
        <v>0</v>
      </c>
      <c r="S49" s="50"/>
      <c r="T49" s="7">
        <f>K49*S49</f>
        <v>0</v>
      </c>
      <c r="V49" s="9" t="s">
        <v>59</v>
      </c>
      <c r="W49" s="8"/>
      <c r="X49" s="16">
        <v>106291.02000000002</v>
      </c>
      <c r="Y49" s="16"/>
      <c r="Z49" s="30">
        <v>19.05</v>
      </c>
      <c r="AA49" s="6">
        <f>X49*Z49</f>
        <v>2024843.9310000003</v>
      </c>
      <c r="AB49" s="30">
        <v>15.065417082782385</v>
      </c>
      <c r="AC49" s="7">
        <f>X49*AB49</f>
        <v>1601318.5484543645</v>
      </c>
    </row>
    <row r="50" spans="3:29" x14ac:dyDescent="0.25">
      <c r="C50" s="9" t="s">
        <v>63</v>
      </c>
      <c r="D50" s="8"/>
      <c r="E50" s="16">
        <f>M6</f>
        <v>2090.4599999999996</v>
      </c>
      <c r="F50" s="16"/>
      <c r="G50" s="34"/>
      <c r="H50" s="7"/>
      <c r="J50" s="50">
        <v>19.05</v>
      </c>
      <c r="K50" s="7">
        <f>$E50*J50</f>
        <v>39823.262999999992</v>
      </c>
      <c r="L50" s="1"/>
      <c r="M50" s="50">
        <f>J50-$K$117</f>
        <v>15.065417082782385</v>
      </c>
      <c r="N50" s="7">
        <f>$E50*M50</f>
        <v>31493.651794873258</v>
      </c>
      <c r="P50" s="50"/>
      <c r="Q50" s="7">
        <f>H50*P50</f>
        <v>0</v>
      </c>
      <c r="S50" s="50"/>
      <c r="T50" s="7">
        <f>K50*S50</f>
        <v>0</v>
      </c>
      <c r="V50" s="9" t="s">
        <v>63</v>
      </c>
      <c r="W50" s="8"/>
      <c r="X50" s="16">
        <v>2090.4599999999996</v>
      </c>
      <c r="Y50" s="16"/>
      <c r="Z50" s="30">
        <v>19.05</v>
      </c>
      <c r="AA50" s="6">
        <f t="shared" ref="AA50:AA53" si="2">X50*Z50</f>
        <v>39823.262999999992</v>
      </c>
      <c r="AB50" s="30">
        <v>15.065417082782385</v>
      </c>
      <c r="AC50" s="7">
        <f t="shared" ref="AC50:AC53" si="3">X50*AB50</f>
        <v>31493.651794873258</v>
      </c>
    </row>
    <row r="51" spans="3:29" x14ac:dyDescent="0.25">
      <c r="C51" s="9"/>
      <c r="D51" s="8"/>
      <c r="E51" s="16"/>
      <c r="F51" s="16"/>
      <c r="G51" s="34"/>
      <c r="H51" s="7"/>
      <c r="J51" s="50"/>
      <c r="K51" s="7"/>
      <c r="L51" s="1"/>
      <c r="M51" s="50"/>
      <c r="N51" s="7"/>
      <c r="P51" s="50"/>
      <c r="Q51" s="7"/>
      <c r="S51" s="50"/>
      <c r="T51" s="7"/>
      <c r="V51" s="9"/>
      <c r="W51" s="8"/>
      <c r="X51" s="16"/>
      <c r="Y51" s="16"/>
      <c r="Z51" s="30"/>
      <c r="AA51" s="6">
        <f t="shared" si="2"/>
        <v>0</v>
      </c>
      <c r="AB51" s="30"/>
      <c r="AC51" s="7">
        <f t="shared" si="3"/>
        <v>0</v>
      </c>
    </row>
    <row r="52" spans="3:29" x14ac:dyDescent="0.25">
      <c r="C52" s="9" t="s">
        <v>60</v>
      </c>
      <c r="D52" s="8"/>
      <c r="E52" s="16">
        <f>I6</f>
        <v>149092.74000000002</v>
      </c>
      <c r="F52" s="16"/>
      <c r="G52" s="34"/>
      <c r="H52" s="7"/>
      <c r="J52" s="50">
        <v>16.95</v>
      </c>
      <c r="K52" s="7">
        <f>$E52*J52</f>
        <v>2527121.9430000004</v>
      </c>
      <c r="L52" s="1"/>
      <c r="M52" s="50">
        <f>J52-$K$117</f>
        <v>12.965417082782384</v>
      </c>
      <c r="N52" s="7">
        <f>$E52*M52</f>
        <v>1933049.5581148327</v>
      </c>
      <c r="P52" s="50"/>
      <c r="Q52" s="7">
        <f>H52*P52</f>
        <v>0</v>
      </c>
      <c r="S52" s="50"/>
      <c r="T52" s="7">
        <f>K52*S52</f>
        <v>0</v>
      </c>
      <c r="V52" s="9" t="s">
        <v>60</v>
      </c>
      <c r="W52" s="8"/>
      <c r="X52" s="16">
        <v>149092.74000000002</v>
      </c>
      <c r="Y52" s="16"/>
      <c r="Z52" s="30">
        <v>16.95</v>
      </c>
      <c r="AA52" s="6">
        <f t="shared" si="2"/>
        <v>2527121.9430000004</v>
      </c>
      <c r="AB52" s="30">
        <v>12.965417082782384</v>
      </c>
      <c r="AC52" s="7">
        <f t="shared" si="3"/>
        <v>1933049.5581148327</v>
      </c>
    </row>
    <row r="53" spans="3:29" x14ac:dyDescent="0.25">
      <c r="C53" s="9" t="s">
        <v>63</v>
      </c>
      <c r="D53" s="8"/>
      <c r="E53" s="16">
        <f>N6</f>
        <v>768.75499999999988</v>
      </c>
      <c r="F53" s="16"/>
      <c r="G53" s="34"/>
      <c r="H53" s="7"/>
      <c r="J53" s="50">
        <v>16.95</v>
      </c>
      <c r="K53" s="7">
        <f>$E53*J53</f>
        <v>13030.397249999998</v>
      </c>
      <c r="L53" s="1"/>
      <c r="M53" s="50">
        <f>J53-$K$117</f>
        <v>12.965417082782384</v>
      </c>
      <c r="N53" s="7">
        <f>$E53*M53</f>
        <v>9967.2292094743698</v>
      </c>
      <c r="P53" s="50"/>
      <c r="Q53" s="7">
        <f>H53*P53</f>
        <v>0</v>
      </c>
      <c r="S53" s="50"/>
      <c r="T53" s="7">
        <f>K53*S53</f>
        <v>0</v>
      </c>
      <c r="V53" s="9" t="s">
        <v>63</v>
      </c>
      <c r="W53" s="8"/>
      <c r="X53" s="16">
        <v>768.75499999999988</v>
      </c>
      <c r="Y53" s="16"/>
      <c r="Z53" s="30">
        <v>16.95</v>
      </c>
      <c r="AA53" s="6">
        <f t="shared" si="2"/>
        <v>13030.397249999998</v>
      </c>
      <c r="AB53" s="30">
        <v>12.965417082782384</v>
      </c>
      <c r="AC53" s="7">
        <f t="shared" si="3"/>
        <v>9967.2292094743698</v>
      </c>
    </row>
    <row r="54" spans="3:29" x14ac:dyDescent="0.25">
      <c r="C54" s="9"/>
      <c r="D54" s="8"/>
      <c r="E54" s="16"/>
      <c r="F54" s="16"/>
      <c r="G54" s="34"/>
      <c r="H54" s="7"/>
      <c r="J54" s="51"/>
      <c r="K54" s="7"/>
      <c r="L54" s="1"/>
      <c r="M54" s="51"/>
      <c r="N54" s="7"/>
      <c r="P54" s="51"/>
      <c r="Q54" s="7"/>
      <c r="S54" s="51"/>
      <c r="T54" s="7"/>
      <c r="V54" s="9"/>
      <c r="W54" s="8"/>
      <c r="X54" s="16"/>
      <c r="Y54" s="16"/>
      <c r="Z54" s="8"/>
      <c r="AA54" s="8"/>
      <c r="AB54" s="31"/>
      <c r="AC54" s="7"/>
    </row>
    <row r="55" spans="3:29" x14ac:dyDescent="0.25">
      <c r="C55" s="9" t="s">
        <v>61</v>
      </c>
      <c r="D55" s="8"/>
      <c r="E55" s="16">
        <f>G6</f>
        <v>250456.26</v>
      </c>
      <c r="F55" s="16"/>
      <c r="G55" s="30"/>
      <c r="H55" s="7">
        <f>$AB55*G55</f>
        <v>0</v>
      </c>
      <c r="J55" s="50"/>
      <c r="K55" s="7"/>
      <c r="L55" s="1"/>
      <c r="M55" s="50"/>
      <c r="N55" s="7"/>
      <c r="P55" s="76">
        <v>5.2</v>
      </c>
      <c r="Q55" s="7">
        <f>$E55*P55</f>
        <v>1302372.5520000001</v>
      </c>
      <c r="S55" s="76">
        <f>P55-$Q$117</f>
        <v>3.9703412467483266</v>
      </c>
      <c r="T55" s="7">
        <f>$E55*S55</f>
        <v>994396.81958432309</v>
      </c>
      <c r="V55" s="9" t="s">
        <v>61</v>
      </c>
      <c r="W55" s="8"/>
      <c r="X55" s="16">
        <v>250456.26</v>
      </c>
      <c r="Y55" s="16"/>
      <c r="Z55" s="8"/>
      <c r="AA55" s="8"/>
      <c r="AB55" s="30"/>
      <c r="AC55" s="7"/>
    </row>
    <row r="56" spans="3:29" x14ac:dyDescent="0.25">
      <c r="C56" s="9" t="s">
        <v>69</v>
      </c>
      <c r="D56" s="8"/>
      <c r="E56" s="16">
        <f>L6</f>
        <v>142782.66500000001</v>
      </c>
      <c r="F56" s="16"/>
      <c r="G56" s="30"/>
      <c r="H56" s="7">
        <f>$AB56*G56</f>
        <v>0</v>
      </c>
      <c r="J56" s="50"/>
      <c r="K56" s="7"/>
      <c r="L56" s="1"/>
      <c r="M56" s="50"/>
      <c r="N56" s="7"/>
      <c r="P56" s="76">
        <v>5.2</v>
      </c>
      <c r="Q56" s="7">
        <f>$E56*P56</f>
        <v>742469.85800000012</v>
      </c>
      <c r="S56" s="76">
        <f>P56-$Q$117</f>
        <v>3.9703412467483266</v>
      </c>
      <c r="T56" s="7">
        <f>$E56*S56</f>
        <v>566895.90417014866</v>
      </c>
      <c r="V56" s="9" t="s">
        <v>69</v>
      </c>
      <c r="W56" s="8"/>
      <c r="X56" s="16">
        <v>142782.66500000001</v>
      </c>
      <c r="Y56" s="16"/>
      <c r="Z56" s="8"/>
      <c r="AA56" s="8"/>
      <c r="AB56" s="30"/>
      <c r="AC56" s="7"/>
    </row>
    <row r="57" spans="3:29" x14ac:dyDescent="0.25">
      <c r="C57" s="9" t="s">
        <v>70</v>
      </c>
      <c r="D57" s="8"/>
      <c r="E57" s="16">
        <f>Q6</f>
        <v>167462.54</v>
      </c>
      <c r="F57" s="16"/>
      <c r="G57" s="30"/>
      <c r="H57" s="7"/>
      <c r="J57" s="50"/>
      <c r="K57" s="7"/>
      <c r="L57" s="1"/>
      <c r="M57" s="50"/>
      <c r="N57" s="7"/>
      <c r="P57" s="76">
        <v>5.2</v>
      </c>
      <c r="Q57" s="7"/>
      <c r="S57" s="76">
        <f>P57-$Q$117</f>
        <v>3.9703412467483266</v>
      </c>
      <c r="T57" s="7"/>
      <c r="V57" s="9" t="s">
        <v>70</v>
      </c>
      <c r="W57" s="8"/>
      <c r="X57" s="16">
        <v>167462.54</v>
      </c>
      <c r="Y57" s="16"/>
      <c r="Z57" s="8"/>
      <c r="AA57" s="8"/>
      <c r="AB57" s="30"/>
      <c r="AC57" s="7"/>
    </row>
    <row r="58" spans="3:29" x14ac:dyDescent="0.25">
      <c r="C58" s="9"/>
      <c r="D58" s="8"/>
      <c r="E58" s="16"/>
      <c r="F58" s="16"/>
      <c r="G58" s="30"/>
      <c r="H58" s="7"/>
      <c r="J58" s="50"/>
      <c r="K58" s="7"/>
      <c r="L58" s="1"/>
      <c r="M58" s="50"/>
      <c r="N58" s="7"/>
      <c r="P58" s="76"/>
      <c r="Q58" s="7"/>
      <c r="S58" s="76"/>
      <c r="T58" s="7"/>
      <c r="V58" s="9"/>
      <c r="W58" s="8"/>
      <c r="X58" s="16"/>
      <c r="Y58" s="16"/>
      <c r="Z58" s="8"/>
      <c r="AA58" s="8"/>
      <c r="AB58" s="30"/>
      <c r="AC58" s="7"/>
    </row>
    <row r="59" spans="3:29" x14ac:dyDescent="0.25">
      <c r="C59" s="9" t="s">
        <v>66</v>
      </c>
      <c r="D59" s="8"/>
      <c r="E59" s="16">
        <f>F6</f>
        <v>255591.66</v>
      </c>
      <c r="F59" s="16"/>
      <c r="G59" s="30"/>
      <c r="H59" s="7">
        <f>$AB59*G59</f>
        <v>0</v>
      </c>
      <c r="J59" s="50"/>
      <c r="K59" s="7"/>
      <c r="L59" s="1"/>
      <c r="M59" s="50"/>
      <c r="N59" s="7"/>
      <c r="P59" s="76">
        <v>4.53</v>
      </c>
      <c r="Q59" s="7">
        <f>$E59*P59</f>
        <v>1157830.2198000001</v>
      </c>
      <c r="S59" s="76">
        <f>P59-$Q$117</f>
        <v>3.3003412467483266</v>
      </c>
      <c r="T59" s="7">
        <f>$E59*S59</f>
        <v>843539.69782287441</v>
      </c>
      <c r="V59" s="9" t="s">
        <v>66</v>
      </c>
      <c r="W59" s="8"/>
      <c r="X59" s="16">
        <v>255591.66</v>
      </c>
      <c r="Y59" s="16"/>
      <c r="Z59" s="8"/>
      <c r="AA59" s="8"/>
      <c r="AB59" s="30"/>
      <c r="AC59" s="7"/>
    </row>
    <row r="60" spans="3:29" x14ac:dyDescent="0.25">
      <c r="C60" s="9" t="s">
        <v>63</v>
      </c>
      <c r="D60" s="8"/>
      <c r="E60" s="16">
        <f>K6</f>
        <v>2859.2149999999997</v>
      </c>
      <c r="F60" s="16"/>
      <c r="G60" s="30"/>
      <c r="H60" s="7">
        <f>$AB60*G60</f>
        <v>0</v>
      </c>
      <c r="J60" s="50"/>
      <c r="K60" s="7"/>
      <c r="L60" s="1"/>
      <c r="M60" s="50"/>
      <c r="N60" s="7"/>
      <c r="P60" s="76">
        <v>4.53</v>
      </c>
      <c r="Q60" s="7">
        <f>$E60*P60</f>
        <v>12952.24395</v>
      </c>
      <c r="S60" s="76">
        <f>P60-$Q$117</f>
        <v>3.3003412467483266</v>
      </c>
      <c r="T60" s="7">
        <f>$E60*S60</f>
        <v>9436.3851978215152</v>
      </c>
      <c r="V60" s="9" t="s">
        <v>63</v>
      </c>
      <c r="W60" s="8"/>
      <c r="X60" s="16">
        <v>2859.2149999999997</v>
      </c>
      <c r="Y60" s="16"/>
      <c r="Z60" s="8"/>
      <c r="AA60" s="8"/>
      <c r="AB60" s="30"/>
      <c r="AC60" s="7"/>
    </row>
    <row r="61" spans="3:29" x14ac:dyDescent="0.25">
      <c r="C61" s="9"/>
      <c r="D61" s="8"/>
      <c r="E61" s="16"/>
      <c r="F61" s="16"/>
      <c r="G61" s="30"/>
      <c r="H61" s="7"/>
      <c r="J61" s="50"/>
      <c r="K61" s="7"/>
      <c r="L61" s="1"/>
      <c r="M61" s="50"/>
      <c r="N61" s="7"/>
      <c r="P61" s="9"/>
      <c r="Q61" s="7"/>
      <c r="S61" s="9"/>
      <c r="T61" s="7"/>
      <c r="V61" s="9"/>
      <c r="W61" s="8"/>
      <c r="X61" s="16"/>
      <c r="Y61" s="16"/>
      <c r="Z61" s="8"/>
      <c r="AA61" s="8"/>
      <c r="AB61" s="30"/>
      <c r="AC61" s="7"/>
    </row>
    <row r="62" spans="3:29" x14ac:dyDescent="0.25">
      <c r="C62" s="9" t="s">
        <v>62</v>
      </c>
      <c r="D62" s="8"/>
      <c r="E62" s="16">
        <f>E6</f>
        <v>255383.76</v>
      </c>
      <c r="F62" s="16"/>
      <c r="G62" s="30"/>
      <c r="H62" s="7">
        <f>$AB62*G62</f>
        <v>0</v>
      </c>
      <c r="J62" s="50"/>
      <c r="K62" s="7"/>
      <c r="L62" s="1"/>
      <c r="M62" s="50"/>
      <c r="N62" s="7"/>
      <c r="P62" s="76">
        <v>6.13</v>
      </c>
      <c r="Q62" s="7">
        <f>$E62*P62</f>
        <v>1565502.4488000001</v>
      </c>
      <c r="S62" s="76">
        <f>P62-$Q$117</f>
        <v>4.9003412467483258</v>
      </c>
      <c r="T62" s="7">
        <f t="shared" ref="T62:T63" si="4">$E62*S62</f>
        <v>1251467.5728776753</v>
      </c>
      <c r="V62" s="9" t="s">
        <v>62</v>
      </c>
      <c r="W62" s="8"/>
      <c r="X62" s="16">
        <v>255383.76</v>
      </c>
      <c r="Y62" s="16"/>
      <c r="Z62" s="8"/>
      <c r="AA62" s="8"/>
      <c r="AB62" s="30"/>
      <c r="AC62" s="7"/>
    </row>
    <row r="63" spans="3:29" x14ac:dyDescent="0.25">
      <c r="C63" s="9" t="s">
        <v>63</v>
      </c>
      <c r="D63" s="8"/>
      <c r="E63" s="16">
        <f>J6</f>
        <v>2859.2150000000001</v>
      </c>
      <c r="F63" s="16"/>
      <c r="G63" s="8"/>
      <c r="H63" s="7">
        <f>$AB63*G63</f>
        <v>0</v>
      </c>
      <c r="J63" s="50"/>
      <c r="K63" s="7"/>
      <c r="L63" s="1"/>
      <c r="M63" s="50"/>
      <c r="N63" s="7"/>
      <c r="P63" s="76">
        <v>6.13</v>
      </c>
      <c r="Q63" s="7">
        <f>$E63*P63</f>
        <v>17526.987949999999</v>
      </c>
      <c r="S63" s="76">
        <f>P63-$Q$117</f>
        <v>4.9003412467483258</v>
      </c>
      <c r="T63" s="7">
        <f t="shared" si="4"/>
        <v>14011.129197821516</v>
      </c>
      <c r="V63" s="9" t="s">
        <v>63</v>
      </c>
      <c r="W63" s="8"/>
      <c r="X63" s="16">
        <v>2859.2150000000001</v>
      </c>
      <c r="Y63" s="16"/>
      <c r="Z63" s="8"/>
      <c r="AA63" s="8"/>
      <c r="AB63" s="30"/>
      <c r="AC63" s="7"/>
    </row>
    <row r="64" spans="3:29" x14ac:dyDescent="0.25">
      <c r="C64" s="9"/>
      <c r="D64" s="8"/>
      <c r="E64" s="8"/>
      <c r="F64" s="8"/>
      <c r="G64" s="8"/>
      <c r="H64" s="23"/>
      <c r="J64" s="87"/>
      <c r="K64" s="23"/>
      <c r="L64" s="1"/>
      <c r="M64" s="87"/>
      <c r="N64" s="23"/>
      <c r="P64" s="76"/>
      <c r="Q64" s="23"/>
      <c r="S64" s="76"/>
      <c r="T64" s="23"/>
      <c r="V64" s="9"/>
      <c r="W64" s="8"/>
      <c r="X64" s="8"/>
      <c r="Y64" s="8"/>
      <c r="Z64" s="8"/>
      <c r="AA64" s="8"/>
      <c r="AB64" s="6"/>
      <c r="AC64" s="23"/>
    </row>
    <row r="65" spans="2:31" ht="15.75" thickBot="1" x14ac:dyDescent="0.3">
      <c r="C65" s="13" t="s">
        <v>64</v>
      </c>
      <c r="D65" s="29"/>
      <c r="E65" s="29"/>
      <c r="F65" s="29"/>
      <c r="G65" s="29"/>
      <c r="H65" s="5">
        <f>SUM(H45:H64)</f>
        <v>6036991.0071700001</v>
      </c>
      <c r="J65" s="52"/>
      <c r="K65" s="5">
        <f>SUM(K45:K64)</f>
        <v>7289128.1682100017</v>
      </c>
      <c r="L65" s="1"/>
      <c r="M65" s="52"/>
      <c r="N65" s="5">
        <f>SUM(N45:N64)</f>
        <v>6260137.6215335457</v>
      </c>
      <c r="P65" s="52"/>
      <c r="Q65" s="5">
        <f>SUM(Q45:Q64)</f>
        <v>7613179.5826100009</v>
      </c>
      <c r="S65" s="52"/>
      <c r="T65" s="5">
        <f>SUM(T45:T64)</f>
        <v>6494272.7809606651</v>
      </c>
      <c r="V65" s="13" t="s">
        <v>64</v>
      </c>
      <c r="W65" s="29"/>
      <c r="X65" s="29"/>
      <c r="Y65" s="29"/>
      <c r="Z65" s="29"/>
      <c r="AA65" s="223">
        <f>SUM(AA45:AA64)</f>
        <v>7289128.1682100017</v>
      </c>
      <c r="AB65" s="223"/>
      <c r="AC65" s="5">
        <f>SUM(AC45:AC64)</f>
        <v>6260137.6215335457</v>
      </c>
      <c r="AE65" s="1">
        <f>AA65-AC65</f>
        <v>1028990.546676456</v>
      </c>
    </row>
    <row r="66" spans="2:31" ht="15.75" thickBot="1" x14ac:dyDescent="0.3">
      <c r="C66" s="8"/>
      <c r="D66" s="8"/>
      <c r="E66" s="8"/>
      <c r="F66" s="8"/>
      <c r="G66" s="8"/>
      <c r="H66" s="6"/>
      <c r="J66" s="6"/>
      <c r="K66" s="6"/>
      <c r="L66" s="1"/>
      <c r="O66" s="1">
        <f>K65-N65</f>
        <v>1028990.546676456</v>
      </c>
      <c r="Q66" s="6"/>
      <c r="S66" s="86"/>
      <c r="U66" s="1">
        <f>Q65-T65</f>
        <v>1118906.8016493358</v>
      </c>
    </row>
    <row r="67" spans="2:31" ht="15.75" thickBot="1" x14ac:dyDescent="0.3">
      <c r="B67" t="s">
        <v>38</v>
      </c>
      <c r="C67" s="12"/>
      <c r="D67" s="85" t="s">
        <v>85</v>
      </c>
      <c r="E67" s="85" t="s">
        <v>86</v>
      </c>
      <c r="F67" s="85" t="s">
        <v>87</v>
      </c>
      <c r="G67" s="257" t="s">
        <v>43</v>
      </c>
      <c r="H67" s="258"/>
      <c r="J67" s="259" t="s">
        <v>39</v>
      </c>
      <c r="K67" s="258"/>
      <c r="M67" s="259" t="s">
        <v>39</v>
      </c>
      <c r="N67" s="258"/>
      <c r="P67" s="259" t="s">
        <v>38</v>
      </c>
      <c r="Q67" s="258"/>
      <c r="S67" s="259" t="s">
        <v>38</v>
      </c>
      <c r="T67" s="258"/>
      <c r="V67" s="231" t="s">
        <v>38</v>
      </c>
      <c r="W67" s="222" t="s">
        <v>85</v>
      </c>
      <c r="X67" s="222" t="s">
        <v>86</v>
      </c>
      <c r="Y67" s="222" t="s">
        <v>87</v>
      </c>
      <c r="Z67" s="262" t="s">
        <v>92</v>
      </c>
      <c r="AA67" s="263"/>
      <c r="AB67" s="262" t="s">
        <v>93</v>
      </c>
      <c r="AC67" s="263"/>
    </row>
    <row r="68" spans="2:31" x14ac:dyDescent="0.25">
      <c r="C68" s="9"/>
      <c r="D68" s="8"/>
      <c r="E68" s="8"/>
      <c r="F68" s="8"/>
      <c r="G68" s="8"/>
      <c r="H68" s="23"/>
      <c r="J68" s="9"/>
      <c r="K68" s="23"/>
      <c r="M68" s="9"/>
      <c r="N68" s="23"/>
      <c r="P68" s="9"/>
      <c r="Q68" s="23"/>
      <c r="S68" s="9"/>
      <c r="T68" s="23"/>
      <c r="V68" s="9"/>
      <c r="W68" s="8"/>
      <c r="X68" s="8"/>
      <c r="Y68" s="8"/>
      <c r="Z68" s="8"/>
      <c r="AA68" s="8"/>
      <c r="AB68" s="8"/>
      <c r="AC68" s="23"/>
    </row>
    <row r="69" spans="2:31" x14ac:dyDescent="0.25">
      <c r="C69" s="9" t="s">
        <v>58</v>
      </c>
      <c r="D69" s="16">
        <f>12*B8</f>
        <v>996</v>
      </c>
      <c r="E69" s="8"/>
      <c r="F69" s="8"/>
      <c r="G69" s="33">
        <v>40</v>
      </c>
      <c r="H69" s="7">
        <f>D69*G69</f>
        <v>39840</v>
      </c>
      <c r="J69" s="50">
        <v>90</v>
      </c>
      <c r="K69" s="7">
        <f>$D69*J69</f>
        <v>89640</v>
      </c>
      <c r="L69" s="1"/>
      <c r="M69" s="50">
        <v>90</v>
      </c>
      <c r="N69" s="7">
        <f>$D69*M69</f>
        <v>89640</v>
      </c>
      <c r="P69" s="76">
        <v>200</v>
      </c>
      <c r="Q69" s="7">
        <f>$D69*P69</f>
        <v>199200</v>
      </c>
      <c r="S69" s="76">
        <v>200</v>
      </c>
      <c r="T69" s="7">
        <f>$D69*S69</f>
        <v>199200</v>
      </c>
      <c r="V69" s="9" t="s">
        <v>58</v>
      </c>
      <c r="W69" s="16">
        <v>996</v>
      </c>
      <c r="X69" s="8"/>
      <c r="Y69" s="8"/>
      <c r="Z69" s="30">
        <v>200</v>
      </c>
      <c r="AA69" s="6">
        <f>W69*Z69</f>
        <v>199200</v>
      </c>
      <c r="AB69" s="33">
        <v>200</v>
      </c>
      <c r="AC69" s="7">
        <f>W69*AB69</f>
        <v>199200</v>
      </c>
    </row>
    <row r="70" spans="2:31" x14ac:dyDescent="0.25">
      <c r="C70" s="9"/>
      <c r="D70" s="8"/>
      <c r="E70" s="8"/>
      <c r="F70" s="8"/>
      <c r="G70" s="33"/>
      <c r="H70" s="7"/>
      <c r="J70" s="50"/>
      <c r="K70" s="7"/>
      <c r="L70" s="1"/>
      <c r="M70" s="50"/>
      <c r="N70" s="7"/>
      <c r="P70" s="76"/>
      <c r="Q70" s="7"/>
      <c r="S70" s="76"/>
      <c r="T70" s="7"/>
      <c r="V70" s="9"/>
      <c r="W70" s="8"/>
      <c r="X70" s="8"/>
      <c r="Y70" s="8"/>
      <c r="Z70" s="8"/>
      <c r="AA70" s="6"/>
      <c r="AB70" s="33"/>
      <c r="AC70" s="7"/>
    </row>
    <row r="71" spans="2:31" x14ac:dyDescent="0.25">
      <c r="C71" s="9" t="s">
        <v>46</v>
      </c>
      <c r="D71" s="8"/>
      <c r="E71" s="16"/>
      <c r="F71" s="16">
        <f>D8</f>
        <v>120872157.249</v>
      </c>
      <c r="G71" s="34">
        <v>8.3690000000000001E-2</v>
      </c>
      <c r="H71" s="7">
        <f>F71*G71</f>
        <v>10115790.84016881</v>
      </c>
      <c r="J71" s="51">
        <v>3.5720000000000002E-2</v>
      </c>
      <c r="K71" s="7">
        <f>J71*$F71</f>
        <v>4317553.4569342798</v>
      </c>
      <c r="L71" s="1"/>
      <c r="M71" s="51">
        <v>3.5720000000000002E-2</v>
      </c>
      <c r="N71" s="7">
        <f>M71*$F71</f>
        <v>4317553.4569342798</v>
      </c>
      <c r="P71" s="80">
        <v>3.5270000000000003E-2</v>
      </c>
      <c r="Q71" s="7">
        <f>$F71*P71</f>
        <v>4263160.98617223</v>
      </c>
      <c r="S71" s="80">
        <v>3.5270000000000003E-2</v>
      </c>
      <c r="T71" s="7">
        <f>$F71*S71</f>
        <v>4263160.98617223</v>
      </c>
      <c r="V71" s="9" t="s">
        <v>46</v>
      </c>
      <c r="W71" s="8"/>
      <c r="X71" s="16"/>
      <c r="Y71" s="16">
        <v>120872157.249</v>
      </c>
      <c r="Z71" s="31">
        <v>3.5270000000000003E-2</v>
      </c>
      <c r="AA71" s="6">
        <f>Y71*Z71</f>
        <v>4263160.98617223</v>
      </c>
      <c r="AB71" s="34">
        <v>3.5270000000000003E-2</v>
      </c>
      <c r="AC71" s="7">
        <f>Y71*AB71</f>
        <v>4263160.98617223</v>
      </c>
    </row>
    <row r="72" spans="2:31" x14ac:dyDescent="0.25">
      <c r="C72" s="9"/>
      <c r="D72" s="8"/>
      <c r="E72" s="16"/>
      <c r="F72" s="16"/>
      <c r="G72" s="34"/>
      <c r="H72" s="7"/>
      <c r="J72" s="9"/>
      <c r="K72" s="7"/>
      <c r="L72" s="1"/>
      <c r="M72" s="9"/>
      <c r="N72" s="7"/>
      <c r="P72" s="51"/>
      <c r="Q72" s="7"/>
      <c r="S72" s="51"/>
      <c r="T72" s="7"/>
      <c r="V72" s="9"/>
      <c r="W72" s="8"/>
      <c r="X72" s="16"/>
      <c r="Y72" s="16"/>
      <c r="Z72" s="8"/>
      <c r="AA72" s="6"/>
      <c r="AB72" s="31"/>
      <c r="AC72" s="23"/>
    </row>
    <row r="73" spans="2:31" x14ac:dyDescent="0.25">
      <c r="C73" s="9" t="s">
        <v>59</v>
      </c>
      <c r="D73" s="8"/>
      <c r="E73" s="16">
        <f>H8</f>
        <v>155190.25644999999</v>
      </c>
      <c r="F73" s="16"/>
      <c r="G73" s="34"/>
      <c r="H73" s="7"/>
      <c r="J73" s="50">
        <v>19.05</v>
      </c>
      <c r="K73" s="7">
        <f>$E73*J73</f>
        <v>2956374.3853724999</v>
      </c>
      <c r="L73" s="1"/>
      <c r="M73" s="50">
        <f>J73-$K$117</f>
        <v>15.065417082782385</v>
      </c>
      <c r="N73" s="7">
        <f>$E73*M73</f>
        <v>2338005.9406032092</v>
      </c>
      <c r="P73" s="50"/>
      <c r="Q73" s="7">
        <f>$E73*P73</f>
        <v>0</v>
      </c>
      <c r="S73" s="50"/>
      <c r="T73" s="7">
        <f>K73*S73</f>
        <v>0</v>
      </c>
      <c r="V73" s="9" t="s">
        <v>59</v>
      </c>
      <c r="W73" s="8"/>
      <c r="X73" s="16">
        <v>155190.25644999999</v>
      </c>
      <c r="Y73" s="16"/>
      <c r="Z73" s="8"/>
      <c r="AA73" s="6"/>
      <c r="AB73" s="30"/>
      <c r="AC73" s="23"/>
    </row>
    <row r="74" spans="2:31" x14ac:dyDescent="0.25">
      <c r="C74" s="9" t="s">
        <v>63</v>
      </c>
      <c r="D74" s="8"/>
      <c r="E74" s="16">
        <f>M8</f>
        <v>1919.8</v>
      </c>
      <c r="F74" s="16"/>
      <c r="G74" s="34"/>
      <c r="H74" s="7"/>
      <c r="J74" s="50">
        <v>19.05</v>
      </c>
      <c r="K74" s="7">
        <f>$E74*J74</f>
        <v>36572.19</v>
      </c>
      <c r="L74" s="1"/>
      <c r="M74" s="50">
        <f>J74-$K$117</f>
        <v>15.065417082782385</v>
      </c>
      <c r="N74" s="7">
        <f>$E74*M74</f>
        <v>28922.587715525624</v>
      </c>
      <c r="P74" s="50"/>
      <c r="Q74" s="7">
        <f>$E74*P74</f>
        <v>0</v>
      </c>
      <c r="S74" s="50"/>
      <c r="T74" s="7">
        <f>K74*S74</f>
        <v>0</v>
      </c>
      <c r="V74" s="9" t="s">
        <v>63</v>
      </c>
      <c r="W74" s="8"/>
      <c r="X74" s="16">
        <v>1919.8</v>
      </c>
      <c r="Y74" s="16"/>
      <c r="Z74" s="8"/>
      <c r="AA74" s="6"/>
      <c r="AB74" s="30"/>
      <c r="AC74" s="23"/>
    </row>
    <row r="75" spans="2:31" x14ac:dyDescent="0.25">
      <c r="C75" s="9"/>
      <c r="D75" s="8"/>
      <c r="E75" s="16"/>
      <c r="F75" s="16"/>
      <c r="G75" s="34"/>
      <c r="H75" s="7"/>
      <c r="J75" s="50"/>
      <c r="K75" s="7"/>
      <c r="L75" s="1"/>
      <c r="M75" s="50"/>
      <c r="N75" s="7"/>
      <c r="P75" s="50"/>
      <c r="Q75" s="7"/>
      <c r="S75" s="50"/>
      <c r="T75" s="7"/>
      <c r="V75" s="9"/>
      <c r="W75" s="8"/>
      <c r="X75" s="16"/>
      <c r="Y75" s="16"/>
      <c r="Z75" s="8"/>
      <c r="AA75" s="6"/>
      <c r="AB75" s="30"/>
      <c r="AC75" s="23"/>
    </row>
    <row r="76" spans="2:31" x14ac:dyDescent="0.25">
      <c r="C76" s="9" t="s">
        <v>60</v>
      </c>
      <c r="D76" s="8"/>
      <c r="E76" s="16">
        <f>I8</f>
        <v>224370.83502</v>
      </c>
      <c r="F76" s="16"/>
      <c r="G76" s="34"/>
      <c r="H76" s="7"/>
      <c r="J76" s="50">
        <v>16.95</v>
      </c>
      <c r="K76" s="7">
        <f>$E76*J76</f>
        <v>3803085.653589</v>
      </c>
      <c r="L76" s="1"/>
      <c r="M76" s="50">
        <f>J76-$K$117</f>
        <v>12.965417082782384</v>
      </c>
      <c r="N76" s="7">
        <f>$E76*M76</f>
        <v>2909061.4572464558</v>
      </c>
      <c r="P76" s="50"/>
      <c r="Q76" s="7">
        <f>$E76*P76</f>
        <v>0</v>
      </c>
      <c r="S76" s="50"/>
      <c r="T76" s="7">
        <f>K76*S76</f>
        <v>0</v>
      </c>
      <c r="V76" s="9" t="s">
        <v>60</v>
      </c>
      <c r="W76" s="8"/>
      <c r="X76" s="16">
        <v>224370.83502</v>
      </c>
      <c r="Y76" s="16"/>
      <c r="Z76" s="8"/>
      <c r="AA76" s="6"/>
      <c r="AB76" s="30"/>
      <c r="AC76" s="23"/>
    </row>
    <row r="77" spans="2:31" x14ac:dyDescent="0.25">
      <c r="C77" s="9" t="s">
        <v>63</v>
      </c>
      <c r="D77" s="8"/>
      <c r="E77" s="16">
        <f>N8</f>
        <v>242.73806000000002</v>
      </c>
      <c r="F77" s="16"/>
      <c r="G77" s="34"/>
      <c r="H77" s="7"/>
      <c r="J77" s="50">
        <v>16.95</v>
      </c>
      <c r="K77" s="7">
        <f>$E77*J77</f>
        <v>4114.4101170000004</v>
      </c>
      <c r="L77" s="1"/>
      <c r="M77" s="50">
        <f>J77-$K$117</f>
        <v>12.965417082782384</v>
      </c>
      <c r="N77" s="7">
        <f>$E77*M77</f>
        <v>3147.2001897654554</v>
      </c>
      <c r="P77" s="50"/>
      <c r="Q77" s="7">
        <f>$E77*P77</f>
        <v>0</v>
      </c>
      <c r="S77" s="50"/>
      <c r="T77" s="7">
        <f>K77*S77</f>
        <v>0</v>
      </c>
      <c r="V77" s="9" t="s">
        <v>63</v>
      </c>
      <c r="W77" s="8"/>
      <c r="X77" s="16">
        <v>242.73806000000002</v>
      </c>
      <c r="Y77" s="16"/>
      <c r="Z77" s="8"/>
      <c r="AA77" s="6"/>
      <c r="AB77" s="30"/>
      <c r="AC77" s="23"/>
    </row>
    <row r="78" spans="2:31" x14ac:dyDescent="0.25">
      <c r="C78" s="9"/>
      <c r="D78" s="8"/>
      <c r="E78" s="16"/>
      <c r="F78" s="16"/>
      <c r="G78" s="34"/>
      <c r="H78" s="7"/>
      <c r="J78" s="51"/>
      <c r="K78" s="7"/>
      <c r="L78" s="1"/>
      <c r="M78" s="51"/>
      <c r="N78" s="7"/>
      <c r="P78" s="51"/>
      <c r="Q78" s="7"/>
      <c r="S78" s="51"/>
      <c r="T78" s="7"/>
      <c r="V78" s="9"/>
      <c r="W78" s="8"/>
      <c r="X78" s="16"/>
      <c r="Y78" s="16"/>
      <c r="Z78" s="8"/>
      <c r="AA78" s="6"/>
      <c r="AB78" s="31"/>
      <c r="AC78" s="23"/>
    </row>
    <row r="79" spans="2:31" x14ac:dyDescent="0.25">
      <c r="C79" s="9" t="s">
        <v>61</v>
      </c>
      <c r="D79" s="8"/>
      <c r="E79" s="16">
        <f>G8</f>
        <v>382412.49147000001</v>
      </c>
      <c r="F79" s="16"/>
      <c r="G79" s="30"/>
      <c r="H79" s="7">
        <f>$AB77*G79</f>
        <v>0</v>
      </c>
      <c r="J79" s="50"/>
      <c r="K79" s="7"/>
      <c r="L79" s="1"/>
      <c r="M79" s="50"/>
      <c r="N79" s="7"/>
      <c r="P79" s="76">
        <v>5.2</v>
      </c>
      <c r="Q79" s="7">
        <f>$E79*P79</f>
        <v>1988544.9556440001</v>
      </c>
      <c r="S79" s="76">
        <f>P79-$Q$117</f>
        <v>3.9703412467483266</v>
      </c>
      <c r="T79" s="7">
        <f>$E79*S79</f>
        <v>1518308.0881551336</v>
      </c>
      <c r="V79" s="9" t="s">
        <v>61</v>
      </c>
      <c r="W79" s="8"/>
      <c r="X79" s="16">
        <v>382412.49147000001</v>
      </c>
      <c r="Y79" s="16"/>
      <c r="Z79" s="30">
        <v>5.2</v>
      </c>
      <c r="AA79" s="6">
        <f>X79*Z79</f>
        <v>1988544.9556440001</v>
      </c>
      <c r="AB79" s="33">
        <v>3.9703412467483266</v>
      </c>
      <c r="AC79" s="7">
        <f>X79*AB79</f>
        <v>1518308.0881551336</v>
      </c>
    </row>
    <row r="80" spans="2:31" x14ac:dyDescent="0.25">
      <c r="C80" s="9" t="s">
        <v>69</v>
      </c>
      <c r="D80" s="8"/>
      <c r="E80" s="16">
        <f>L8</f>
        <v>15917.638779999999</v>
      </c>
      <c r="F80" s="16"/>
      <c r="G80" s="30"/>
      <c r="H80" s="7">
        <f>$AB78*G80</f>
        <v>0</v>
      </c>
      <c r="J80" s="50"/>
      <c r="K80" s="7"/>
      <c r="L80" s="1"/>
      <c r="M80" s="50"/>
      <c r="N80" s="7"/>
      <c r="P80" s="76">
        <v>5.2</v>
      </c>
      <c r="Q80" s="7">
        <f>$E80*P80</f>
        <v>82771.721655999994</v>
      </c>
      <c r="S80" s="76">
        <f>P80-$Q$117</f>
        <v>3.9703412467483266</v>
      </c>
      <c r="T80" s="7">
        <f>$E80*S80</f>
        <v>63198.457799074706</v>
      </c>
      <c r="V80" s="9" t="s">
        <v>69</v>
      </c>
      <c r="W80" s="8"/>
      <c r="X80" s="16">
        <v>15917.638779999999</v>
      </c>
      <c r="Y80" s="16"/>
      <c r="Z80" s="30">
        <v>5.2</v>
      </c>
      <c r="AA80" s="6">
        <f t="shared" ref="AA80:AA87" si="5">X80*Z80</f>
        <v>82771.721655999994</v>
      </c>
      <c r="AB80" s="33">
        <v>3.9703412467483266</v>
      </c>
      <c r="AC80" s="7">
        <f t="shared" ref="AC80:AC87" si="6">X80*AB80</f>
        <v>63198.457799074706</v>
      </c>
    </row>
    <row r="81" spans="2:31" x14ac:dyDescent="0.25">
      <c r="C81" s="9" t="s">
        <v>70</v>
      </c>
      <c r="D81" s="8"/>
      <c r="E81" s="16">
        <f>Q8</f>
        <v>96949.406329999998</v>
      </c>
      <c r="F81" s="16"/>
      <c r="G81" s="30"/>
      <c r="H81" s="7"/>
      <c r="J81" s="50"/>
      <c r="K81" s="7"/>
      <c r="L81" s="1"/>
      <c r="M81" s="50"/>
      <c r="N81" s="7"/>
      <c r="P81" s="76">
        <v>5.2</v>
      </c>
      <c r="Q81" s="7"/>
      <c r="S81" s="76">
        <f>P81-$Q$117</f>
        <v>3.9703412467483266</v>
      </c>
      <c r="T81" s="7"/>
      <c r="V81" s="9" t="s">
        <v>70</v>
      </c>
      <c r="W81" s="8"/>
      <c r="X81" s="16">
        <v>96949.406329999998</v>
      </c>
      <c r="Y81" s="16"/>
      <c r="Z81" s="30">
        <v>5.2</v>
      </c>
      <c r="AA81" s="6"/>
      <c r="AB81" s="33">
        <v>3.9703412467483266</v>
      </c>
      <c r="AC81" s="7"/>
    </row>
    <row r="82" spans="2:31" x14ac:dyDescent="0.25">
      <c r="C82" s="9"/>
      <c r="D82" s="8"/>
      <c r="E82" s="16"/>
      <c r="F82" s="16"/>
      <c r="G82" s="30"/>
      <c r="H82" s="7"/>
      <c r="J82" s="50"/>
      <c r="K82" s="7"/>
      <c r="L82" s="1"/>
      <c r="M82" s="50"/>
      <c r="N82" s="7"/>
      <c r="P82" s="76"/>
      <c r="Q82" s="7"/>
      <c r="S82" s="76"/>
      <c r="T82" s="7"/>
      <c r="V82" s="9"/>
      <c r="W82" s="8"/>
      <c r="X82" s="16"/>
      <c r="Y82" s="16"/>
      <c r="Z82" s="30"/>
      <c r="AA82" s="6"/>
      <c r="AB82" s="33"/>
      <c r="AC82" s="7"/>
    </row>
    <row r="83" spans="2:31" x14ac:dyDescent="0.25">
      <c r="C83" s="9" t="s">
        <v>66</v>
      </c>
      <c r="D83" s="8"/>
      <c r="E83" s="16">
        <f>F8</f>
        <v>381585.49147000001</v>
      </c>
      <c r="F83" s="16"/>
      <c r="G83" s="30"/>
      <c r="H83" s="7">
        <f>$AB81*G83</f>
        <v>0</v>
      </c>
      <c r="J83" s="50"/>
      <c r="K83" s="7"/>
      <c r="L83" s="1"/>
      <c r="M83" s="50"/>
      <c r="N83" s="7"/>
      <c r="P83" s="76">
        <v>4.53</v>
      </c>
      <c r="Q83" s="7">
        <f>$E83*P83</f>
        <v>1728582.2763591001</v>
      </c>
      <c r="S83" s="76">
        <f>P83-$Q$117</f>
        <v>3.3003412467483266</v>
      </c>
      <c r="T83" s="7">
        <f>$E83*S83</f>
        <v>1259362.3366591728</v>
      </c>
      <c r="V83" s="9" t="s">
        <v>66</v>
      </c>
      <c r="W83" s="8"/>
      <c r="X83" s="16">
        <v>381585.49147000001</v>
      </c>
      <c r="Y83" s="16"/>
      <c r="Z83" s="30">
        <v>4.53</v>
      </c>
      <c r="AA83" s="6">
        <f t="shared" si="5"/>
        <v>1728582.2763591001</v>
      </c>
      <c r="AB83" s="33">
        <v>3.3003412467483266</v>
      </c>
      <c r="AC83" s="7">
        <f t="shared" si="6"/>
        <v>1259362.3366591728</v>
      </c>
    </row>
    <row r="84" spans="2:31" x14ac:dyDescent="0.25">
      <c r="C84" s="9" t="s">
        <v>63</v>
      </c>
      <c r="D84" s="8"/>
      <c r="E84" s="16">
        <f>K8</f>
        <v>2174.0380600000003</v>
      </c>
      <c r="F84" s="16"/>
      <c r="G84" s="30"/>
      <c r="H84" s="7">
        <f>$AB82*G84</f>
        <v>0</v>
      </c>
      <c r="J84" s="50"/>
      <c r="K84" s="7"/>
      <c r="L84" s="1"/>
      <c r="M84" s="50"/>
      <c r="N84" s="7"/>
      <c r="P84" s="76">
        <v>4.53</v>
      </c>
      <c r="Q84" s="7">
        <f>$E84*P84</f>
        <v>9848.3924118000014</v>
      </c>
      <c r="S84" s="76">
        <f>P84-$Q$117</f>
        <v>3.3003412467483266</v>
      </c>
      <c r="T84" s="7">
        <f>$E84*S84</f>
        <v>7175.0674814187141</v>
      </c>
      <c r="V84" s="9" t="s">
        <v>63</v>
      </c>
      <c r="W84" s="8"/>
      <c r="X84" s="16">
        <v>2174.0380600000003</v>
      </c>
      <c r="Y84" s="16"/>
      <c r="Z84" s="30">
        <v>4.53</v>
      </c>
      <c r="AA84" s="6">
        <f t="shared" si="5"/>
        <v>9848.3924118000014</v>
      </c>
      <c r="AB84" s="33">
        <v>3.3003412467483266</v>
      </c>
      <c r="AC84" s="7">
        <f t="shared" si="6"/>
        <v>7175.0674814187141</v>
      </c>
    </row>
    <row r="85" spans="2:31" x14ac:dyDescent="0.25">
      <c r="C85" s="9"/>
      <c r="D85" s="8"/>
      <c r="E85" s="16"/>
      <c r="F85" s="16"/>
      <c r="G85" s="30"/>
      <c r="H85" s="7"/>
      <c r="J85" s="50"/>
      <c r="K85" s="7"/>
      <c r="L85" s="1"/>
      <c r="M85" s="50"/>
      <c r="N85" s="7"/>
      <c r="P85" s="9"/>
      <c r="Q85" s="7"/>
      <c r="S85" s="9"/>
      <c r="T85" s="7"/>
      <c r="V85" s="9"/>
      <c r="W85" s="8"/>
      <c r="X85" s="16"/>
      <c r="Y85" s="16"/>
      <c r="Z85" s="30"/>
      <c r="AA85" s="6"/>
      <c r="AB85" s="8"/>
      <c r="AC85" s="7">
        <f t="shared" si="6"/>
        <v>0</v>
      </c>
    </row>
    <row r="86" spans="2:31" x14ac:dyDescent="0.25">
      <c r="C86" s="9" t="s">
        <v>62</v>
      </c>
      <c r="D86" s="8"/>
      <c r="E86" s="16">
        <f>E8</f>
        <v>379561.09147000004</v>
      </c>
      <c r="F86" s="16"/>
      <c r="G86" s="30"/>
      <c r="H86" s="7">
        <f>$AB84*G86</f>
        <v>0</v>
      </c>
      <c r="J86" s="50"/>
      <c r="K86" s="7"/>
      <c r="L86" s="1"/>
      <c r="M86" s="50"/>
      <c r="N86" s="7"/>
      <c r="P86" s="76">
        <v>6.13</v>
      </c>
      <c r="Q86" s="7">
        <f>$E86*P86</f>
        <v>2326709.4907111004</v>
      </c>
      <c r="S86" s="76">
        <f>P86-$Q$117</f>
        <v>4.9003412467483258</v>
      </c>
      <c r="T86" s="7">
        <f>$E86*S86</f>
        <v>1859978.8721912554</v>
      </c>
      <c r="V86" s="9" t="s">
        <v>62</v>
      </c>
      <c r="W86" s="8"/>
      <c r="X86" s="16">
        <v>379561.09147000004</v>
      </c>
      <c r="Y86" s="16"/>
      <c r="Z86" s="30">
        <v>6.13</v>
      </c>
      <c r="AA86" s="6">
        <f t="shared" si="5"/>
        <v>2326709.4907111004</v>
      </c>
      <c r="AB86" s="33">
        <v>4.9003412467483258</v>
      </c>
      <c r="AC86" s="7">
        <f t="shared" si="6"/>
        <v>1859978.8721912554</v>
      </c>
    </row>
    <row r="87" spans="2:31" x14ac:dyDescent="0.25">
      <c r="C87" s="9" t="s">
        <v>63</v>
      </c>
      <c r="D87" s="8"/>
      <c r="E87" s="16">
        <f>J8</f>
        <v>2162.5380600000003</v>
      </c>
      <c r="F87" s="16"/>
      <c r="G87" s="8"/>
      <c r="H87" s="7">
        <f>$AB85*G87</f>
        <v>0</v>
      </c>
      <c r="J87" s="50"/>
      <c r="K87" s="7"/>
      <c r="L87" s="1"/>
      <c r="M87" s="50"/>
      <c r="N87" s="7"/>
      <c r="P87" s="76">
        <v>6.13</v>
      </c>
      <c r="Q87" s="7">
        <f>$E87*P87</f>
        <v>13256.358307800001</v>
      </c>
      <c r="S87" s="76">
        <f>P87-$Q$117</f>
        <v>4.9003412467483258</v>
      </c>
      <c r="T87" s="7">
        <f>$E87*S87</f>
        <v>10597.174453081107</v>
      </c>
      <c r="V87" s="9" t="s">
        <v>63</v>
      </c>
      <c r="W87" s="8"/>
      <c r="X87" s="16">
        <v>2162.5380600000003</v>
      </c>
      <c r="Y87" s="16"/>
      <c r="Z87" s="30">
        <v>6.13</v>
      </c>
      <c r="AA87" s="6">
        <f t="shared" si="5"/>
        <v>13256.358307800001</v>
      </c>
      <c r="AB87" s="33">
        <v>4.9003412467483258</v>
      </c>
      <c r="AC87" s="7">
        <f t="shared" si="6"/>
        <v>10597.174453081107</v>
      </c>
    </row>
    <row r="88" spans="2:31" x14ac:dyDescent="0.25">
      <c r="C88" s="9"/>
      <c r="D88" s="8"/>
      <c r="E88" s="8"/>
      <c r="F88" s="8"/>
      <c r="G88" s="8"/>
      <c r="H88" s="23"/>
      <c r="J88" s="87"/>
      <c r="K88" s="23"/>
      <c r="L88" s="1"/>
      <c r="M88" s="87"/>
      <c r="N88" s="23"/>
      <c r="P88" s="76"/>
      <c r="Q88" s="23"/>
      <c r="S88" s="76"/>
      <c r="T88" s="23"/>
      <c r="V88" s="9"/>
      <c r="W88" s="8"/>
      <c r="X88" s="8"/>
      <c r="Y88" s="8"/>
      <c r="Z88" s="8"/>
      <c r="AA88" s="6"/>
      <c r="AB88" s="8"/>
      <c r="AC88" s="23"/>
    </row>
    <row r="89" spans="2:31" ht="15.75" thickBot="1" x14ac:dyDescent="0.3">
      <c r="C89" s="13" t="s">
        <v>64</v>
      </c>
      <c r="D89" s="29"/>
      <c r="E89" s="29"/>
      <c r="F89" s="29"/>
      <c r="G89" s="29"/>
      <c r="H89" s="5">
        <f>SUM(H69:H88)</f>
        <v>10155630.84016881</v>
      </c>
      <c r="J89" s="52"/>
      <c r="K89" s="5">
        <f>SUM(K69:K88)</f>
        <v>11207340.09601278</v>
      </c>
      <c r="L89" s="1"/>
      <c r="M89" s="52"/>
      <c r="N89" s="5">
        <f>SUM(N69:N88)</f>
        <v>9686330.6426892355</v>
      </c>
      <c r="P89" s="52"/>
      <c r="Q89" s="5">
        <f>SUM(Q69:Q88)</f>
        <v>10612074.181262029</v>
      </c>
      <c r="S89" s="52"/>
      <c r="T89" s="5">
        <f>SUM(T69:T88)</f>
        <v>9180980.982911367</v>
      </c>
      <c r="V89" s="13" t="s">
        <v>64</v>
      </c>
      <c r="W89" s="29"/>
      <c r="X89" s="29"/>
      <c r="Y89" s="29"/>
      <c r="Z89" s="29"/>
      <c r="AA89" s="223">
        <f>SUM(AA69:AA88)</f>
        <v>10612074.181262029</v>
      </c>
      <c r="AB89" s="29"/>
      <c r="AC89" s="5">
        <f>SUM(AC69:AC88)</f>
        <v>9180980.982911367</v>
      </c>
      <c r="AE89" s="1">
        <f>AA89-AC89</f>
        <v>1431093.1983506624</v>
      </c>
    </row>
    <row r="90" spans="2:31" ht="15.75" thickBot="1" x14ac:dyDescent="0.3">
      <c r="U90" s="1">
        <f>Q89-T89</f>
        <v>1431093.1983506624</v>
      </c>
    </row>
    <row r="91" spans="2:31" x14ac:dyDescent="0.25">
      <c r="B91" s="260" t="s">
        <v>88</v>
      </c>
      <c r="C91" s="12"/>
      <c r="D91" s="85" t="s">
        <v>85</v>
      </c>
      <c r="E91" s="85" t="s">
        <v>86</v>
      </c>
      <c r="F91" s="85" t="s">
        <v>87</v>
      </c>
      <c r="G91" s="257" t="s">
        <v>43</v>
      </c>
      <c r="H91" s="258"/>
      <c r="J91" s="259" t="s">
        <v>39</v>
      </c>
      <c r="K91" s="258"/>
      <c r="M91" s="259" t="s">
        <v>39</v>
      </c>
      <c r="N91" s="258"/>
      <c r="P91" s="259" t="s">
        <v>38</v>
      </c>
      <c r="Q91" s="258"/>
      <c r="S91" s="259" t="s">
        <v>38</v>
      </c>
      <c r="T91" s="258"/>
    </row>
    <row r="92" spans="2:31" x14ac:dyDescent="0.25">
      <c r="B92" s="260"/>
      <c r="C92" s="9"/>
      <c r="D92" s="8"/>
      <c r="E92" s="8"/>
      <c r="F92" s="8"/>
      <c r="G92" s="8"/>
      <c r="H92" s="23"/>
      <c r="J92" s="9"/>
      <c r="K92" s="23"/>
      <c r="M92" s="9"/>
      <c r="N92" s="23"/>
      <c r="P92" s="9"/>
      <c r="Q92" s="23"/>
      <c r="S92" s="9"/>
      <c r="T92" s="23"/>
      <c r="AE92" s="1">
        <f>AE65+AE89</f>
        <v>2460083.7450271184</v>
      </c>
    </row>
    <row r="93" spans="2:31" x14ac:dyDescent="0.25">
      <c r="C93" s="9" t="s">
        <v>58</v>
      </c>
      <c r="D93" s="16">
        <f>D45+D69</f>
        <v>2472</v>
      </c>
      <c r="E93" s="8"/>
      <c r="F93" s="8"/>
      <c r="G93" s="33">
        <v>40</v>
      </c>
      <c r="H93" s="7">
        <f>D93*G93</f>
        <v>98880</v>
      </c>
      <c r="J93" s="50">
        <v>90</v>
      </c>
      <c r="K93" s="7">
        <f>$D$93*J93</f>
        <v>222480</v>
      </c>
      <c r="L93" s="1"/>
      <c r="M93" s="50">
        <v>90</v>
      </c>
      <c r="N93" s="7">
        <f>$D$93*J93</f>
        <v>222480</v>
      </c>
      <c r="P93" s="76">
        <v>200</v>
      </c>
      <c r="Q93" s="7">
        <f>$D93*P93</f>
        <v>494400</v>
      </c>
      <c r="S93" s="76">
        <v>200</v>
      </c>
      <c r="T93" s="7">
        <f>$D93*S93</f>
        <v>494400</v>
      </c>
    </row>
    <row r="94" spans="2:31" x14ac:dyDescent="0.25">
      <c r="C94" s="9"/>
      <c r="D94" s="8"/>
      <c r="E94" s="8"/>
      <c r="F94" s="8"/>
      <c r="G94" s="33"/>
      <c r="H94" s="7"/>
      <c r="J94" s="50"/>
      <c r="K94" s="7"/>
      <c r="L94" s="1"/>
      <c r="M94" s="50"/>
      <c r="N94" s="7"/>
      <c r="P94" s="76"/>
      <c r="Q94" s="7"/>
      <c r="S94" s="76"/>
      <c r="T94" s="7"/>
    </row>
    <row r="95" spans="2:31" x14ac:dyDescent="0.25">
      <c r="C95" s="9" t="s">
        <v>46</v>
      </c>
      <c r="D95" s="8"/>
      <c r="E95" s="16"/>
      <c r="F95" s="16">
        <f>F47+F71</f>
        <v>192301850.24900001</v>
      </c>
      <c r="G95" s="34">
        <v>8.3690000000000001E-2</v>
      </c>
      <c r="H95" s="7">
        <f>F95*G95</f>
        <v>16093741.847338811</v>
      </c>
      <c r="J95" s="51">
        <v>3.5720000000000002E-2</v>
      </c>
      <c r="K95" s="7">
        <f>J$95*$F$95</f>
        <v>6869022.0908942809</v>
      </c>
      <c r="L95" s="1"/>
      <c r="M95" s="51">
        <v>3.5720000000000002E-2</v>
      </c>
      <c r="N95" s="7">
        <f>M$95*$F$95</f>
        <v>6869022.0908942809</v>
      </c>
      <c r="P95" s="80">
        <v>3.5270000000000003E-2</v>
      </c>
      <c r="Q95" s="7">
        <f>$F95*P95</f>
        <v>6782486.2582822312</v>
      </c>
      <c r="S95" s="80">
        <v>3.5270000000000003E-2</v>
      </c>
      <c r="T95" s="7">
        <f>$F95*S95</f>
        <v>6782486.2582822312</v>
      </c>
    </row>
    <row r="96" spans="2:31" x14ac:dyDescent="0.25">
      <c r="C96" s="9"/>
      <c r="D96" s="8"/>
      <c r="E96" s="16"/>
      <c r="F96" s="16"/>
      <c r="G96" s="34"/>
      <c r="H96" s="7"/>
      <c r="J96" s="9"/>
      <c r="K96" s="7"/>
      <c r="L96" s="1"/>
      <c r="M96" s="9"/>
      <c r="N96" s="7"/>
      <c r="P96" s="51"/>
      <c r="Q96" s="7"/>
      <c r="S96" s="51"/>
      <c r="T96" s="7"/>
    </row>
    <row r="97" spans="3:20" x14ac:dyDescent="0.25">
      <c r="C97" s="9" t="s">
        <v>59</v>
      </c>
      <c r="D97" s="8"/>
      <c r="E97" s="16">
        <f>E49+E73</f>
        <v>261481.27645</v>
      </c>
      <c r="F97" s="16"/>
      <c r="G97" s="34"/>
      <c r="H97" s="7"/>
      <c r="J97" s="50">
        <v>19.05</v>
      </c>
      <c r="K97" s="7">
        <f>$E$97*J97</f>
        <v>4981218.3163725007</v>
      </c>
      <c r="L97" s="1"/>
      <c r="M97" s="50">
        <f>J97-$K$117</f>
        <v>15.065417082782385</v>
      </c>
      <c r="N97" s="7">
        <f>$E$97*M97</f>
        <v>3939324.4890575735</v>
      </c>
      <c r="P97" s="50"/>
      <c r="Q97" s="7">
        <f>H97*P97</f>
        <v>0</v>
      </c>
      <c r="S97" s="50"/>
      <c r="T97" s="7">
        <f>K97*S97</f>
        <v>0</v>
      </c>
    </row>
    <row r="98" spans="3:20" x14ac:dyDescent="0.25">
      <c r="C98" s="9" t="s">
        <v>63</v>
      </c>
      <c r="D98" s="8"/>
      <c r="E98" s="16">
        <f t="shared" ref="E98:E111" si="7">E50+E74</f>
        <v>4010.2599999999993</v>
      </c>
      <c r="F98" s="16"/>
      <c r="G98" s="34"/>
      <c r="H98" s="7"/>
      <c r="J98" s="50">
        <v>19.05</v>
      </c>
      <c r="K98" s="7">
        <f>$E$98*J98</f>
        <v>76395.452999999994</v>
      </c>
      <c r="L98" s="1"/>
      <c r="M98" s="50">
        <f>J98-$K$117</f>
        <v>15.065417082782385</v>
      </c>
      <c r="N98" s="7">
        <f>$E$98*M98</f>
        <v>60416.239510398882</v>
      </c>
      <c r="P98" s="50"/>
      <c r="Q98" s="7">
        <f>H98*P98</f>
        <v>0</v>
      </c>
      <c r="S98" s="50"/>
      <c r="T98" s="7">
        <f>K98*S98</f>
        <v>0</v>
      </c>
    </row>
    <row r="99" spans="3:20" x14ac:dyDescent="0.25">
      <c r="C99" s="9"/>
      <c r="D99" s="8"/>
      <c r="E99" s="16"/>
      <c r="F99" s="16"/>
      <c r="G99" s="34"/>
      <c r="H99" s="7"/>
      <c r="J99" s="50"/>
      <c r="K99" s="7"/>
      <c r="L99" s="1"/>
      <c r="M99" s="50"/>
      <c r="N99" s="7"/>
      <c r="P99" s="50"/>
      <c r="Q99" s="7"/>
      <c r="S99" s="50"/>
      <c r="T99" s="7"/>
    </row>
    <row r="100" spans="3:20" x14ac:dyDescent="0.25">
      <c r="C100" s="9" t="s">
        <v>60</v>
      </c>
      <c r="D100" s="8"/>
      <c r="E100" s="16">
        <f t="shared" si="7"/>
        <v>373463.57501999999</v>
      </c>
      <c r="F100" s="16"/>
      <c r="G100" s="34"/>
      <c r="H100" s="7"/>
      <c r="J100" s="50">
        <v>16.95</v>
      </c>
      <c r="K100" s="7">
        <f>$E$100*J100</f>
        <v>6330207.596589</v>
      </c>
      <c r="L100" s="1"/>
      <c r="M100" s="50">
        <f>J100-$K$117</f>
        <v>12.965417082782384</v>
      </c>
      <c r="N100" s="7">
        <f>$E$100*M100</f>
        <v>4842111.0153612886</v>
      </c>
      <c r="P100" s="50"/>
      <c r="Q100" s="7">
        <f>H100*P100</f>
        <v>0</v>
      </c>
      <c r="S100" s="50"/>
      <c r="T100" s="7">
        <f>K100*S100</f>
        <v>0</v>
      </c>
    </row>
    <row r="101" spans="3:20" x14ac:dyDescent="0.25">
      <c r="C101" s="9" t="s">
        <v>63</v>
      </c>
      <c r="D101" s="8"/>
      <c r="E101" s="16">
        <f t="shared" si="7"/>
        <v>1011.4930599999999</v>
      </c>
      <c r="F101" s="16"/>
      <c r="G101" s="34"/>
      <c r="H101" s="7"/>
      <c r="J101" s="50">
        <v>16.95</v>
      </c>
      <c r="K101" s="7">
        <f>$E$101*J101</f>
        <v>17144.807366999998</v>
      </c>
      <c r="L101" s="1"/>
      <c r="M101" s="50">
        <f>J101-$K$117</f>
        <v>12.965417082782384</v>
      </c>
      <c r="N101" s="7">
        <f>$E$101*M101</f>
        <v>13114.429399239825</v>
      </c>
      <c r="P101" s="50"/>
      <c r="Q101" s="7">
        <f>H101*P101</f>
        <v>0</v>
      </c>
      <c r="S101" s="50"/>
      <c r="T101" s="7">
        <f>K101*S101</f>
        <v>0</v>
      </c>
    </row>
    <row r="102" spans="3:20" x14ac:dyDescent="0.25">
      <c r="C102" s="9"/>
      <c r="D102" s="8"/>
      <c r="E102" s="16"/>
      <c r="F102" s="16"/>
      <c r="G102" s="34"/>
      <c r="H102" s="7"/>
      <c r="J102" s="51"/>
      <c r="K102" s="7"/>
      <c r="L102" s="1"/>
      <c r="M102" s="51"/>
      <c r="N102" s="7"/>
      <c r="P102" s="51"/>
      <c r="Q102" s="7"/>
      <c r="S102" s="51"/>
      <c r="T102" s="7"/>
    </row>
    <row r="103" spans="3:20" x14ac:dyDescent="0.25">
      <c r="C103" s="9" t="s">
        <v>61</v>
      </c>
      <c r="D103" s="8"/>
      <c r="E103" s="16">
        <f t="shared" si="7"/>
        <v>632868.75147000002</v>
      </c>
      <c r="F103" s="16"/>
      <c r="G103" s="30"/>
      <c r="H103" s="7">
        <f>$AB103*G103</f>
        <v>0</v>
      </c>
      <c r="J103" s="50"/>
      <c r="K103" s="7"/>
      <c r="L103" s="1"/>
      <c r="M103" s="50"/>
      <c r="N103" s="7"/>
      <c r="P103" s="76">
        <v>5.2</v>
      </c>
      <c r="Q103" s="7">
        <f>$E103*P103</f>
        <v>3290917.507644</v>
      </c>
      <c r="S103" s="76">
        <f>P103-$Q$117</f>
        <v>3.9703412467483266</v>
      </c>
      <c r="T103" s="7">
        <f>$E103*S103</f>
        <v>2512704.9077394567</v>
      </c>
    </row>
    <row r="104" spans="3:20" x14ac:dyDescent="0.25">
      <c r="C104" s="9" t="s">
        <v>69</v>
      </c>
      <c r="D104" s="8"/>
      <c r="E104" s="16">
        <f t="shared" si="7"/>
        <v>158700.30378000002</v>
      </c>
      <c r="F104" s="16"/>
      <c r="G104" s="30"/>
      <c r="H104" s="7">
        <f>$AB104*G104</f>
        <v>0</v>
      </c>
      <c r="J104" s="50"/>
      <c r="K104" s="7"/>
      <c r="L104" s="1"/>
      <c r="M104" s="50"/>
      <c r="N104" s="7"/>
      <c r="P104" s="76">
        <v>5.2</v>
      </c>
      <c r="Q104" s="7">
        <f>$E104*P104</f>
        <v>825241.57965600013</v>
      </c>
      <c r="S104" s="76">
        <f>P104-$Q$117</f>
        <v>3.9703412467483266</v>
      </c>
      <c r="T104" s="7">
        <f>$E104*S104</f>
        <v>630094.36196922348</v>
      </c>
    </row>
    <row r="105" spans="3:20" x14ac:dyDescent="0.25">
      <c r="C105" s="9" t="s">
        <v>70</v>
      </c>
      <c r="D105" s="8"/>
      <c r="E105" s="16">
        <f t="shared" si="7"/>
        <v>264411.94633000001</v>
      </c>
      <c r="F105" s="16"/>
      <c r="G105" s="30"/>
      <c r="H105" s="7"/>
      <c r="J105" s="50"/>
      <c r="K105" s="7"/>
      <c r="L105" s="1"/>
      <c r="M105" s="50"/>
      <c r="N105" s="7"/>
      <c r="P105" s="76">
        <v>5.2</v>
      </c>
      <c r="Q105" s="7"/>
      <c r="S105" s="76">
        <f>P105-$Q$117</f>
        <v>3.9703412467483266</v>
      </c>
      <c r="T105" s="7"/>
    </row>
    <row r="106" spans="3:20" x14ac:dyDescent="0.25">
      <c r="C106" s="9"/>
      <c r="D106" s="8"/>
      <c r="E106" s="16"/>
      <c r="F106" s="16"/>
      <c r="G106" s="30"/>
      <c r="H106" s="7"/>
      <c r="J106" s="50"/>
      <c r="K106" s="7"/>
      <c r="L106" s="1"/>
      <c r="M106" s="50"/>
      <c r="N106" s="7"/>
      <c r="P106" s="76"/>
      <c r="Q106" s="7"/>
      <c r="S106" s="76"/>
      <c r="T106" s="7"/>
    </row>
    <row r="107" spans="3:20" x14ac:dyDescent="0.25">
      <c r="C107" s="9" t="s">
        <v>66</v>
      </c>
      <c r="D107" s="8"/>
      <c r="E107" s="16">
        <f t="shared" si="7"/>
        <v>637177.15147000004</v>
      </c>
      <c r="F107" s="16"/>
      <c r="G107" s="30"/>
      <c r="H107" s="7">
        <f>$AB107*G107</f>
        <v>0</v>
      </c>
      <c r="J107" s="50"/>
      <c r="K107" s="7"/>
      <c r="L107" s="1"/>
      <c r="M107" s="50"/>
      <c r="N107" s="7"/>
      <c r="P107" s="76">
        <v>4.53</v>
      </c>
      <c r="Q107" s="7">
        <f>$E107*P107</f>
        <v>2886412.4961591004</v>
      </c>
      <c r="S107" s="76">
        <f>P107-$Q$117</f>
        <v>3.3003412467483266</v>
      </c>
      <c r="T107" s="7">
        <f>$E107*S107</f>
        <v>2102902.0344820474</v>
      </c>
    </row>
    <row r="108" spans="3:20" x14ac:dyDescent="0.25">
      <c r="C108" s="9" t="s">
        <v>63</v>
      </c>
      <c r="D108" s="8"/>
      <c r="E108" s="16">
        <f t="shared" si="7"/>
        <v>5033.25306</v>
      </c>
      <c r="F108" s="16"/>
      <c r="G108" s="30"/>
      <c r="H108" s="7">
        <f>$AB108*G108</f>
        <v>0</v>
      </c>
      <c r="J108" s="50"/>
      <c r="K108" s="7"/>
      <c r="L108" s="1"/>
      <c r="M108" s="50"/>
      <c r="N108" s="7"/>
      <c r="P108" s="76">
        <v>4.53</v>
      </c>
      <c r="Q108" s="7">
        <f>$E108*P108</f>
        <v>22800.6363618</v>
      </c>
      <c r="S108" s="76">
        <f>P108-$Q$117</f>
        <v>3.3003412467483266</v>
      </c>
      <c r="T108" s="7">
        <f>$E108*S108</f>
        <v>16611.452679240228</v>
      </c>
    </row>
    <row r="109" spans="3:20" x14ac:dyDescent="0.25">
      <c r="C109" s="9"/>
      <c r="D109" s="8"/>
      <c r="E109" s="16"/>
      <c r="F109" s="16"/>
      <c r="G109" s="30"/>
      <c r="H109" s="7"/>
      <c r="J109" s="50"/>
      <c r="K109" s="7"/>
      <c r="L109" s="1"/>
      <c r="M109" s="50"/>
      <c r="N109" s="7"/>
      <c r="P109" s="9"/>
      <c r="Q109" s="7"/>
      <c r="S109" s="9"/>
      <c r="T109" s="7"/>
    </row>
    <row r="110" spans="3:20" x14ac:dyDescent="0.25">
      <c r="C110" s="9" t="s">
        <v>62</v>
      </c>
      <c r="D110" s="8"/>
      <c r="E110" s="16">
        <f t="shared" si="7"/>
        <v>634944.85147000011</v>
      </c>
      <c r="F110" s="16"/>
      <c r="G110" s="30"/>
      <c r="H110" s="7">
        <f>$AB110*G110</f>
        <v>0</v>
      </c>
      <c r="J110" s="50"/>
      <c r="K110" s="7"/>
      <c r="L110" s="1"/>
      <c r="M110" s="50"/>
      <c r="N110" s="7"/>
      <c r="P110" s="76">
        <v>6.13</v>
      </c>
      <c r="Q110" s="7">
        <f>$E110*P110</f>
        <v>3892211.9395111008</v>
      </c>
      <c r="S110" s="76">
        <f>P110-$Q$117</f>
        <v>4.9003412467483258</v>
      </c>
      <c r="T110" s="7">
        <f>$E110*S110</f>
        <v>3111446.4450689307</v>
      </c>
    </row>
    <row r="111" spans="3:20" x14ac:dyDescent="0.25">
      <c r="C111" s="9" t="s">
        <v>63</v>
      </c>
      <c r="D111" s="8"/>
      <c r="E111" s="16">
        <f t="shared" si="7"/>
        <v>5021.7530600000009</v>
      </c>
      <c r="F111" s="16"/>
      <c r="G111" s="8"/>
      <c r="H111" s="7">
        <f>$AB111*G111</f>
        <v>0</v>
      </c>
      <c r="J111" s="50"/>
      <c r="K111" s="7"/>
      <c r="L111" s="1"/>
      <c r="M111" s="50"/>
      <c r="N111" s="7"/>
      <c r="P111" s="76">
        <v>6.13</v>
      </c>
      <c r="Q111" s="7">
        <f>$E111*P111</f>
        <v>30783.346257800004</v>
      </c>
      <c r="S111" s="76">
        <f>P111-$Q$117</f>
        <v>4.9003412467483258</v>
      </c>
      <c r="T111" s="7">
        <f>$E111*S111</f>
        <v>24608.303650902624</v>
      </c>
    </row>
    <row r="112" spans="3:20" x14ac:dyDescent="0.25">
      <c r="C112" s="9"/>
      <c r="D112" s="8"/>
      <c r="E112" s="8"/>
      <c r="F112" s="8"/>
      <c r="G112" s="8"/>
      <c r="H112" s="23"/>
      <c r="J112" s="87"/>
      <c r="K112" s="23"/>
      <c r="L112" s="1"/>
      <c r="M112" s="87"/>
      <c r="N112" s="23"/>
      <c r="P112" s="76"/>
      <c r="Q112" s="23"/>
      <c r="S112" s="76"/>
      <c r="T112" s="23"/>
    </row>
    <row r="113" spans="3:21" ht="15.75" thickBot="1" x14ac:dyDescent="0.3">
      <c r="C113" s="13" t="s">
        <v>64</v>
      </c>
      <c r="D113" s="29"/>
      <c r="E113" s="29"/>
      <c r="F113" s="29"/>
      <c r="G113" s="29"/>
      <c r="H113" s="5">
        <f>SUM(H93:H112)</f>
        <v>16192621.847338811</v>
      </c>
      <c r="J113" s="52"/>
      <c r="K113" s="5">
        <f>SUM(K93:K112)</f>
        <v>18496468.264222782</v>
      </c>
      <c r="L113" s="1"/>
      <c r="M113" s="52"/>
      <c r="N113" s="5">
        <f>SUM(N93:N112)</f>
        <v>15946468.26422278</v>
      </c>
      <c r="P113" s="52"/>
      <c r="Q113" s="5">
        <f>SUM(Q93:Q112)</f>
        <v>18225253.763872031</v>
      </c>
      <c r="S113" s="52"/>
      <c r="T113" s="5">
        <f>SUM(T93:T112)</f>
        <v>15675253.763872033</v>
      </c>
    </row>
    <row r="115" spans="3:21" x14ac:dyDescent="0.25">
      <c r="J115" t="s">
        <v>91</v>
      </c>
      <c r="K115" s="1">
        <v>2550000</v>
      </c>
      <c r="N115" s="1">
        <f>K113-N113</f>
        <v>2550000.0000000019</v>
      </c>
      <c r="P115" t="s">
        <v>91</v>
      </c>
      <c r="Q115" s="1">
        <v>2550000</v>
      </c>
      <c r="T115" s="1">
        <f>Q113-T113</f>
        <v>2549999.9999999981</v>
      </c>
      <c r="U115" s="1">
        <f>U66+U90</f>
        <v>2549999.9999999981</v>
      </c>
    </row>
    <row r="117" spans="3:21" x14ac:dyDescent="0.25">
      <c r="K117" s="88">
        <f>K115/SUM(E97:E101)</f>
        <v>3.9845829172176161</v>
      </c>
      <c r="Q117" s="88">
        <f>Q115/(SUM(E103:E104)+SUM(E107:E108)+SUM(E110:E111))</f>
        <v>1.2296587532516736</v>
      </c>
    </row>
  </sheetData>
  <mergeCells count="34">
    <mergeCell ref="Z43:AA43"/>
    <mergeCell ref="AB43:AC43"/>
    <mergeCell ref="Z67:AA67"/>
    <mergeCell ref="AB67:AC67"/>
    <mergeCell ref="S91:T91"/>
    <mergeCell ref="S43:T43"/>
    <mergeCell ref="S67:T67"/>
    <mergeCell ref="J1:L1"/>
    <mergeCell ref="M1:N1"/>
    <mergeCell ref="O1:Q1"/>
    <mergeCell ref="R1:S1"/>
    <mergeCell ref="S15:T15"/>
    <mergeCell ref="E2:I2"/>
    <mergeCell ref="J2:L2"/>
    <mergeCell ref="M2:N2"/>
    <mergeCell ref="O2:Q2"/>
    <mergeCell ref="R2:S2"/>
    <mergeCell ref="G67:H67"/>
    <mergeCell ref="J67:K67"/>
    <mergeCell ref="P67:Q67"/>
    <mergeCell ref="B91:B92"/>
    <mergeCell ref="G91:H91"/>
    <mergeCell ref="J91:K91"/>
    <mergeCell ref="P91:Q91"/>
    <mergeCell ref="M91:N91"/>
    <mergeCell ref="M67:N67"/>
    <mergeCell ref="G15:H15"/>
    <mergeCell ref="J15:K15"/>
    <mergeCell ref="P15:Q15"/>
    <mergeCell ref="G43:H43"/>
    <mergeCell ref="J43:K43"/>
    <mergeCell ref="P43:Q43"/>
    <mergeCell ref="M15:N15"/>
    <mergeCell ref="M43:N43"/>
  </mergeCells>
  <pageMargins left="0.7" right="0.7" top="1" bottom="0.75" header="0.3" footer="0.3"/>
  <pageSetup scale="46" orientation="landscape" r:id="rId1"/>
  <rowBreaks count="1" manualBreakCount="1">
    <brk id="6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Billing Data</vt:lpstr>
      <vt:lpstr>Rate Design</vt:lpstr>
      <vt:lpstr>'Billing Data'!Print_Area</vt:lpstr>
      <vt:lpstr>'Rate Design'!Print_Area</vt:lpstr>
      <vt:lpstr>'Rate Design'!Print_Titles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Willhite, Ron - KSBA</dc:creator>
  <cp:lastModifiedBy>Willhite, Ron - KSBA</cp:lastModifiedBy>
  <cp:lastPrinted>2017-03-29T17:56:15Z</cp:lastPrinted>
  <dcterms:created xsi:type="dcterms:W3CDTF">2017-01-31T02:49:51Z</dcterms:created>
  <dcterms:modified xsi:type="dcterms:W3CDTF">2017-03-29T17:57:17Z</dcterms:modified>
</cp:coreProperties>
</file>