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4000" windowHeight="8910" firstSheet="1" activeTab="2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Meters" sheetId="6" r:id="rId6"/>
    <sheet name="Service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">[1]EGSplit!#REF!</definedName>
    <definedName name="\\" hidden="1">#REF!</definedName>
    <definedName name="\\\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>[2]dbase!#REF!</definedName>
    <definedName name="\R">#REF!</definedName>
    <definedName name="\S">[2]dbase!#REF!</definedName>
    <definedName name="\T">#REF!</definedName>
    <definedName name="\Y">[3]d20!#REF!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'[5]LGE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>#REF!</definedName>
    <definedName name="Choices_Wrapper">[0]!Choices_Wrapper</definedName>
    <definedName name="CM">#REF!</definedName>
    <definedName name="Coal_Annual_KU">'[5]LGE Coal'!#REF!</definedName>
    <definedName name="coal_hide_ku_01">'[5]LGE Coal'!#REF!</definedName>
    <definedName name="coal_hide_lge_01">'[5]LGE Coal'!#REF!</definedName>
    <definedName name="coal_ku_01">'[5]LGE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[6]Input!$K$19</definedName>
    <definedName name="CurReptgYr">[6]Input!$K$21</definedName>
    <definedName name="D">#REF!</definedName>
    <definedName name="data">#REF!</definedName>
    <definedName name="data1">'[7]1'!#REF!</definedName>
    <definedName name="DateTimeNow">[6]Input!$AE$12</definedName>
    <definedName name="DEBIT">#REF!</definedName>
    <definedName name="Detail">#REF!</definedName>
    <definedName name="ELEC_NET_OP_INC">#REF!</definedName>
    <definedName name="ELIMS">#REF!</definedName>
    <definedName name="EXHIB1A">'[8]#REF'!#REF!</definedName>
    <definedName name="EXHIB1B">#REF!</definedName>
    <definedName name="EXHIB1C">#REF!</definedName>
    <definedName name="EXHIB2B">'[9]Ex 2'!#REF!</definedName>
    <definedName name="EXHIB3">#REF!</definedName>
    <definedName name="EXHIB6">'[9]not used Ex 4'!#REF!</definedName>
    <definedName name="F">#REF!</definedName>
    <definedName name="Fac_2000">'[5]LGE Base Fuel &amp; FAC'!#REF!</definedName>
    <definedName name="fac_annual_ku">'[5]LGE Base Fuel &amp; FAC'!#REF!</definedName>
    <definedName name="fac_hide_ku_01">'[5]LGE Base Fuel &amp; FAC'!#REF!</definedName>
    <definedName name="fac_hide_lge_01">'[5]LGE Base Fuel &amp; FAC'!#REF!</definedName>
    <definedName name="fac_ku_01">'[5]LGE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'[5]LGE Cost of Sales'!#REF!</definedName>
    <definedName name="genex_hide_ku_01">'[5]LGE Cost of Sales'!#REF!</definedName>
    <definedName name="genex_hide_lge_01">'[5]LGE Cost of Sales'!#REF!</definedName>
    <definedName name="genex_ku_01">'[5]LGE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>#REF!</definedName>
    <definedName name="KUELIMCASH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'[5]LGE Gross Margin-Inc.Stmt'!#REF!</definedName>
    <definedName name="netrev_hide_lge_01">'[5]LGE Gross Margin-Inc.Stmt'!#REF!</definedName>
    <definedName name="netrev_ku_01">'[5]LGE Gross Margin-Inc.Stmt'!#REF!</definedName>
    <definedName name="NetRevenue_Annual_KU">'[5]LGE Gross Margin-Inc.Stmt'!#REF!</definedName>
    <definedName name="NetRevenues">#REF!</definedName>
    <definedName name="NextReptgMo">[6]Input!$AE$19</definedName>
    <definedName name="NextReptgYr">[6]Input!$AE$21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2">'Allocation ProForma'!$F$4:$T$917</definedName>
    <definedName name="_xlnm.Print_Area" localSheetId="4">'Billing Det'!$A$1:$I$42</definedName>
    <definedName name="_xlnm.Print_Area" localSheetId="1">'Functional Assignment'!$F$5:$AJ$665</definedName>
    <definedName name="_xlnm.Print_Area" localSheetId="0">'Jurisdictional Study'!$A$19:$Q$1432</definedName>
    <definedName name="_xlnm.Print_Area" localSheetId="5">Meters!$A$1:$F$63</definedName>
    <definedName name="_xlnm.Print_Area" localSheetId="6">Services!$A$1:$D$61</definedName>
    <definedName name="_xlnm.Print_Area" localSheetId="3">'Summary of Returns'!$A$1:$G$64</definedName>
    <definedName name="_xlnm.Print_Titles" localSheetId="2">'Allocation ProForma'!$A:$E,'Allocation ProForma'!$1:$3</definedName>
    <definedName name="_xlnm.Print_Titles" localSheetId="4">'Billing Det'!$A:$A,'Billing Det'!$77:$78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'[5]LGE Require &amp; Source'!#REF!</definedName>
    <definedName name="require_hide_lge_01">'[5]LGE Require &amp; Source'!#REF!</definedName>
    <definedName name="require_ku_01">'[5]LGE Require &amp; Source'!#REF!</definedName>
    <definedName name="Requirements_Annual_KU">'[5]LGE Require &amp; Source'!#REF!</definedName>
    <definedName name="Requirements_Data">'[5]LGE Require &amp; Source'!#REF!</definedName>
    <definedName name="Requirements_KU">'[5]LGE Require &amp; Source'!#REF!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enues_hide_ku_01">'[5]KU Other Electric Revenues'!#REF!</definedName>
    <definedName name="revenues_ku_01">'[5]KU Other Electric Revenues'!#REF!</definedName>
    <definedName name="RowDetails1">#REF!</definedName>
    <definedName name="RPTCOL">#REF!</definedName>
    <definedName name="RPTROW">#REF!</definedName>
    <definedName name="Sales">'[5]LGE Sales'!#REF!</definedName>
    <definedName name="sales_hide_ku_01">'[5]LGE Sales'!#REF!</definedName>
    <definedName name="sales_ku_01">'[5]LGE Sales'!#REF!</definedName>
    <definedName name="sales_title_ku">'[5]LGE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'[8]#REF'!#REF!</definedName>
    <definedName name="TempReptgMo">[6]Input!$AG$19</definedName>
    <definedName name="TempReptgYr">[6]Input!$AG$21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[6]Input!$M$12</definedName>
    <definedName name="UpdateTime">[6]Input!$O$12</definedName>
    <definedName name="Variance">#REF!</definedName>
    <definedName name="VIEW1">#REF!</definedName>
    <definedName name="vol_rev_annual_ku">'[5]LGE Retail Margin'!#REF!</definedName>
    <definedName name="vol_rev_hide_ku_monthly">'[5]LGE Retail Margin'!#REF!</definedName>
    <definedName name="vol_rev_hide_lge_01">'[5]LGE Retail Margin'!#REF!</definedName>
    <definedName name="vol_rev_ku_monthly">'[5]LGE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I24" i="8" l="1"/>
  <c r="N903" i="2" l="1"/>
  <c r="L903" i="2"/>
  <c r="N877" i="2"/>
  <c r="N878" i="2"/>
  <c r="N876" i="2"/>
  <c r="L877" i="2"/>
  <c r="L878" i="2"/>
  <c r="L876" i="2"/>
  <c r="E24" i="8"/>
  <c r="D24" i="8"/>
  <c r="C24" i="8"/>
  <c r="I20" i="8"/>
  <c r="E20" i="8"/>
  <c r="D20" i="8"/>
  <c r="C20" i="8"/>
  <c r="F801" i="2" l="1"/>
  <c r="B20" i="8" l="1"/>
  <c r="B24" i="8"/>
  <c r="D16" i="6" l="1"/>
  <c r="D16" i="7" s="1"/>
  <c r="F721" i="2" l="1"/>
  <c r="J903" i="2" l="1"/>
  <c r="H903" i="2" l="1"/>
  <c r="X820" i="2"/>
  <c r="X818" i="2"/>
  <c r="V878" i="2"/>
  <c r="V877" i="2"/>
  <c r="V876" i="2"/>
  <c r="F878" i="2"/>
  <c r="F877" i="2"/>
  <c r="F876" i="2"/>
  <c r="H899" i="2" l="1"/>
  <c r="G899" i="2"/>
  <c r="J14" i="8" l="1"/>
  <c r="K24" i="8"/>
  <c r="K20" i="8"/>
  <c r="K26" i="8" l="1"/>
  <c r="I851" i="2" s="1"/>
  <c r="F853" i="2"/>
  <c r="I43" i="8"/>
  <c r="F875" i="2" s="1"/>
  <c r="B18" i="8" l="1"/>
  <c r="B16" i="8"/>
  <c r="D16" i="8"/>
  <c r="F14" i="8" l="1"/>
  <c r="G903" i="2" l="1"/>
  <c r="I873" i="2" l="1"/>
  <c r="I872" i="2"/>
  <c r="I848" i="2"/>
  <c r="I844" i="2"/>
  <c r="I895" i="2"/>
  <c r="I888" i="2"/>
  <c r="I881" i="2"/>
  <c r="I875" i="2"/>
  <c r="I874" i="2" s="1"/>
  <c r="I843" i="2"/>
  <c r="I908" i="2" l="1"/>
  <c r="E16" i="6"/>
  <c r="E16" i="7"/>
  <c r="I845" i="2"/>
  <c r="F763" i="2" l="1"/>
  <c r="D34" i="8"/>
  <c r="D8" i="8"/>
  <c r="F677" i="2" l="1"/>
  <c r="F99" i="1"/>
  <c r="G910" i="2" l="1"/>
  <c r="T903" i="2" l="1"/>
  <c r="S903" i="2"/>
  <c r="R903" i="2"/>
  <c r="Q903" i="2"/>
  <c r="P903" i="2"/>
  <c r="O903" i="2"/>
  <c r="M903" i="2"/>
  <c r="F755" i="2" l="1"/>
  <c r="F654" i="2" l="1"/>
  <c r="B34" i="8"/>
  <c r="B38" i="8"/>
  <c r="C36" i="8"/>
  <c r="B36" i="8"/>
  <c r="B30" i="8"/>
  <c r="B26" i="8"/>
  <c r="B22" i="8"/>
  <c r="B12" i="8"/>
  <c r="B10" i="8"/>
  <c r="C8" i="8" l="1"/>
  <c r="B8" i="8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8" i="8"/>
  <c r="F34" i="8"/>
  <c r="F32" i="8"/>
  <c r="F30" i="8"/>
  <c r="F28" i="8"/>
  <c r="F26" i="8"/>
  <c r="F24" i="8"/>
  <c r="F22" i="8"/>
  <c r="F20" i="8"/>
  <c r="F18" i="8"/>
  <c r="F16" i="8"/>
  <c r="F12" i="8"/>
  <c r="F10" i="8"/>
  <c r="F8" i="8"/>
  <c r="K874" i="2" l="1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81" i="2"/>
  <c r="J875" i="2"/>
  <c r="J874" i="2" s="1"/>
  <c r="J873" i="2"/>
  <c r="J844" i="2"/>
  <c r="J845" i="2" s="1"/>
  <c r="J895" i="2" s="1"/>
  <c r="H881" i="2"/>
  <c r="H888" i="2"/>
  <c r="H875" i="2"/>
  <c r="H874" i="2" s="1"/>
  <c r="H873" i="2"/>
  <c r="H844" i="2"/>
  <c r="H845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7" i="7"/>
  <c r="K10" i="7" s="1"/>
  <c r="C36" i="6"/>
  <c r="C38" i="6"/>
  <c r="D10" i="6"/>
  <c r="E10" i="6" s="1"/>
  <c r="D12" i="6"/>
  <c r="E12" i="6" s="1"/>
  <c r="D18" i="6"/>
  <c r="D18" i="7" s="1"/>
  <c r="E18" i="7" s="1"/>
  <c r="L848" i="2"/>
  <c r="M848" i="2"/>
  <c r="D24" i="6"/>
  <c r="E24" i="6" s="1"/>
  <c r="D26" i="6"/>
  <c r="O848" i="2"/>
  <c r="D30" i="6"/>
  <c r="B32" i="8"/>
  <c r="D32" i="6" s="1"/>
  <c r="D34" i="6"/>
  <c r="F36" i="8"/>
  <c r="F40" i="8" s="1"/>
  <c r="E40" i="8"/>
  <c r="G40" i="8"/>
  <c r="H40" i="8"/>
  <c r="I40" i="8"/>
  <c r="E1" i="2"/>
  <c r="F1" i="2" s="1"/>
  <c r="G1" i="2" s="1"/>
  <c r="G72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V804" i="2"/>
  <c r="W804" i="2" s="1"/>
  <c r="U817" i="2"/>
  <c r="L843" i="2"/>
  <c r="Q843" i="2"/>
  <c r="R843" i="2"/>
  <c r="K845" i="2"/>
  <c r="K895" i="2" s="1"/>
  <c r="L844" i="2"/>
  <c r="L845" i="2" s="1"/>
  <c r="L895" i="2" s="1"/>
  <c r="M844" i="2"/>
  <c r="M845" i="2" s="1"/>
  <c r="M895" i="2" s="1"/>
  <c r="N844" i="2"/>
  <c r="N845" i="2" s="1"/>
  <c r="N895" i="2" s="1"/>
  <c r="O844" i="2"/>
  <c r="O845" i="2" s="1"/>
  <c r="O895" i="2" s="1"/>
  <c r="P844" i="2"/>
  <c r="P845" i="2" s="1"/>
  <c r="P895" i="2" s="1"/>
  <c r="Q844" i="2"/>
  <c r="Q845" i="2" s="1"/>
  <c r="Q895" i="2" s="1"/>
  <c r="R844" i="2"/>
  <c r="R845" i="2" s="1"/>
  <c r="R895" i="2" s="1"/>
  <c r="T844" i="2"/>
  <c r="T845" i="2" s="1"/>
  <c r="T895" i="2" s="1"/>
  <c r="G848" i="2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88" i="2"/>
  <c r="K888" i="2"/>
  <c r="L888" i="2"/>
  <c r="M888" i="2"/>
  <c r="N888" i="2"/>
  <c r="O888" i="2"/>
  <c r="P888" i="2"/>
  <c r="Q888" i="2"/>
  <c r="R888" i="2"/>
  <c r="S888" i="2"/>
  <c r="T888" i="2"/>
  <c r="K881" i="2"/>
  <c r="L881" i="2"/>
  <c r="M881" i="2"/>
  <c r="N881" i="2"/>
  <c r="O881" i="2"/>
  <c r="P881" i="2"/>
  <c r="Q881" i="2"/>
  <c r="R881" i="2"/>
  <c r="S881" i="2"/>
  <c r="T881" i="2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 s="1"/>
  <c r="AK643" i="1"/>
  <c r="AL643" i="1" s="1"/>
  <c r="AK644" i="1"/>
  <c r="AL644" i="1" s="1"/>
  <c r="H177" i="1"/>
  <c r="I20" i="1"/>
  <c r="K860" i="2"/>
  <c r="N867" i="2"/>
  <c r="L867" i="2"/>
  <c r="I860" i="2"/>
  <c r="V75" i="1"/>
  <c r="K64" i="7"/>
  <c r="K60" i="7"/>
  <c r="K56" i="7"/>
  <c r="K50" i="7"/>
  <c r="K46" i="7"/>
  <c r="K42" i="7"/>
  <c r="K34" i="7"/>
  <c r="K30" i="7"/>
  <c r="K26" i="7"/>
  <c r="K22" i="7"/>
  <c r="K14" i="7"/>
  <c r="K66" i="7"/>
  <c r="K62" i="7"/>
  <c r="K58" i="7"/>
  <c r="K54" i="7"/>
  <c r="K48" i="7"/>
  <c r="K44" i="7"/>
  <c r="K40" i="7"/>
  <c r="K32" i="7"/>
  <c r="K28" i="7"/>
  <c r="K24" i="7"/>
  <c r="K20" i="7"/>
  <c r="V801" i="2"/>
  <c r="W801" i="2" s="1"/>
  <c r="X801" i="2" s="1"/>
  <c r="J423" i="1"/>
  <c r="J16" i="1"/>
  <c r="H20" i="1"/>
  <c r="J20" i="1"/>
  <c r="AH497" i="1"/>
  <c r="C40" i="8"/>
  <c r="G844" i="2"/>
  <c r="G845" i="2" s="1"/>
  <c r="H423" i="1"/>
  <c r="J908" i="2"/>
  <c r="D36" i="6"/>
  <c r="D36" i="7" s="1"/>
  <c r="E36" i="7" s="1"/>
  <c r="S848" i="2"/>
  <c r="S860" i="2" s="1"/>
  <c r="D22" i="6"/>
  <c r="E22" i="6" s="1"/>
  <c r="P908" i="2"/>
  <c r="P843" i="2"/>
  <c r="D28" i="6"/>
  <c r="D28" i="7" s="1"/>
  <c r="E28" i="7" s="1"/>
  <c r="H403" i="1"/>
  <c r="J177" i="1"/>
  <c r="S843" i="2"/>
  <c r="S908" i="2"/>
  <c r="K67" i="7" l="1"/>
  <c r="D10" i="7"/>
  <c r="E10" i="7" s="1"/>
  <c r="G481" i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4" i="6"/>
  <c r="D34" i="7"/>
  <c r="E34" i="7" s="1"/>
  <c r="D32" i="7"/>
  <c r="E32" i="7" s="1"/>
  <c r="E32" i="6"/>
  <c r="S849" i="2"/>
  <c r="S850" i="2" s="1"/>
  <c r="S853" i="2" s="1"/>
  <c r="E36" i="6"/>
  <c r="B40" i="8"/>
  <c r="P848" i="2"/>
  <c r="Q848" i="2"/>
  <c r="E28" i="6"/>
  <c r="R848" i="2"/>
  <c r="R849" i="2" s="1"/>
  <c r="R850" i="2" s="1"/>
  <c r="O849" i="2"/>
  <c r="O860" i="2"/>
  <c r="E26" i="6"/>
  <c r="D26" i="7"/>
  <c r="E26" i="7" s="1"/>
  <c r="D22" i="7"/>
  <c r="E22" i="7" s="1"/>
  <c r="N848" i="2"/>
  <c r="N843" i="2"/>
  <c r="D40" i="8"/>
  <c r="F843" i="2" s="1"/>
  <c r="D24" i="7"/>
  <c r="E24" i="7" s="1"/>
  <c r="S844" i="2"/>
  <c r="S845" i="2" s="1"/>
  <c r="S895" i="2" s="1"/>
  <c r="D12" i="7"/>
  <c r="E12" i="7" s="1"/>
  <c r="H908" i="2"/>
  <c r="O843" i="2"/>
  <c r="G860" i="2"/>
  <c r="G849" i="2"/>
  <c r="G850" i="2" s="1"/>
  <c r="F764" i="2"/>
  <c r="V874" i="2"/>
  <c r="W874" i="2" s="1"/>
  <c r="H1" i="2"/>
  <c r="K856" i="2"/>
  <c r="K868" i="2" s="1"/>
  <c r="G545" i="2"/>
  <c r="M741" i="2"/>
  <c r="P741" i="2"/>
  <c r="K851" i="2"/>
  <c r="K863" i="2" s="1"/>
  <c r="G657" i="2"/>
  <c r="K854" i="2"/>
  <c r="V904" i="2"/>
  <c r="K862" i="2"/>
  <c r="V873" i="2"/>
  <c r="W873" i="2" s="1"/>
  <c r="X873" i="2" s="1"/>
  <c r="I850" i="2"/>
  <c r="F925" i="2"/>
  <c r="M849" i="2"/>
  <c r="W877" i="2"/>
  <c r="X877" i="2" s="1"/>
  <c r="V717" i="2"/>
  <c r="W717" i="2" s="1"/>
  <c r="X717" i="2" s="1"/>
  <c r="G833" i="2"/>
  <c r="G652" i="2" s="1"/>
  <c r="G724" i="2"/>
  <c r="G921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8" i="6"/>
  <c r="L288" i="1"/>
  <c r="G662" i="2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4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4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30" i="7"/>
  <c r="E30" i="7" s="1"/>
  <c r="E30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W876" i="2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D20" i="6"/>
  <c r="J848" i="2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D14" i="6"/>
  <c r="H848" i="2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D38" i="6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H724" i="2" l="1"/>
  <c r="H721" i="2"/>
  <c r="H921" i="2"/>
  <c r="W904" i="2"/>
  <c r="X904" i="2" s="1"/>
  <c r="F593" i="1"/>
  <c r="P860" i="2"/>
  <c r="Q849" i="2"/>
  <c r="Q861" i="2" s="1"/>
  <c r="N860" i="2"/>
  <c r="G304" i="1"/>
  <c r="M910" i="2"/>
  <c r="L910" i="2"/>
  <c r="H547" i="2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H815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I721" i="2" s="1"/>
  <c r="H657" i="2"/>
  <c r="M861" i="2"/>
  <c r="M850" i="2"/>
  <c r="I862" i="2"/>
  <c r="I853" i="2"/>
  <c r="I856" i="2"/>
  <c r="I854" i="2"/>
  <c r="I841" i="2" s="1"/>
  <c r="S855" i="2"/>
  <c r="S865" i="2"/>
  <c r="R862" i="2"/>
  <c r="R853" i="2"/>
  <c r="R854" i="2"/>
  <c r="R866" i="2" s="1"/>
  <c r="R851" i="2"/>
  <c r="R863" i="2" s="1"/>
  <c r="L861" i="2"/>
  <c r="L850" i="2"/>
  <c r="L851" i="2" s="1"/>
  <c r="G895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H481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H481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81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481" i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L481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O481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J481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I481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81" i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81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481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815" i="2"/>
  <c r="G665" i="2"/>
  <c r="G661" i="2"/>
  <c r="V843" i="2"/>
  <c r="W843" i="2" s="1"/>
  <c r="X843" i="2" s="1"/>
  <c r="M135" i="1"/>
  <c r="M73" i="1"/>
  <c r="M481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8" i="7"/>
  <c r="E38" i="7" s="1"/>
  <c r="E38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481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40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481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20" i="6"/>
  <c r="D20" i="7"/>
  <c r="E20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P910" i="2" l="1"/>
  <c r="I840" i="2"/>
  <c r="Q850" i="2"/>
  <c r="Q854" i="2" s="1"/>
  <c r="Q866" i="2" s="1"/>
  <c r="O910" i="2"/>
  <c r="N910" i="2"/>
  <c r="Q851" i="2"/>
  <c r="Q863" i="2" s="1"/>
  <c r="Q853" i="2"/>
  <c r="Q865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J1" i="2"/>
  <c r="J721" i="2" s="1"/>
  <c r="I547" i="2"/>
  <c r="I541" i="2"/>
  <c r="I664" i="2"/>
  <c r="I656" i="2"/>
  <c r="I665" i="2"/>
  <c r="I724" i="2"/>
  <c r="I544" i="2"/>
  <c r="I538" i="2"/>
  <c r="I663" i="2"/>
  <c r="I545" i="2"/>
  <c r="I815" i="2"/>
  <c r="I552" i="2"/>
  <c r="I651" i="2"/>
  <c r="I755" i="2" s="1"/>
  <c r="I839" i="2"/>
  <c r="K867" i="2"/>
  <c r="K857" i="2"/>
  <c r="K869" i="2" s="1"/>
  <c r="I866" i="2"/>
  <c r="I855" i="2"/>
  <c r="F855" i="2" s="1"/>
  <c r="F867" i="2" s="1"/>
  <c r="I572" i="2"/>
  <c r="I863" i="2"/>
  <c r="I868" i="2"/>
  <c r="I836" i="2"/>
  <c r="I546" i="2"/>
  <c r="I814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63" i="2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AB481" i="1"/>
  <c r="AA481" i="1"/>
  <c r="AD481" i="1"/>
  <c r="Z481" i="1"/>
  <c r="AC481" i="1"/>
  <c r="T481" i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48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Q659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AC659" i="1" s="1"/>
  <c r="W135" i="1"/>
  <c r="W440" i="1"/>
  <c r="W230" i="1" s="1"/>
  <c r="W481" i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O245" i="1" s="1"/>
  <c r="O258" i="1" s="1"/>
  <c r="V419" i="1"/>
  <c r="AH631" i="1"/>
  <c r="AH443" i="1" s="1"/>
  <c r="AH455" i="1" s="1"/>
  <c r="AH659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S245" i="1" s="1"/>
  <c r="S258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AB659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P245" i="1" s="1"/>
  <c r="P258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L245" i="1" s="1"/>
  <c r="L258" i="1" s="1"/>
  <c r="J631" i="1"/>
  <c r="J443" i="1" s="1"/>
  <c r="J455" i="1" s="1"/>
  <c r="J245" i="1" s="1"/>
  <c r="J258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481" i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X481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I659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D245" i="1" s="1"/>
  <c r="AD258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T659" i="1" s="1"/>
  <c r="Z105" i="1"/>
  <c r="AA106" i="1"/>
  <c r="AC212" i="1"/>
  <c r="S106" i="1"/>
  <c r="H655" i="1"/>
  <c r="M440" i="1"/>
  <c r="M483" i="1" s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F659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J222" i="1"/>
  <c r="U631" i="1"/>
  <c r="U443" i="1" s="1"/>
  <c r="U455" i="1" s="1"/>
  <c r="U245" i="1" s="1"/>
  <c r="U258" i="1" s="1"/>
  <c r="M222" i="1"/>
  <c r="Q222" i="1"/>
  <c r="AJ631" i="1"/>
  <c r="AJ443" i="1" s="1"/>
  <c r="AJ455" i="1" s="1"/>
  <c r="AJ659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K659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14" i="2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40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40" i="6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G548" i="2"/>
  <c r="H469" i="1"/>
  <c r="AL125" i="1"/>
  <c r="Y387" i="1"/>
  <c r="AK380" i="1"/>
  <c r="AL380" i="1" s="1"/>
  <c r="V910" i="2" l="1"/>
  <c r="W910" i="2" s="1"/>
  <c r="X910" i="2" s="1"/>
  <c r="Q862" i="2"/>
  <c r="F714" i="2"/>
  <c r="F729" i="2" s="1"/>
  <c r="F14" i="6"/>
  <c r="F16" i="6"/>
  <c r="I838" i="2" s="1"/>
  <c r="I560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J921" i="2"/>
  <c r="J815" i="2"/>
  <c r="J545" i="2"/>
  <c r="J655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659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659" i="1" s="1"/>
  <c r="V139" i="1"/>
  <c r="V273" i="1"/>
  <c r="Z238" i="1"/>
  <c r="Z234" i="1"/>
  <c r="Z231" i="1"/>
  <c r="Z235" i="1"/>
  <c r="Z230" i="1"/>
  <c r="Z227" i="1"/>
  <c r="Z658" i="1"/>
  <c r="Z483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483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W483" i="1"/>
  <c r="W485" i="1" s="1"/>
  <c r="W510" i="1" s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W245" i="1" s="1"/>
  <c r="W258" i="1" s="1"/>
  <c r="AA658" i="1"/>
  <c r="W105" i="1"/>
  <c r="U228" i="1"/>
  <c r="U235" i="1"/>
  <c r="U236" i="1"/>
  <c r="U234" i="1"/>
  <c r="U238" i="1"/>
  <c r="U231" i="1"/>
  <c r="U237" i="1"/>
  <c r="U483" i="1"/>
  <c r="U485" i="1" s="1"/>
  <c r="U510" i="1" s="1"/>
  <c r="U314" i="1" s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483" i="1"/>
  <c r="H231" i="1"/>
  <c r="H238" i="1"/>
  <c r="G369" i="2"/>
  <c r="V660" i="1"/>
  <c r="H235" i="1"/>
  <c r="H228" i="1"/>
  <c r="S324" i="1"/>
  <c r="Y631" i="1"/>
  <c r="Y443" i="1" s="1"/>
  <c r="Y455" i="1" s="1"/>
  <c r="Y659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K481" i="1"/>
  <c r="AL481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X483" i="1"/>
  <c r="X485" i="1" s="1"/>
  <c r="X510" i="1" s="1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483" i="1"/>
  <c r="V485" i="1" s="1"/>
  <c r="V510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483" i="1"/>
  <c r="T485" i="1" s="1"/>
  <c r="T510" i="1" s="1"/>
  <c r="T230" i="1"/>
  <c r="S141" i="1"/>
  <c r="AH224" i="1"/>
  <c r="T227" i="1"/>
  <c r="T235" i="1"/>
  <c r="Y658" i="1"/>
  <c r="AA108" i="1"/>
  <c r="X631" i="1"/>
  <c r="X443" i="1" s="1"/>
  <c r="X455" i="1" s="1"/>
  <c r="X245" i="1" s="1"/>
  <c r="X258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48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P275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AC483" i="1"/>
  <c r="AC485" i="1" s="1"/>
  <c r="AC510" i="1" s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483" i="1"/>
  <c r="S485" i="1" s="1"/>
  <c r="S510" i="1" s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483" i="1"/>
  <c r="AB485" i="1" s="1"/>
  <c r="AB510" i="1" s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S275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8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20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40" i="7"/>
  <c r="F16" i="7" s="1"/>
  <c r="I837" i="2" s="1"/>
  <c r="I557" i="2" s="1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3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U275" i="1" s="1"/>
  <c r="J12" i="1"/>
  <c r="J66" i="1" s="1"/>
  <c r="F353" i="2"/>
  <c r="AK568" i="1"/>
  <c r="AL568" i="1" s="1"/>
  <c r="U571" i="1"/>
  <c r="U323" i="1"/>
  <c r="U530" i="1"/>
  <c r="U529" i="1"/>
  <c r="U662" i="1"/>
  <c r="U324" i="1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8" i="6"/>
  <c r="O838" i="2" s="1"/>
  <c r="F10" i="6"/>
  <c r="F34" i="6"/>
  <c r="R838" i="2" s="1"/>
  <c r="F24" i="6"/>
  <c r="M838" i="2" s="1"/>
  <c r="F18" i="6"/>
  <c r="F36" i="6"/>
  <c r="S838" i="2" s="1"/>
  <c r="F12" i="6"/>
  <c r="F32" i="6"/>
  <c r="Q838" i="2" s="1"/>
  <c r="F26" i="6"/>
  <c r="N838" i="2" s="1"/>
  <c r="F22" i="6"/>
  <c r="L838" i="2" s="1"/>
  <c r="F30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K372" i="2" l="1"/>
  <c r="K721" i="2"/>
  <c r="H838" i="2"/>
  <c r="H560" i="2" s="1"/>
  <c r="I388" i="2"/>
  <c r="I385" i="2"/>
  <c r="F330" i="1"/>
  <c r="F595" i="1"/>
  <c r="J838" i="2"/>
  <c r="J388" i="2" s="1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814" i="2"/>
  <c r="K547" i="2"/>
  <c r="K544" i="2"/>
  <c r="K657" i="2"/>
  <c r="K656" i="2"/>
  <c r="K833" i="2"/>
  <c r="K356" i="2" s="1"/>
  <c r="K548" i="2"/>
  <c r="K553" i="2"/>
  <c r="K557" i="2"/>
  <c r="K663" i="2"/>
  <c r="K545" i="2"/>
  <c r="K546" i="2"/>
  <c r="K840" i="2"/>
  <c r="K394" i="2" s="1"/>
  <c r="K661" i="2"/>
  <c r="K662" i="2"/>
  <c r="K651" i="2"/>
  <c r="K755" i="2" s="1"/>
  <c r="K815" i="2"/>
  <c r="K921" i="2"/>
  <c r="K664" i="2"/>
  <c r="K552" i="2"/>
  <c r="K836" i="2"/>
  <c r="L1" i="2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Z485" i="1"/>
  <c r="Z510" i="1" s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U277" i="1" s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X275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14" i="2"/>
  <c r="H865" i="2"/>
  <c r="V853" i="2"/>
  <c r="W853" i="2" s="1"/>
  <c r="X853" i="2" s="1"/>
  <c r="F22" i="7"/>
  <c r="L837" i="2" s="1"/>
  <c r="F10" i="7"/>
  <c r="F32" i="7"/>
  <c r="Q837" i="2" s="1"/>
  <c r="F26" i="7"/>
  <c r="N837" i="2" s="1"/>
  <c r="F34" i="7"/>
  <c r="R837" i="2" s="1"/>
  <c r="F12" i="7"/>
  <c r="F24" i="7"/>
  <c r="M837" i="2" s="1"/>
  <c r="F36" i="7"/>
  <c r="S837" i="2" s="1"/>
  <c r="F28" i="7"/>
  <c r="O837" i="2" s="1"/>
  <c r="F18" i="7"/>
  <c r="F30" i="7"/>
  <c r="P837" i="2" s="1"/>
  <c r="F38" i="7"/>
  <c r="T837" i="2" s="1"/>
  <c r="F20" i="7"/>
  <c r="G382" i="2"/>
  <c r="G838" i="2"/>
  <c r="F40" i="6"/>
  <c r="F63" i="6" s="1"/>
  <c r="H660" i="1"/>
  <c r="AK660" i="1" s="1"/>
  <c r="AL660" i="1" s="1"/>
  <c r="H263" i="1"/>
  <c r="AK479" i="1"/>
  <c r="AL479" i="1" s="1"/>
  <c r="J865" i="2"/>
  <c r="J814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388" i="2"/>
  <c r="Y180" i="1"/>
  <c r="AK173" i="1"/>
  <c r="AL173" i="1" s="1"/>
  <c r="L560" i="2" l="1"/>
  <c r="L721" i="2"/>
  <c r="J560" i="2"/>
  <c r="J331" i="2"/>
  <c r="L312" i="2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815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814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AK483" i="1"/>
  <c r="AL483" i="1" s="1"/>
  <c r="F296" i="2"/>
  <c r="F40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M23" i="2" l="1"/>
  <c r="M721" i="2"/>
  <c r="L51" i="2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815" i="2"/>
  <c r="M376" i="2"/>
  <c r="M657" i="2"/>
  <c r="M545" i="2"/>
  <c r="M814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N486" i="2" l="1"/>
  <c r="N721" i="2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814" i="2"/>
  <c r="N23" i="2"/>
  <c r="N42" i="2"/>
  <c r="N381" i="2"/>
  <c r="N656" i="2"/>
  <c r="N37" i="2"/>
  <c r="N544" i="2"/>
  <c r="N833" i="2"/>
  <c r="N70" i="2" s="1"/>
  <c r="N547" i="2"/>
  <c r="N380" i="2"/>
  <c r="N538" i="2"/>
  <c r="N651" i="2"/>
  <c r="N755" i="2" s="1"/>
  <c r="N724" i="2"/>
  <c r="O1" i="2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815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O260" i="2" l="1"/>
  <c r="O721" i="2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814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O724" i="2"/>
  <c r="O100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815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P214" i="2" l="1"/>
  <c r="P721" i="2"/>
  <c r="P430" i="2"/>
  <c r="I210" i="2"/>
  <c r="I211" i="2" s="1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81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815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L611" i="2"/>
  <c r="P204" i="2"/>
  <c r="G204" i="2"/>
  <c r="N223" i="2"/>
  <c r="X595" i="1"/>
  <c r="G611" i="2"/>
  <c r="I204" i="2"/>
  <c r="Y122" i="1"/>
  <c r="H223" i="2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O223" i="2"/>
  <c r="L223" i="2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O166" i="2"/>
  <c r="G166" i="2"/>
  <c r="M166" i="2"/>
  <c r="K166" i="2"/>
  <c r="L166" i="2"/>
  <c r="J166" i="2"/>
  <c r="I166" i="2"/>
  <c r="H166" i="2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Q277" i="2" l="1"/>
  <c r="Q721" i="2"/>
  <c r="P554" i="2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815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814" i="2"/>
  <c r="Q619" i="2"/>
  <c r="Q90" i="2"/>
  <c r="R1" i="2"/>
  <c r="R721" i="2" s="1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Q268" i="2" l="1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815" i="2"/>
  <c r="R655" i="2"/>
  <c r="R442" i="2"/>
  <c r="R489" i="2"/>
  <c r="R615" i="2"/>
  <c r="R144" i="2"/>
  <c r="S1" i="2"/>
  <c r="S721" i="2" s="1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81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P147" i="2"/>
  <c r="J147" i="2"/>
  <c r="N147" i="2"/>
  <c r="K147" i="2"/>
  <c r="G147" i="2"/>
  <c r="O147" i="2"/>
  <c r="Q147" i="2"/>
  <c r="H147" i="2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M205" i="2"/>
  <c r="N205" i="2"/>
  <c r="H205" i="2"/>
  <c r="J205" i="2"/>
  <c r="O205" i="2"/>
  <c r="F206" i="2"/>
  <c r="P205" i="2"/>
  <c r="Q205" i="2"/>
  <c r="R205" i="2"/>
  <c r="F737" i="2"/>
  <c r="R154" i="2" l="1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814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T721" i="2" s="1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372" i="2"/>
  <c r="S603" i="2"/>
  <c r="S262" i="2"/>
  <c r="S146" i="2"/>
  <c r="S544" i="2"/>
  <c r="S538" i="2"/>
  <c r="S373" i="2"/>
  <c r="S666" i="2"/>
  <c r="S815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O206" i="2"/>
  <c r="J206" i="2"/>
  <c r="Q206" i="2"/>
  <c r="H206" i="2"/>
  <c r="N206" i="2"/>
  <c r="I148" i="2"/>
  <c r="I149" i="2" s="1"/>
  <c r="G148" i="2"/>
  <c r="K148" i="2"/>
  <c r="K149" i="2" s="1"/>
  <c r="L148" i="2"/>
  <c r="M148" i="2"/>
  <c r="H148" i="2"/>
  <c r="J148" i="2"/>
  <c r="N148" i="2"/>
  <c r="O148" i="2"/>
  <c r="P148" i="2"/>
  <c r="Q148" i="2"/>
  <c r="F149" i="2"/>
  <c r="R148" i="2"/>
  <c r="R149" i="2" s="1"/>
  <c r="S148" i="2"/>
  <c r="L206" i="2"/>
  <c r="M206" i="2"/>
  <c r="S588" i="2" l="1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T815" i="2"/>
  <c r="V815" i="2" s="1"/>
  <c r="W815" i="2" s="1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T814" i="2"/>
  <c r="V814" i="2" s="1"/>
  <c r="W814" i="2" s="1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G149" i="2"/>
  <c r="V511" i="2" l="1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V803" i="2"/>
  <c r="W803" i="2" s="1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F891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O240" i="2"/>
  <c r="S183" i="2"/>
  <c r="K183" i="2"/>
  <c r="T183" i="2"/>
  <c r="Q183" i="2"/>
  <c r="P183" i="2"/>
  <c r="I183" i="2"/>
  <c r="R183" i="2"/>
  <c r="G183" i="2"/>
  <c r="N183" i="2"/>
  <c r="J183" i="2"/>
  <c r="L183" i="2"/>
  <c r="M183" i="2"/>
  <c r="H183" i="2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S240" i="2" l="1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V889" i="2"/>
  <c r="W889" i="2" s="1"/>
  <c r="X889" i="2" s="1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K884" i="2"/>
  <c r="K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G126" i="2"/>
  <c r="T126" i="2"/>
  <c r="I126" i="2"/>
  <c r="R126" i="2"/>
  <c r="S126" i="2"/>
  <c r="Q126" i="2"/>
  <c r="L126" i="2"/>
  <c r="P126" i="2"/>
  <c r="H126" i="2"/>
  <c r="N126" i="2"/>
  <c r="O126" i="2"/>
  <c r="M126" i="2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V240" i="2" l="1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K891" i="2"/>
  <c r="K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K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J900" i="2" s="1"/>
  <c r="Q893" i="2"/>
  <c r="Q900" i="2" s="1"/>
  <c r="N893" i="2"/>
  <c r="N900" i="2" s="1"/>
  <c r="R893" i="2"/>
  <c r="R900" i="2" s="1"/>
  <c r="K893" i="2"/>
  <c r="K900" i="2" s="1"/>
  <c r="L893" i="2"/>
  <c r="L900" i="2" s="1"/>
  <c r="H893" i="2"/>
  <c r="H900" i="2" s="1"/>
  <c r="S893" i="2"/>
  <c r="S900" i="2" s="1"/>
  <c r="M893" i="2"/>
  <c r="M900" i="2" s="1"/>
  <c r="T893" i="2"/>
  <c r="T900" i="2" s="1"/>
  <c r="P893" i="2"/>
  <c r="P900" i="2" s="1"/>
  <c r="I893" i="2"/>
  <c r="O893" i="2"/>
  <c r="O900" i="2" s="1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K882" i="2" s="1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I900" i="2" l="1"/>
  <c r="V304" i="2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900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905" i="2" s="1"/>
  <c r="K817" i="2" s="1"/>
  <c r="K467" i="2"/>
  <c r="K596" i="2"/>
  <c r="K534" i="2"/>
  <c r="K191" i="2"/>
  <c r="K587" i="2"/>
  <c r="K182" i="2"/>
  <c r="K889" i="2" s="1"/>
  <c r="K19" i="2"/>
  <c r="K353" i="2"/>
  <c r="K419" i="2"/>
  <c r="K525" i="2"/>
  <c r="K125" i="2"/>
  <c r="K68" i="2"/>
  <c r="K248" i="2"/>
  <c r="G239" i="2" l="1"/>
  <c r="M817" i="2"/>
  <c r="L817" i="2"/>
  <c r="Q817" i="2"/>
  <c r="P817" i="2"/>
  <c r="O817" i="2"/>
  <c r="N817" i="2"/>
  <c r="J817" i="2"/>
  <c r="H817" i="2"/>
  <c r="I654" i="2"/>
  <c r="I679" i="2"/>
  <c r="P654" i="2"/>
  <c r="P679" i="2"/>
  <c r="H654" i="2"/>
  <c r="H679" i="2"/>
  <c r="M654" i="2"/>
  <c r="M679" i="2"/>
  <c r="K654" i="2"/>
  <c r="K679" i="2"/>
  <c r="L654" i="2"/>
  <c r="L679" i="2"/>
  <c r="R654" i="2"/>
  <c r="R679" i="2"/>
  <c r="T654" i="2"/>
  <c r="T679" i="2"/>
  <c r="O654" i="2"/>
  <c r="O679" i="2"/>
  <c r="J654" i="2"/>
  <c r="J679" i="2"/>
  <c r="Q654" i="2"/>
  <c r="Q679" i="2"/>
  <c r="N654" i="2"/>
  <c r="N679" i="2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I898" i="2" s="1"/>
  <c r="V896" i="2"/>
  <c r="W896" i="2" s="1"/>
  <c r="Q742" i="2"/>
  <c r="F288" i="2"/>
  <c r="R742" i="2"/>
  <c r="K742" i="2"/>
  <c r="L742" i="2"/>
  <c r="V802" i="2" l="1"/>
  <c r="W802" i="2" s="1"/>
  <c r="G817" i="2"/>
  <c r="V817" i="2" s="1"/>
  <c r="W817" i="2" s="1"/>
  <c r="X817" i="2" s="1"/>
  <c r="G654" i="2"/>
  <c r="G679" i="2"/>
  <c r="V679" i="2" s="1"/>
  <c r="W679" i="2" s="1"/>
  <c r="X679" i="2" s="1"/>
  <c r="G742" i="2"/>
  <c r="V742" i="2" s="1"/>
  <c r="W742" i="2" s="1"/>
  <c r="X742" i="2" s="1"/>
  <c r="V905" i="2"/>
  <c r="V10" i="2"/>
  <c r="W10" i="2" s="1"/>
  <c r="X10" i="2" s="1"/>
  <c r="V182" i="2"/>
  <c r="W182" i="2" s="1"/>
  <c r="X182" i="2" s="1"/>
  <c r="F671" i="2"/>
  <c r="F914" i="2"/>
  <c r="F734" i="2"/>
  <c r="AK117" i="1"/>
  <c r="H145" i="1"/>
  <c r="Q899" i="2"/>
  <c r="R899" i="2"/>
  <c r="I899" i="2"/>
  <c r="P899" i="2"/>
  <c r="S899" i="2"/>
  <c r="L899" i="2"/>
  <c r="O899" i="2"/>
  <c r="N899" i="2"/>
  <c r="M899" i="2"/>
  <c r="T899" i="2"/>
  <c r="K899" i="2"/>
  <c r="F899" i="2"/>
  <c r="J899" i="2"/>
  <c r="AL113" i="1"/>
  <c r="AM113" i="1"/>
  <c r="W905" i="2" l="1"/>
  <c r="X905" i="2" s="1"/>
  <c r="V654" i="2"/>
  <c r="W654" i="2" s="1"/>
  <c r="F785" i="2"/>
  <c r="F768" i="2"/>
  <c r="AK145" i="1"/>
  <c r="F123" i="2"/>
  <c r="F681" i="2"/>
  <c r="F703" i="2"/>
  <c r="AM117" i="1"/>
  <c r="AL117" i="1"/>
  <c r="V899" i="2" l="1"/>
  <c r="W899" i="2" s="1"/>
  <c r="G585" i="2"/>
  <c r="F791" i="2"/>
  <c r="N189" i="2"/>
  <c r="N192" i="2" s="1"/>
  <c r="N465" i="2"/>
  <c r="N471" i="2" s="1"/>
  <c r="N180" i="2"/>
  <c r="N594" i="2"/>
  <c r="N597" i="2" s="1"/>
  <c r="N132" i="2"/>
  <c r="N135" i="2" s="1"/>
  <c r="N585" i="2"/>
  <c r="N591" i="2" s="1"/>
  <c r="N417" i="2"/>
  <c r="N420" i="2" s="1"/>
  <c r="N294" i="2"/>
  <c r="N300" i="2" s="1"/>
  <c r="N474" i="2"/>
  <c r="N477" i="2" s="1"/>
  <c r="N523" i="2"/>
  <c r="N529" i="2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N75" i="2"/>
  <c r="N78" i="2" s="1"/>
  <c r="N303" i="2"/>
  <c r="N306" i="2" s="1"/>
  <c r="N360" i="2"/>
  <c r="N363" i="2" s="1"/>
  <c r="N246" i="2"/>
  <c r="N249" i="2" s="1"/>
  <c r="N237" i="2"/>
  <c r="N243" i="2" s="1"/>
  <c r="F811" i="2"/>
  <c r="F683" i="2"/>
  <c r="M189" i="2"/>
  <c r="M192" i="2" s="1"/>
  <c r="M180" i="2"/>
  <c r="M408" i="2"/>
  <c r="M414" i="2" s="1"/>
  <c r="M532" i="2"/>
  <c r="M535" i="2" s="1"/>
  <c r="M132" i="2"/>
  <c r="M135" i="2" s="1"/>
  <c r="M417" i="2"/>
  <c r="M420" i="2" s="1"/>
  <c r="M66" i="2"/>
  <c r="M72" i="2" s="1"/>
  <c r="M360" i="2"/>
  <c r="M363" i="2" s="1"/>
  <c r="M594" i="2"/>
  <c r="M597" i="2" s="1"/>
  <c r="M123" i="2"/>
  <c r="M523" i="2"/>
  <c r="M529" i="2" s="1"/>
  <c r="M246" i="2"/>
  <c r="M249" i="2" s="1"/>
  <c r="M303" i="2"/>
  <c r="M306" i="2" s="1"/>
  <c r="M294" i="2"/>
  <c r="M300" i="2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L132" i="2"/>
  <c r="L135" i="2" s="1"/>
  <c r="L189" i="2"/>
  <c r="L192" i="2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L594" i="2"/>
  <c r="L597" i="2" s="1"/>
  <c r="L66" i="2"/>
  <c r="L72" i="2" s="1"/>
  <c r="L303" i="2"/>
  <c r="L306" i="2" s="1"/>
  <c r="L123" i="2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532" i="2"/>
  <c r="G474" i="2"/>
  <c r="G132" i="2"/>
  <c r="G303" i="2"/>
  <c r="G417" i="2"/>
  <c r="G75" i="2"/>
  <c r="G17" i="2"/>
  <c r="G360" i="2"/>
  <c r="G246" i="2"/>
  <c r="G189" i="2"/>
  <c r="G594" i="2"/>
  <c r="P189" i="2"/>
  <c r="P192" i="2" s="1"/>
  <c r="P75" i="2"/>
  <c r="P78" i="2" s="1"/>
  <c r="P180" i="2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P294" i="2"/>
  <c r="P300" i="2" s="1"/>
  <c r="P132" i="2"/>
  <c r="P135" i="2" s="1"/>
  <c r="P523" i="2"/>
  <c r="P529" i="2" s="1"/>
  <c r="P532" i="2"/>
  <c r="P535" i="2" s="1"/>
  <c r="P123" i="2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H585" i="2"/>
  <c r="H591" i="2" s="1"/>
  <c r="H180" i="2"/>
  <c r="H66" i="2"/>
  <c r="H72" i="2" s="1"/>
  <c r="H294" i="2"/>
  <c r="H300" i="2" s="1"/>
  <c r="H351" i="2"/>
  <c r="H357" i="2" s="1"/>
  <c r="H594" i="2"/>
  <c r="H597" i="2" s="1"/>
  <c r="H523" i="2"/>
  <c r="H529" i="2" s="1"/>
  <c r="H132" i="2"/>
  <c r="H135" i="2" s="1"/>
  <c r="H123" i="2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Q180" i="2"/>
  <c r="Q532" i="2"/>
  <c r="Q535" i="2" s="1"/>
  <c r="Q303" i="2"/>
  <c r="Q306" i="2" s="1"/>
  <c r="Q360" i="2"/>
  <c r="Q363" i="2" s="1"/>
  <c r="Q132" i="2"/>
  <c r="Q135" i="2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Q294" i="2"/>
  <c r="Q300" i="2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J189" i="2"/>
  <c r="J192" i="2" s="1"/>
  <c r="J180" i="2"/>
  <c r="J8" i="2"/>
  <c r="J14" i="2" s="1"/>
  <c r="J585" i="2"/>
  <c r="J591" i="2" s="1"/>
  <c r="J351" i="2"/>
  <c r="J357" i="2" s="1"/>
  <c r="J465" i="2"/>
  <c r="J471" i="2" s="1"/>
  <c r="J303" i="2"/>
  <c r="J306" i="2" s="1"/>
  <c r="J294" i="2"/>
  <c r="J300" i="2" s="1"/>
  <c r="J532" i="2"/>
  <c r="J535" i="2" s="1"/>
  <c r="J123" i="2"/>
  <c r="J594" i="2"/>
  <c r="J597" i="2" s="1"/>
  <c r="J66" i="2"/>
  <c r="J72" i="2" s="1"/>
  <c r="J417" i="2"/>
  <c r="J420" i="2" s="1"/>
  <c r="J360" i="2"/>
  <c r="J363" i="2" s="1"/>
  <c r="J523" i="2"/>
  <c r="J529" i="2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408" i="2" l="1"/>
  <c r="G414" i="2" s="1"/>
  <c r="G66" i="2"/>
  <c r="V66" i="2" s="1"/>
  <c r="W66" i="2" s="1"/>
  <c r="X66" i="2" s="1"/>
  <c r="G237" i="2"/>
  <c r="G243" i="2" s="1"/>
  <c r="G123" i="2"/>
  <c r="G129" i="2" s="1"/>
  <c r="G918" i="2" s="1"/>
  <c r="G8" i="2"/>
  <c r="V8" i="2" s="1"/>
  <c r="W8" i="2" s="1"/>
  <c r="X8" i="2" s="1"/>
  <c r="V900" i="2"/>
  <c r="W900" i="2" s="1"/>
  <c r="G523" i="2"/>
  <c r="G529" i="2" s="1"/>
  <c r="G180" i="2"/>
  <c r="V180" i="2" s="1"/>
  <c r="W180" i="2" s="1"/>
  <c r="X180" i="2" s="1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O636" i="2"/>
  <c r="O787" i="2" s="1"/>
  <c r="M636" i="2"/>
  <c r="M787" i="2" s="1"/>
  <c r="J186" i="2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H186" i="2"/>
  <c r="P574" i="2"/>
  <c r="P676" i="2" s="1"/>
  <c r="P739" i="2" s="1"/>
  <c r="G306" i="2"/>
  <c r="V303" i="2"/>
  <c r="W303" i="2" s="1"/>
  <c r="X303" i="2" s="1"/>
  <c r="O186" i="2"/>
  <c r="R117" i="2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O129" i="2"/>
  <c r="O174" i="2" s="1"/>
  <c r="L636" i="2"/>
  <c r="R174" i="2"/>
  <c r="R685" i="2" s="1"/>
  <c r="S288" i="2"/>
  <c r="N129" i="2"/>
  <c r="N174" i="2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L186" i="2"/>
  <c r="M459" i="2"/>
  <c r="M674" i="2" s="1"/>
  <c r="T756" i="2"/>
  <c r="T660" i="2"/>
  <c r="T759" i="2"/>
  <c r="T659" i="2"/>
  <c r="P745" i="2"/>
  <c r="P345" i="2"/>
  <c r="L745" i="2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G135" i="2"/>
  <c r="V132" i="2"/>
  <c r="W132" i="2" s="1"/>
  <c r="X132" i="2" s="1"/>
  <c r="J745" i="2"/>
  <c r="J345" i="2"/>
  <c r="Q745" i="2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P129" i="2"/>
  <c r="P174" i="2" s="1"/>
  <c r="P117" i="2"/>
  <c r="P459" i="2"/>
  <c r="P674" i="2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L773" i="2"/>
  <c r="L15" i="2"/>
  <c r="L59" i="2"/>
  <c r="R59" i="2"/>
  <c r="R773" i="2"/>
  <c r="R288" i="2"/>
  <c r="R516" i="2"/>
  <c r="M745" i="2"/>
  <c r="M345" i="2"/>
  <c r="F819" i="2"/>
  <c r="N15" i="2"/>
  <c r="N59" i="2"/>
  <c r="N773" i="2"/>
  <c r="V408" i="2" l="1"/>
  <c r="W408" i="2" s="1"/>
  <c r="X408" i="2" s="1"/>
  <c r="G72" i="2"/>
  <c r="G117" i="2" s="1"/>
  <c r="V237" i="2"/>
  <c r="W237" i="2" s="1"/>
  <c r="X237" i="2" s="1"/>
  <c r="V123" i="2"/>
  <c r="W123" i="2" s="1"/>
  <c r="X123" i="2" s="1"/>
  <c r="G14" i="2"/>
  <c r="V14" i="2" s="1"/>
  <c r="W14" i="2" s="1"/>
  <c r="X14" i="2" s="1"/>
  <c r="G186" i="2"/>
  <c r="V186" i="2" s="1"/>
  <c r="W186" i="2" s="1"/>
  <c r="X186" i="2" s="1"/>
  <c r="V523" i="2"/>
  <c r="W523" i="2" s="1"/>
  <c r="X523" i="2" s="1"/>
  <c r="G471" i="2"/>
  <c r="V294" i="2"/>
  <c r="W294" i="2" s="1"/>
  <c r="X294" i="2" s="1"/>
  <c r="G357" i="2"/>
  <c r="S658" i="2"/>
  <c r="N658" i="2"/>
  <c r="H658" i="2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L753" i="2"/>
  <c r="L758" i="2"/>
  <c r="M758" i="2"/>
  <c r="M753" i="2"/>
  <c r="M658" i="2"/>
  <c r="O675" i="2"/>
  <c r="O738" i="2"/>
  <c r="J737" i="2"/>
  <c r="H735" i="2"/>
  <c r="H774" i="2"/>
  <c r="H750" i="2"/>
  <c r="H672" i="2"/>
  <c r="V129" i="2"/>
  <c r="W129" i="2" s="1"/>
  <c r="X129" i="2" s="1"/>
  <c r="G174" i="2"/>
  <c r="G754" i="2" s="1"/>
  <c r="H231" i="2"/>
  <c r="H187" i="2"/>
  <c r="I734" i="2"/>
  <c r="I671" i="2"/>
  <c r="I914" i="2"/>
  <c r="I775" i="2" s="1"/>
  <c r="N673" i="2"/>
  <c r="N736" i="2"/>
  <c r="N737" i="2"/>
  <c r="G745" i="2"/>
  <c r="V300" i="2"/>
  <c r="W300" i="2" s="1"/>
  <c r="X300" i="2" s="1"/>
  <c r="G345" i="2"/>
  <c r="F821" i="2"/>
  <c r="V192" i="2"/>
  <c r="W192" i="2" s="1"/>
  <c r="X192" i="2" s="1"/>
  <c r="Q787" i="2"/>
  <c r="Q705" i="2"/>
  <c r="H685" i="2"/>
  <c r="L675" i="2"/>
  <c r="L738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V529" i="2"/>
  <c r="W529" i="2" s="1"/>
  <c r="X529" i="2" s="1"/>
  <c r="G574" i="2"/>
  <c r="S672" i="2"/>
  <c r="S774" i="2"/>
  <c r="S735" i="2"/>
  <c r="S750" i="2"/>
  <c r="L736" i="2"/>
  <c r="L673" i="2"/>
  <c r="L774" i="2"/>
  <c r="L750" i="2"/>
  <c r="L735" i="2"/>
  <c r="L672" i="2"/>
  <c r="M737" i="2"/>
  <c r="G459" i="2"/>
  <c r="V414" i="2"/>
  <c r="W414" i="2" s="1"/>
  <c r="X414" i="2" s="1"/>
  <c r="H737" i="2"/>
  <c r="L787" i="2"/>
  <c r="L705" i="2"/>
  <c r="I774" i="2"/>
  <c r="I735" i="2"/>
  <c r="I672" i="2"/>
  <c r="I750" i="2"/>
  <c r="O187" i="2"/>
  <c r="O231" i="2"/>
  <c r="J685" i="2"/>
  <c r="M675" i="2"/>
  <c r="M738" i="2"/>
  <c r="K753" i="2"/>
  <c r="K758" i="2"/>
  <c r="K658" i="2"/>
  <c r="R675" i="2"/>
  <c r="R738" i="2"/>
  <c r="V420" i="2"/>
  <c r="W420" i="2" s="1"/>
  <c r="X420" i="2" s="1"/>
  <c r="R735" i="2"/>
  <c r="R672" i="2"/>
  <c r="R750" i="2"/>
  <c r="R774" i="2"/>
  <c r="F18" i="23"/>
  <c r="S772" i="2"/>
  <c r="G288" i="2"/>
  <c r="V243" i="2"/>
  <c r="W243" i="2" s="1"/>
  <c r="X243" i="2" s="1"/>
  <c r="Q736" i="2"/>
  <c r="Q673" i="2"/>
  <c r="M187" i="2"/>
  <c r="M231" i="2"/>
  <c r="Q774" i="2"/>
  <c r="Q735" i="2"/>
  <c r="Q750" i="2"/>
  <c r="Q672" i="2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V72" i="2"/>
  <c r="W72" i="2" s="1"/>
  <c r="X72" i="2" s="1"/>
  <c r="K675" i="2"/>
  <c r="K738" i="2"/>
  <c r="J675" i="2"/>
  <c r="J738" i="2"/>
  <c r="S925" i="2"/>
  <c r="J753" i="2"/>
  <c r="J758" i="2"/>
  <c r="J658" i="2"/>
  <c r="R705" i="2"/>
  <c r="R789" i="2" s="1"/>
  <c r="R787" i="2"/>
  <c r="I753" i="2"/>
  <c r="I658" i="2"/>
  <c r="I758" i="2"/>
  <c r="P774" i="2"/>
  <c r="P735" i="2"/>
  <c r="P750" i="2"/>
  <c r="P672" i="2"/>
  <c r="O774" i="2"/>
  <c r="O750" i="2"/>
  <c r="O735" i="2"/>
  <c r="O672" i="2"/>
  <c r="Q753" i="2"/>
  <c r="Q758" i="2"/>
  <c r="Q658" i="2"/>
  <c r="N675" i="2"/>
  <c r="N738" i="2"/>
  <c r="P187" i="2"/>
  <c r="P231" i="2"/>
  <c r="H675" i="2"/>
  <c r="H738" i="2"/>
  <c r="V135" i="2"/>
  <c r="W135" i="2" s="1"/>
  <c r="X135" i="2" s="1"/>
  <c r="M750" i="2"/>
  <c r="M735" i="2"/>
  <c r="M774" i="2"/>
  <c r="M672" i="2"/>
  <c r="P758" i="2"/>
  <c r="P753" i="2"/>
  <c r="P658" i="2"/>
  <c r="J774" i="2"/>
  <c r="J735" i="2"/>
  <c r="J750" i="2"/>
  <c r="J672" i="2"/>
  <c r="O737" i="2"/>
  <c r="S734" i="2"/>
  <c r="S914" i="2"/>
  <c r="S775" i="2" s="1"/>
  <c r="S671" i="2"/>
  <c r="P787" i="2"/>
  <c r="P705" i="2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N735" i="2"/>
  <c r="N750" i="2"/>
  <c r="N774" i="2"/>
  <c r="N672" i="2"/>
  <c r="V306" i="2"/>
  <c r="W306" i="2" s="1"/>
  <c r="X306" i="2" s="1"/>
  <c r="R925" i="2"/>
  <c r="G773" i="2" l="1"/>
  <c r="V773" i="2" s="1"/>
  <c r="W773" i="2" s="1"/>
  <c r="G15" i="2"/>
  <c r="G59" i="2"/>
  <c r="V59" i="2" s="1"/>
  <c r="W59" i="2" s="1"/>
  <c r="X59" i="2" s="1"/>
  <c r="G187" i="2"/>
  <c r="G231" i="2"/>
  <c r="G760" i="2" s="1"/>
  <c r="G516" i="2"/>
  <c r="G738" i="2" s="1"/>
  <c r="V738" i="2" s="1"/>
  <c r="W738" i="2" s="1"/>
  <c r="X738" i="2" s="1"/>
  <c r="V471" i="2"/>
  <c r="W471" i="2" s="1"/>
  <c r="X471" i="2" s="1"/>
  <c r="N925" i="2"/>
  <c r="N722" i="2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J925" i="2"/>
  <c r="H925" i="2"/>
  <c r="H722" i="2" s="1"/>
  <c r="Q925" i="2"/>
  <c r="Q722" i="2" s="1"/>
  <c r="P925" i="2"/>
  <c r="P722" i="2" s="1"/>
  <c r="T776" i="2"/>
  <c r="F41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9" i="23" s="1"/>
  <c r="N760" i="2"/>
  <c r="N757" i="2"/>
  <c r="V922" i="2"/>
  <c r="W922" i="2" s="1"/>
  <c r="X922" i="2" s="1"/>
  <c r="J760" i="2"/>
  <c r="J757" i="2"/>
  <c r="S776" i="2"/>
  <c r="F40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2" i="2"/>
  <c r="N723" i="2"/>
  <c r="R703" i="2"/>
  <c r="N653" i="2"/>
  <c r="T703" i="2"/>
  <c r="T722" i="2"/>
  <c r="T723" i="2"/>
  <c r="I723" i="2"/>
  <c r="G735" i="2"/>
  <c r="G750" i="2"/>
  <c r="G672" i="2"/>
  <c r="G774" i="2"/>
  <c r="V774" i="2" s="1"/>
  <c r="W774" i="2" s="1"/>
  <c r="V345" i="2"/>
  <c r="V574" i="2"/>
  <c r="W574" i="2" s="1"/>
  <c r="X574" i="2" s="1"/>
  <c r="G676" i="2"/>
  <c r="V659" i="2"/>
  <c r="W659" i="2" s="1"/>
  <c r="X659" i="2" s="1"/>
  <c r="M914" i="2"/>
  <c r="M775" i="2" s="1"/>
  <c r="M734" i="2"/>
  <c r="M671" i="2"/>
  <c r="F13" i="23"/>
  <c r="O772" i="2"/>
  <c r="N671" i="2"/>
  <c r="N734" i="2"/>
  <c r="N914" i="2"/>
  <c r="N775" i="2" s="1"/>
  <c r="G705" i="2"/>
  <c r="G789" i="2" s="1"/>
  <c r="V636" i="2"/>
  <c r="W636" i="2" s="1"/>
  <c r="X636" i="2" s="1"/>
  <c r="G787" i="2"/>
  <c r="V787" i="2" s="1"/>
  <c r="W787" i="2" s="1"/>
  <c r="X787" i="2" s="1"/>
  <c r="S722" i="2"/>
  <c r="S723" i="2"/>
  <c r="S653" i="2"/>
  <c r="S668" i="2" s="1"/>
  <c r="G753" i="2"/>
  <c r="V753" i="2" s="1"/>
  <c r="W753" i="2" s="1"/>
  <c r="G658" i="2"/>
  <c r="V117" i="2"/>
  <c r="W117" i="2" s="1"/>
  <c r="X117" i="2" s="1"/>
  <c r="G758" i="2"/>
  <c r="V758" i="2" s="1"/>
  <c r="W758" i="2" s="1"/>
  <c r="X758" i="2" s="1"/>
  <c r="V756" i="2"/>
  <c r="W756" i="2" s="1"/>
  <c r="O734" i="2"/>
  <c r="O671" i="2"/>
  <c r="O914" i="2"/>
  <c r="O775" i="2" s="1"/>
  <c r="F8" i="23"/>
  <c r="H772" i="2"/>
  <c r="H914" i="2"/>
  <c r="H775" i="2" s="1"/>
  <c r="H671" i="2"/>
  <c r="H734" i="2"/>
  <c r="K703" i="2"/>
  <c r="F14" i="23"/>
  <c r="P772" i="2"/>
  <c r="K722" i="2"/>
  <c r="K723" i="2"/>
  <c r="K653" i="2"/>
  <c r="K668" i="2" s="1"/>
  <c r="F11" i="23"/>
  <c r="M772" i="2"/>
  <c r="I703" i="2"/>
  <c r="V174" i="2"/>
  <c r="W174" i="2" s="1"/>
  <c r="X174" i="2" s="1"/>
  <c r="G685" i="2"/>
  <c r="F772" i="2"/>
  <c r="F15" i="23"/>
  <c r="Q772" i="2"/>
  <c r="G674" i="2"/>
  <c r="V459" i="2"/>
  <c r="W459" i="2" s="1"/>
  <c r="X459" i="2" s="1"/>
  <c r="V745" i="2"/>
  <c r="W745" i="2" s="1"/>
  <c r="X745" i="2" s="1"/>
  <c r="P914" i="2"/>
  <c r="P775" i="2" s="1"/>
  <c r="P671" i="2"/>
  <c r="P734" i="2"/>
  <c r="F9" i="23"/>
  <c r="J772" i="2"/>
  <c r="L914" i="2"/>
  <c r="L775" i="2" s="1"/>
  <c r="L671" i="2"/>
  <c r="L734" i="2"/>
  <c r="Q671" i="2"/>
  <c r="Q914" i="2"/>
  <c r="Q775" i="2" s="1"/>
  <c r="Q734" i="2"/>
  <c r="R723" i="2"/>
  <c r="R722" i="2"/>
  <c r="R653" i="2"/>
  <c r="R668" i="2" s="1"/>
  <c r="J914" i="2"/>
  <c r="J775" i="2" s="1"/>
  <c r="J671" i="2"/>
  <c r="J734" i="2"/>
  <c r="L772" i="2"/>
  <c r="F10" i="23"/>
  <c r="G722" i="2"/>
  <c r="G653" i="2"/>
  <c r="G723" i="2"/>
  <c r="S703" i="2"/>
  <c r="N772" i="2"/>
  <c r="F12" i="23"/>
  <c r="V231" i="2" l="1"/>
  <c r="W231" i="2" s="1"/>
  <c r="X231" i="2" s="1"/>
  <c r="G757" i="2"/>
  <c r="V757" i="2" s="1"/>
  <c r="W757" i="2" s="1"/>
  <c r="X757" i="2" s="1"/>
  <c r="G914" i="2"/>
  <c r="V914" i="2" s="1"/>
  <c r="W914" i="2" s="1"/>
  <c r="X914" i="2" s="1"/>
  <c r="G734" i="2"/>
  <c r="G671" i="2"/>
  <c r="V671" i="2" s="1"/>
  <c r="W671" i="2" s="1"/>
  <c r="X671" i="2" s="1"/>
  <c r="I823" i="2"/>
  <c r="F52" i="23" s="1"/>
  <c r="F30" i="23"/>
  <c r="V516" i="2"/>
  <c r="W516" i="2" s="1"/>
  <c r="X516" i="2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V789" i="2"/>
  <c r="W789" i="2" s="1"/>
  <c r="X789" i="2" s="1"/>
  <c r="O722" i="2"/>
  <c r="M722" i="2"/>
  <c r="J723" i="2"/>
  <c r="J653" i="2"/>
  <c r="M723" i="2"/>
  <c r="Q723" i="2"/>
  <c r="Q653" i="2"/>
  <c r="H723" i="2"/>
  <c r="H653" i="2"/>
  <c r="T823" i="2"/>
  <c r="F63" i="23" s="1"/>
  <c r="J722" i="2"/>
  <c r="P723" i="2"/>
  <c r="L653" i="2"/>
  <c r="L723" i="2"/>
  <c r="P653" i="2"/>
  <c r="V925" i="2"/>
  <c r="W925" i="2" s="1"/>
  <c r="X925" i="2" s="1"/>
  <c r="T714" i="2"/>
  <c r="T729" i="2" s="1"/>
  <c r="C41" i="23" s="1"/>
  <c r="I714" i="2"/>
  <c r="I729" i="2" s="1"/>
  <c r="C30" i="23" s="1"/>
  <c r="T701" i="2"/>
  <c r="T707" i="2" s="1"/>
  <c r="R823" i="2"/>
  <c r="F61" i="23" s="1"/>
  <c r="J776" i="2"/>
  <c r="J823" i="2" s="1"/>
  <c r="F53" i="23" s="1"/>
  <c r="L776" i="2"/>
  <c r="F32" i="23" s="1"/>
  <c r="V760" i="2"/>
  <c r="W760" i="2" s="1"/>
  <c r="X760" i="2" s="1"/>
  <c r="N776" i="2"/>
  <c r="F34" i="23" s="1"/>
  <c r="Q776" i="2"/>
  <c r="F37" i="23" s="1"/>
  <c r="P776" i="2"/>
  <c r="P823" i="2" s="1"/>
  <c r="F58" i="23" s="1"/>
  <c r="H776" i="2"/>
  <c r="H823" i="2" s="1"/>
  <c r="F51" i="23" s="1"/>
  <c r="M776" i="2"/>
  <c r="M823" i="2" s="1"/>
  <c r="F55" i="23" s="1"/>
  <c r="S823" i="2"/>
  <c r="F62" i="23" s="1"/>
  <c r="F38" i="23"/>
  <c r="O776" i="2"/>
  <c r="F35" i="23" s="1"/>
  <c r="N668" i="2"/>
  <c r="C12" i="23" s="1"/>
  <c r="H703" i="2"/>
  <c r="W345" i="2"/>
  <c r="X345" i="2" s="1"/>
  <c r="V735" i="2"/>
  <c r="W735" i="2" s="1"/>
  <c r="X735" i="2" s="1"/>
  <c r="Q703" i="2"/>
  <c r="V658" i="2"/>
  <c r="W658" i="2" s="1"/>
  <c r="X658" i="2" s="1"/>
  <c r="V705" i="2"/>
  <c r="W705" i="2" s="1"/>
  <c r="X705" i="2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N703" i="2"/>
  <c r="G668" i="2"/>
  <c r="O703" i="2"/>
  <c r="G775" i="2" l="1"/>
  <c r="V775" i="2" s="1"/>
  <c r="W775" i="2" s="1"/>
  <c r="M714" i="2"/>
  <c r="M729" i="2" s="1"/>
  <c r="C33" i="23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6" i="23"/>
  <c r="V723" i="2"/>
  <c r="W723" i="2" s="1"/>
  <c r="X723" i="2" s="1"/>
  <c r="N823" i="2"/>
  <c r="F56" i="23" s="1"/>
  <c r="F33" i="23"/>
  <c r="F29" i="23"/>
  <c r="V721" i="2"/>
  <c r="W721" i="2" s="1"/>
  <c r="X721" i="2" s="1"/>
  <c r="P668" i="2"/>
  <c r="P701" i="2" s="1"/>
  <c r="P707" i="2" s="1"/>
  <c r="I800" i="2"/>
  <c r="I806" i="2" s="1"/>
  <c r="C52" i="23" s="1"/>
  <c r="I783" i="2"/>
  <c r="F60" i="23"/>
  <c r="O823" i="2"/>
  <c r="F57" i="23" s="1"/>
  <c r="F31" i="23"/>
  <c r="T800" i="2"/>
  <c r="T806" i="2" s="1"/>
  <c r="C63" i="23" s="1"/>
  <c r="Q823" i="2"/>
  <c r="F59" i="23" s="1"/>
  <c r="L823" i="2"/>
  <c r="F54" i="23" s="1"/>
  <c r="T783" i="2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N714" i="2"/>
  <c r="N729" i="2" s="1"/>
  <c r="S783" i="2"/>
  <c r="C40" i="23"/>
  <c r="S800" i="2"/>
  <c r="S806" i="2" s="1"/>
  <c r="C7" i="23"/>
  <c r="G714" i="2"/>
  <c r="G701" i="2"/>
  <c r="K783" i="2"/>
  <c r="K800" i="2"/>
  <c r="K806" i="2" s="1"/>
  <c r="O714" i="2"/>
  <c r="O729" i="2" s="1"/>
  <c r="O701" i="2"/>
  <c r="O707" i="2" s="1"/>
  <c r="C13" i="23"/>
  <c r="V772" i="2"/>
  <c r="W772" i="2" s="1"/>
  <c r="X772" i="2" s="1"/>
  <c r="C16" i="23"/>
  <c r="F823" i="2"/>
  <c r="F778" i="2"/>
  <c r="R783" i="2"/>
  <c r="C39" i="23"/>
  <c r="R800" i="2"/>
  <c r="R806" i="2" s="1"/>
  <c r="V739" i="2"/>
  <c r="W739" i="2" s="1"/>
  <c r="X739" i="2" s="1"/>
  <c r="W676" i="2"/>
  <c r="X676" i="2" s="1"/>
  <c r="G776" i="2" l="1"/>
  <c r="C9" i="23"/>
  <c r="J701" i="2"/>
  <c r="J707" i="2" s="1"/>
  <c r="J762" i="2" s="1"/>
  <c r="H714" i="2"/>
  <c r="H729" i="2" s="1"/>
  <c r="H800" i="2" s="1"/>
  <c r="H806" i="2" s="1"/>
  <c r="C8" i="23"/>
  <c r="M783" i="2"/>
  <c r="Q701" i="2"/>
  <c r="Q707" i="2" s="1"/>
  <c r="Q763" i="2" s="1"/>
  <c r="Q714" i="2"/>
  <c r="Q729" i="2" s="1"/>
  <c r="C37" i="23" s="1"/>
  <c r="C10" i="23"/>
  <c r="L714" i="2"/>
  <c r="L729" i="2" s="1"/>
  <c r="L783" i="2" s="1"/>
  <c r="M800" i="2"/>
  <c r="M806" i="2" s="1"/>
  <c r="C14" i="23"/>
  <c r="P714" i="2"/>
  <c r="P729" i="2" s="1"/>
  <c r="P800" i="2" s="1"/>
  <c r="P806" i="2" s="1"/>
  <c r="V668" i="2"/>
  <c r="W668" i="2" s="1"/>
  <c r="X668" i="2" s="1"/>
  <c r="K764" i="2"/>
  <c r="K813" i="2" s="1"/>
  <c r="S764" i="2"/>
  <c r="S813" i="2" s="1"/>
  <c r="I768" i="2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N762" i="2"/>
  <c r="N761" i="2"/>
  <c r="I811" i="2"/>
  <c r="I683" i="2"/>
  <c r="H762" i="2"/>
  <c r="H763" i="2"/>
  <c r="H677" i="2"/>
  <c r="H681" i="2" s="1"/>
  <c r="H761" i="2"/>
  <c r="H740" i="2"/>
  <c r="D17" i="23"/>
  <c r="R811" i="2"/>
  <c r="R683" i="2"/>
  <c r="K768" i="2"/>
  <c r="K770" i="2" s="1"/>
  <c r="K778" i="2" s="1"/>
  <c r="M740" i="2"/>
  <c r="M761" i="2"/>
  <c r="M677" i="2"/>
  <c r="M681" i="2" s="1"/>
  <c r="M763" i="2"/>
  <c r="M762" i="2"/>
  <c r="P761" i="2"/>
  <c r="P740" i="2"/>
  <c r="P762" i="2"/>
  <c r="P677" i="2"/>
  <c r="P681" i="2" s="1"/>
  <c r="P763" i="2"/>
  <c r="R768" i="2"/>
  <c r="N783" i="2"/>
  <c r="N800" i="2"/>
  <c r="N806" i="2" s="1"/>
  <c r="C34" i="23"/>
  <c r="C61" i="23"/>
  <c r="C35" i="23"/>
  <c r="O783" i="2"/>
  <c r="O800" i="2"/>
  <c r="O806" i="2" s="1"/>
  <c r="F825" i="2"/>
  <c r="G729" i="2"/>
  <c r="F28" i="23"/>
  <c r="F42" i="23" s="1"/>
  <c r="G823" i="2"/>
  <c r="F50" i="23" s="1"/>
  <c r="F64" i="23" s="1"/>
  <c r="V776" i="2"/>
  <c r="G707" i="2"/>
  <c r="J800" i="2"/>
  <c r="J806" i="2" s="1"/>
  <c r="J783" i="2"/>
  <c r="C31" i="23"/>
  <c r="C62" i="23"/>
  <c r="C38" i="23"/>
  <c r="I770" i="2" l="1"/>
  <c r="I778" i="2" s="1"/>
  <c r="D30" i="23"/>
  <c r="E30" i="23" s="1"/>
  <c r="G30" i="23" s="1"/>
  <c r="J677" i="2"/>
  <c r="J681" i="2" s="1"/>
  <c r="J811" i="2" s="1"/>
  <c r="J763" i="2"/>
  <c r="J761" i="2"/>
  <c r="J740" i="2"/>
  <c r="C55" i="23"/>
  <c r="C56" i="23"/>
  <c r="C29" i="23"/>
  <c r="H783" i="2"/>
  <c r="Q762" i="2"/>
  <c r="Q677" i="2"/>
  <c r="Q681" i="2" s="1"/>
  <c r="Q811" i="2" s="1"/>
  <c r="Q740" i="2"/>
  <c r="Q761" i="2"/>
  <c r="V701" i="2"/>
  <c r="W701" i="2" s="1"/>
  <c r="X701" i="2" s="1"/>
  <c r="Q783" i="2"/>
  <c r="Q800" i="2"/>
  <c r="Q806" i="2" s="1"/>
  <c r="C32" i="23"/>
  <c r="C20" i="23"/>
  <c r="L800" i="2"/>
  <c r="L806" i="2" s="1"/>
  <c r="C36" i="23"/>
  <c r="P783" i="2"/>
  <c r="V714" i="2"/>
  <c r="W714" i="2" s="1"/>
  <c r="X714" i="2" s="1"/>
  <c r="I785" i="2"/>
  <c r="I791" i="2" s="1"/>
  <c r="K785" i="2"/>
  <c r="K791" i="2" s="1"/>
  <c r="S785" i="2"/>
  <c r="S791" i="2" s="1"/>
  <c r="S819" i="2"/>
  <c r="D62" i="23" s="1"/>
  <c r="E62" i="23" s="1"/>
  <c r="G62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40" i="23"/>
  <c r="E40" i="23" s="1"/>
  <c r="G40" i="23" s="1"/>
  <c r="S770" i="2"/>
  <c r="S778" i="2" s="1"/>
  <c r="V707" i="2"/>
  <c r="W707" i="2" s="1"/>
  <c r="X707" i="2" s="1"/>
  <c r="G740" i="2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D39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1" i="23"/>
  <c r="E41" i="23" s="1"/>
  <c r="G41" i="23" s="1"/>
  <c r="T770" i="2"/>
  <c r="T778" i="2" s="1"/>
  <c r="T819" i="2"/>
  <c r="C53" i="23"/>
  <c r="G783" i="2"/>
  <c r="G800" i="2"/>
  <c r="C28" i="23"/>
  <c r="V729" i="2"/>
  <c r="C57" i="23"/>
  <c r="C60" i="23"/>
  <c r="C58" i="23"/>
  <c r="C51" i="23"/>
  <c r="V823" i="2"/>
  <c r="W823" i="2" s="1"/>
  <c r="W776" i="2"/>
  <c r="X776" i="2" s="1"/>
  <c r="I821" i="2" l="1"/>
  <c r="I825" i="2" s="1"/>
  <c r="D52" i="23"/>
  <c r="E52" i="23" s="1"/>
  <c r="G52" i="23" s="1"/>
  <c r="J764" i="2"/>
  <c r="J813" i="2" s="1"/>
  <c r="J768" i="2"/>
  <c r="J770" i="2" s="1"/>
  <c r="J778" i="2" s="1"/>
  <c r="J683" i="2"/>
  <c r="D9" i="23"/>
  <c r="E9" i="23" s="1"/>
  <c r="G9" i="23" s="1"/>
  <c r="V763" i="2"/>
  <c r="W763" i="2" s="1"/>
  <c r="C59" i="23"/>
  <c r="C54" i="23"/>
  <c r="V762" i="2"/>
  <c r="W762" i="2" s="1"/>
  <c r="Q764" i="2"/>
  <c r="Q813" i="2" s="1"/>
  <c r="Q683" i="2"/>
  <c r="D15" i="23"/>
  <c r="E15" i="23" s="1"/>
  <c r="G15" i="23" s="1"/>
  <c r="Q768" i="2"/>
  <c r="D37" i="23" s="1"/>
  <c r="E37" i="23" s="1"/>
  <c r="G37" i="23" s="1"/>
  <c r="S821" i="2"/>
  <c r="S825" i="2" s="1"/>
  <c r="D61" i="23"/>
  <c r="E61" i="23" s="1"/>
  <c r="G61" i="23" s="1"/>
  <c r="R821" i="2"/>
  <c r="R825" i="2" s="1"/>
  <c r="M813" i="2"/>
  <c r="M785" i="2"/>
  <c r="M791" i="2" s="1"/>
  <c r="D29" i="23"/>
  <c r="E29" i="23" s="1"/>
  <c r="G29" i="23" s="1"/>
  <c r="H770" i="2"/>
  <c r="H778" i="2" s="1"/>
  <c r="V740" i="2"/>
  <c r="W740" i="2" s="1"/>
  <c r="X740" i="2" s="1"/>
  <c r="G768" i="2"/>
  <c r="D63" i="23"/>
  <c r="T821" i="2"/>
  <c r="T825" i="2" s="1"/>
  <c r="D32" i="23"/>
  <c r="E32" i="23" s="1"/>
  <c r="G32" i="23" s="1"/>
  <c r="L770" i="2"/>
  <c r="L778" i="2" s="1"/>
  <c r="E16" i="23"/>
  <c r="G16" i="23" s="1"/>
  <c r="G17" i="23"/>
  <c r="P813" i="2"/>
  <c r="P785" i="2"/>
  <c r="P791" i="2" s="1"/>
  <c r="N813" i="2"/>
  <c r="N785" i="2"/>
  <c r="N791" i="2" s="1"/>
  <c r="V677" i="2"/>
  <c r="W677" i="2" s="1"/>
  <c r="X677" i="2" s="1"/>
  <c r="G681" i="2"/>
  <c r="D38" i="23"/>
  <c r="E39" i="23"/>
  <c r="H813" i="2"/>
  <c r="H785" i="2"/>
  <c r="H791" i="2" s="1"/>
  <c r="L813" i="2"/>
  <c r="L785" i="2"/>
  <c r="L791" i="2" s="1"/>
  <c r="D34" i="23"/>
  <c r="E34" i="23" s="1"/>
  <c r="G34" i="23" s="1"/>
  <c r="N770" i="2"/>
  <c r="N778" i="2" s="1"/>
  <c r="D33" i="23"/>
  <c r="E33" i="23" s="1"/>
  <c r="G33" i="23" s="1"/>
  <c r="M770" i="2"/>
  <c r="M778" i="2" s="1"/>
  <c r="D36" i="23"/>
  <c r="E36" i="23" s="1"/>
  <c r="G36" i="23" s="1"/>
  <c r="P770" i="2"/>
  <c r="P778" i="2" s="1"/>
  <c r="D35" i="23"/>
  <c r="E35" i="23" s="1"/>
  <c r="G35" i="23" s="1"/>
  <c r="O770" i="2"/>
  <c r="O778" i="2" s="1"/>
  <c r="V761" i="2"/>
  <c r="W761" i="2" s="1"/>
  <c r="G764" i="2"/>
  <c r="O813" i="2"/>
  <c r="O785" i="2"/>
  <c r="O791" i="2" s="1"/>
  <c r="C42" i="23"/>
  <c r="V783" i="2"/>
  <c r="W783" i="2" s="1"/>
  <c r="X783" i="2" s="1"/>
  <c r="W729" i="2"/>
  <c r="X729" i="2" s="1"/>
  <c r="V800" i="2"/>
  <c r="G806" i="2"/>
  <c r="J785" i="2" l="1"/>
  <c r="J791" i="2" s="1"/>
  <c r="D31" i="23"/>
  <c r="E31" i="23" s="1"/>
  <c r="G31" i="23" s="1"/>
  <c r="Q785" i="2"/>
  <c r="Q791" i="2" s="1"/>
  <c r="Q770" i="2"/>
  <c r="Q778" i="2" s="1"/>
  <c r="P819" i="2"/>
  <c r="D58" i="23" s="1"/>
  <c r="E58" i="23" s="1"/>
  <c r="G58" i="23" s="1"/>
  <c r="H819" i="2"/>
  <c r="H821" i="2" s="1"/>
  <c r="H825" i="2" s="1"/>
  <c r="Q819" i="2"/>
  <c r="D59" i="23" s="1"/>
  <c r="E59" i="23" s="1"/>
  <c r="G59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9" i="23"/>
  <c r="E38" i="23"/>
  <c r="G38" i="23" s="1"/>
  <c r="N819" i="2"/>
  <c r="V764" i="2"/>
  <c r="W764" i="2" s="1"/>
  <c r="X764" i="2" s="1"/>
  <c r="G813" i="2"/>
  <c r="G785" i="2"/>
  <c r="V768" i="2"/>
  <c r="D28" i="23"/>
  <c r="G770" i="2"/>
  <c r="G778" i="2" s="1"/>
  <c r="E63" i="23"/>
  <c r="D60" i="23"/>
  <c r="J819" i="2"/>
  <c r="V806" i="2"/>
  <c r="W806" i="2" s="1"/>
  <c r="X806" i="2" s="1"/>
  <c r="W800" i="2"/>
  <c r="C50" i="23"/>
  <c r="D51" i="23" l="1"/>
  <c r="E51" i="23" s="1"/>
  <c r="G51" i="23" s="1"/>
  <c r="P821" i="2"/>
  <c r="P825" i="2" s="1"/>
  <c r="Q821" i="2"/>
  <c r="Q825" i="2" s="1"/>
  <c r="D55" i="23"/>
  <c r="E55" i="23" s="1"/>
  <c r="G55" i="23" s="1"/>
  <c r="M821" i="2"/>
  <c r="M825" i="2" s="1"/>
  <c r="D56" i="23"/>
  <c r="E56" i="23" s="1"/>
  <c r="G56" i="23" s="1"/>
  <c r="N821" i="2"/>
  <c r="N825" i="2" s="1"/>
  <c r="D53" i="23"/>
  <c r="E53" i="23" s="1"/>
  <c r="G53" i="23" s="1"/>
  <c r="J821" i="2"/>
  <c r="J825" i="2" s="1"/>
  <c r="D42" i="23"/>
  <c r="E28" i="23"/>
  <c r="D20" i="23"/>
  <c r="E7" i="23"/>
  <c r="G63" i="23"/>
  <c r="E60" i="23"/>
  <c r="G60" i="23" s="1"/>
  <c r="W768" i="2"/>
  <c r="X768" i="2" s="1"/>
  <c r="V770" i="2"/>
  <c r="D54" i="23"/>
  <c r="E54" i="23" s="1"/>
  <c r="G54" i="23" s="1"/>
  <c r="L821" i="2"/>
  <c r="L825" i="2" s="1"/>
  <c r="D57" i="23"/>
  <c r="E57" i="23" s="1"/>
  <c r="G57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4" i="23"/>
  <c r="G7" i="23" l="1"/>
  <c r="E20" i="23"/>
  <c r="G20" i="23" s="1"/>
  <c r="D50" i="23"/>
  <c r="V819" i="2"/>
  <c r="W819" i="2" s="1"/>
  <c r="X819" i="2" s="1"/>
  <c r="G821" i="2"/>
  <c r="G28" i="23"/>
  <c r="E42" i="23"/>
  <c r="G42" i="23" s="1"/>
  <c r="V778" i="2"/>
  <c r="W770" i="2"/>
  <c r="X770" i="2" s="1"/>
  <c r="D64" i="23" l="1"/>
  <c r="E50" i="23"/>
  <c r="G825" i="2"/>
  <c r="V821" i="2"/>
  <c r="W821" i="2" s="1"/>
  <c r="X821" i="2" s="1"/>
  <c r="G50" i="23" l="1"/>
  <c r="E64" i="23"/>
  <c r="G64" i="23" s="1"/>
</calcChain>
</file>

<file path=xl/sharedStrings.xml><?xml version="1.0" encoding="utf-8"?>
<sst xmlns="http://schemas.openxmlformats.org/spreadsheetml/2006/main" count="5234" uniqueCount="2385">
  <si>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</si>
  <si>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</si>
  <si>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</si>
  <si>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</si>
  <si>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</si>
  <si>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</si>
  <si>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</si>
  <si>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</si>
  <si>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</si>
  <si>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</si>
  <si>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</si>
  <si>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</si>
  <si>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</si>
  <si>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</si>
  <si>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</si>
  <si>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</si>
  <si>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</si>
  <si>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</si>
  <si>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</si>
  <si>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</si>
  <si>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</si>
  <si>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</si>
  <si>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</si>
  <si>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</si>
  <si>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</si>
  <si>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</si>
  <si>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</si>
  <si>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</si>
  <si>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</si>
  <si>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</si>
  <si>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</si>
  <si>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</si>
  <si>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</si>
  <si>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</si>
  <si>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</si>
  <si>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</si>
  <si>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</si>
  <si>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</si>
  <si>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</si>
  <si>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</si>
  <si>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</si>
  <si>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</si>
  <si>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</si>
  <si>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</si>
  <si>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</si>
  <si>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</si>
  <si>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</si>
  <si>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</si>
  <si>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</si>
  <si>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</si>
  <si>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</si>
  <si>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</si>
  <si>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</si>
  <si>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</si>
  <si>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</si>
  <si>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</si>
  <si>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</si>
  <si>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</si>
  <si>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</si>
  <si>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</si>
  <si>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</si>
  <si>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</si>
  <si>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</si>
  <si>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</si>
  <si>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</si>
  <si>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</si>
  <si>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</si>
  <si>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</si>
  <si>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</si>
  <si>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</si>
  <si>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</si>
  <si>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</si>
  <si>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</si>
  <si>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</si>
  <si>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</si>
  <si>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</si>
  <si>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</si>
  <si>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</si>
  <si>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</si>
  <si>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</si>
  <si>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</si>
  <si>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</si>
  <si>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</si>
  <si>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</si>
  <si>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</si>
  <si>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</si>
  <si>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</si>
  <si>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</si>
  <si>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</si>
  <si>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</si>
  <si>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</si>
  <si>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</si>
  <si>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</si>
  <si>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</si>
  <si>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</si>
  <si>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</si>
  <si>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</si>
  <si>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</si>
  <si>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</si>
  <si>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</si>
  <si>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</si>
  <si>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</si>
  <si>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</si>
  <si>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</si>
  <si>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</si>
  <si>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</si>
  <si>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</si>
  <si>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</si>
  <si>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</si>
  <si>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</si>
  <si>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</si>
  <si>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</si>
  <si>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</si>
  <si>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</si>
  <si>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</si>
  <si>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</si>
  <si>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</si>
  <si>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</si>
  <si>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</si>
  <si>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</si>
  <si>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</si>
  <si>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</si>
  <si>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</si>
  <si>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</si>
  <si>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</si>
  <si>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</si>
  <si>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</si>
  <si>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</si>
  <si>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</si>
  <si>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</si>
  <si>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</si>
  <si>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</si>
  <si>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</si>
  <si>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</si>
  <si>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</si>
  <si>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</si>
  <si>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</si>
  <si>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</si>
  <si>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</si>
  <si>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</si>
  <si>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</si>
  <si>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</si>
  <si>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</si>
  <si>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</si>
  <si>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</si>
  <si>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</si>
  <si>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</si>
  <si>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</si>
  <si>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</si>
  <si>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</si>
  <si>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</si>
  <si>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</si>
  <si>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</si>
  <si>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</si>
  <si>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</si>
  <si>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</si>
  <si>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</si>
  <si>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</si>
  <si>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</si>
  <si>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</si>
  <si>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</si>
  <si>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</si>
  <si>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</si>
  <si>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</si>
  <si>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</si>
  <si>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</si>
  <si>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</si>
  <si>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</si>
  <si>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</si>
  <si>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</si>
  <si>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</si>
  <si>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</si>
  <si>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</si>
  <si>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</si>
  <si>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</si>
  <si>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</si>
  <si>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</si>
  <si>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</si>
  <si>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</si>
  <si>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</si>
  <si>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</si>
  <si>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</si>
  <si>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</si>
  <si>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</si>
  <si>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</si>
  <si>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</si>
  <si>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</si>
  <si>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</si>
  <si>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</si>
  <si>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</si>
  <si>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</si>
  <si>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</si>
  <si>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</si>
  <si>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</si>
  <si>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</si>
  <si>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</si>
  <si>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</si>
  <si>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</si>
  <si>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</si>
  <si>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</si>
  <si>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</si>
  <si>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</si>
  <si>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</si>
  <si>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</si>
  <si>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</si>
  <si>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</si>
  <si>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</si>
  <si>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</si>
  <si>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</si>
  <si>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</si>
  <si>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</si>
  <si>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</si>
  <si>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</si>
  <si>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</si>
  <si>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</si>
  <si>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</si>
  <si>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</si>
  <si>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</si>
  <si>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</si>
  <si>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</si>
  <si>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</si>
  <si>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</si>
  <si>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</si>
  <si>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</si>
  <si>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</si>
  <si>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</si>
  <si>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</si>
  <si>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</si>
  <si>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</si>
  <si>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</si>
  <si>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</si>
  <si>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</si>
  <si>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</si>
  <si>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</si>
  <si>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</si>
  <si>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</si>
  <si>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</si>
  <si>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</si>
  <si>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</si>
  <si>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</si>
  <si>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</si>
  <si>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</si>
  <si>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</si>
  <si>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</si>
  <si>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</si>
  <si>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</si>
  <si>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</si>
  <si>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</si>
  <si>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</si>
  <si>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</si>
  <si>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</si>
  <si>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</si>
  <si>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</si>
  <si>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</si>
  <si>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</si>
  <si>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</si>
  <si>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</si>
  <si>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</si>
  <si>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</si>
  <si>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</si>
  <si>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</si>
  <si>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</si>
  <si>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</si>
  <si>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</si>
  <si>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</si>
  <si>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</si>
  <si>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</si>
  <si>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</si>
  <si>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</si>
  <si>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</si>
  <si>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</si>
  <si>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</si>
  <si>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</si>
  <si>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</si>
  <si>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</si>
  <si>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</si>
  <si>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</si>
  <si>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</si>
  <si>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</si>
  <si>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</si>
  <si>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</si>
  <si>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</si>
  <si>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</si>
  <si>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</si>
  <si>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</si>
  <si>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</si>
  <si>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</si>
  <si>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</si>
  <si>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</si>
  <si>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</si>
  <si>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</si>
  <si>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</si>
  <si>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</si>
  <si>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</si>
  <si>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</si>
  <si>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</si>
  <si>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</si>
  <si>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</si>
  <si>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</si>
  <si>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</si>
  <si>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</si>
  <si>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</si>
  <si>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</si>
  <si>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</si>
  <si>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</si>
  <si>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</si>
  <si>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</si>
  <si>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</si>
  <si>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</si>
  <si>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</si>
  <si>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</si>
  <si>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</si>
  <si>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</si>
  <si>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</si>
  <si>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</si>
  <si>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</si>
  <si>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</si>
  <si>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</si>
  <si>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</si>
  <si>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</si>
  <si>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</si>
  <si>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</si>
  <si>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</si>
  <si>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</si>
  <si>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</si>
  <si>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</si>
  <si>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</si>
  <si>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</si>
  <si>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</si>
  <si>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</si>
  <si>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</si>
  <si>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</si>
  <si>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</si>
  <si>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</si>
  <si>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</si>
  <si>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</si>
  <si>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</si>
  <si>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</si>
  <si>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</si>
  <si>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</si>
  <si>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</si>
  <si>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</si>
  <si>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</si>
  <si>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</si>
  <si>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</si>
  <si>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</si>
  <si>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</si>
  <si>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</si>
  <si>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</si>
  <si>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</si>
  <si>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</si>
  <si>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</si>
  <si>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</si>
  <si>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</si>
  <si>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</si>
  <si>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</si>
  <si>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</si>
  <si>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</si>
  <si>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</si>
  <si>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</si>
  <si>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</si>
  <si>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</si>
  <si>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</si>
  <si>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</si>
  <si>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</si>
  <si>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</si>
  <si>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</si>
  <si>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</si>
  <si>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</si>
  <si>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</si>
  <si>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</si>
  <si>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</si>
  <si>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</si>
  <si>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</si>
  <si>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</si>
  <si>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</si>
  <si>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</si>
  <si>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</si>
  <si>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</si>
  <si>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</si>
  <si>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</si>
  <si>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</si>
  <si>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</si>
  <si>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</si>
  <si>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</si>
  <si>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</si>
  <si>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</si>
  <si>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</si>
  <si>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</si>
  <si>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</si>
  <si>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</si>
  <si>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</si>
  <si>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</si>
  <si>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</si>
  <si>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</si>
  <si>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</si>
  <si>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</si>
  <si>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</si>
  <si>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</si>
  <si>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</si>
  <si>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</si>
  <si>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</si>
  <si>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</si>
  <si>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</si>
  <si>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</si>
  <si>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</si>
  <si>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</si>
  <si>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</si>
  <si>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</si>
  <si>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</si>
  <si>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</si>
  <si>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</si>
  <si>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</si>
  <si>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</si>
  <si>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</si>
  <si>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</si>
  <si>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</si>
  <si>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</si>
  <si>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</si>
  <si>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</si>
  <si>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</si>
  <si>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</si>
  <si>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</si>
  <si>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</si>
  <si>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</si>
  <si>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</si>
  <si>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</si>
  <si>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</si>
  <si>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</si>
  <si>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</si>
  <si>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</si>
  <si>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</si>
  <si>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</si>
  <si>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</si>
  <si>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</si>
  <si>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</si>
  <si>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</si>
  <si>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</si>
  <si>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</si>
  <si>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</si>
  <si>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</si>
  <si>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</si>
  <si>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</si>
  <si>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</si>
  <si>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</si>
  <si>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</si>
  <si>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</si>
  <si>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</si>
  <si>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</si>
  <si>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</si>
  <si>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</si>
  <si>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</si>
  <si>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</si>
  <si>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</si>
  <si>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</si>
  <si>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</si>
  <si>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</si>
  <si>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</si>
  <si>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</si>
  <si>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</si>
  <si>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</si>
  <si>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</si>
  <si>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</si>
  <si>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</si>
  <si>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</si>
  <si>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</si>
  <si>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</si>
  <si>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</si>
  <si>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</si>
  <si>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</si>
  <si>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</si>
  <si>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</si>
  <si>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</si>
  <si>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</si>
  <si>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</si>
  <si>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</si>
  <si>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</si>
  <si>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</si>
  <si>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</si>
  <si>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</si>
  <si>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</si>
  <si>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</si>
  <si>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</si>
  <si>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</si>
  <si>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</si>
  <si>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</si>
  <si>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</si>
  <si>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</si>
  <si>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</si>
  <si>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</si>
  <si>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</si>
  <si>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</si>
  <si>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</si>
  <si>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</si>
  <si>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</si>
  <si>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</si>
  <si>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</si>
  <si>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</si>
  <si>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</si>
  <si>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</si>
  <si>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</si>
  <si>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</si>
  <si>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</si>
  <si>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</si>
  <si>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</si>
  <si>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</si>
  <si>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</si>
  <si>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</si>
  <si>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</si>
  <si>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</si>
  <si>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</si>
  <si>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</si>
  <si>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</si>
  <si>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</si>
  <si>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</si>
  <si>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</si>
  <si>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</si>
  <si>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</si>
  <si>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</si>
  <si>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</si>
  <si>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</si>
  <si>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</si>
  <si>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</si>
  <si>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</si>
  <si>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</si>
  <si>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</si>
  <si>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</si>
  <si>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</si>
  <si>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</si>
  <si>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</si>
  <si>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</si>
  <si>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</si>
  <si>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</si>
  <si>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</si>
  <si>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</si>
  <si>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</si>
  <si>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</si>
  <si>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</si>
  <si>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</si>
  <si>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</si>
  <si>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</si>
  <si>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</si>
  <si>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</si>
  <si>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</si>
  <si>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</si>
  <si>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</si>
  <si>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</si>
  <si>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</si>
  <si>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</si>
  <si>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</si>
  <si>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</si>
  <si>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</si>
  <si>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</si>
  <si>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</si>
  <si>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</si>
  <si>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</si>
  <si>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</si>
  <si>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</si>
  <si>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</si>
  <si>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</si>
  <si>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</si>
  <si>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</si>
  <si>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</si>
  <si>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</si>
  <si>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</si>
  <si>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</si>
  <si>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</si>
  <si>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</si>
  <si>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</si>
  <si>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</si>
  <si>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</si>
  <si>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</si>
  <si>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</si>
  <si>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</si>
  <si>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</si>
  <si>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</si>
  <si>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</si>
  <si>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</si>
  <si>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</si>
  <si>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</si>
  <si>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</si>
  <si>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</si>
  <si>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</si>
  <si>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</si>
  <si>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</si>
  <si>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</si>
  <si>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</si>
  <si>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</si>
  <si>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</si>
  <si>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</si>
  <si>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</si>
  <si>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</si>
  <si>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</si>
  <si>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</si>
  <si>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</si>
  <si>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</si>
  <si>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</si>
  <si>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</si>
  <si>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</si>
  <si>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</si>
  <si>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</si>
  <si>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</si>
  <si>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</si>
  <si>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</si>
  <si>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</si>
  <si>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</si>
  <si>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</si>
  <si>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</si>
  <si>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</si>
  <si>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</si>
  <si>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</si>
  <si>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</si>
  <si>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</si>
  <si>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</si>
  <si>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</si>
  <si>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</si>
  <si>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</si>
  <si>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</si>
  <si>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</si>
  <si>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</si>
  <si>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</si>
  <si>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</si>
  <si>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</si>
  <si>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</si>
  <si>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</si>
  <si>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</si>
  <si>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</si>
  <si>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</si>
  <si>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</si>
  <si>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</si>
  <si>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</si>
  <si>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</si>
  <si>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</si>
  <si>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</si>
  <si>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</si>
  <si>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</si>
  <si>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</si>
  <si>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</si>
  <si>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</si>
  <si>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</si>
  <si>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</si>
  <si>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</si>
  <si>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</si>
  <si>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</si>
  <si>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</si>
  <si>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</si>
  <si>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</si>
  <si>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</si>
  <si>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</si>
  <si>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</si>
  <si>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</si>
  <si>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</si>
  <si>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</si>
  <si>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</si>
  <si>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</si>
  <si>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</si>
  <si>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</si>
  <si>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</si>
  <si>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</si>
  <si>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</si>
  <si>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</si>
  <si>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</si>
  <si>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</si>
  <si>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</si>
  <si>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</si>
  <si>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</si>
  <si>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</si>
  <si>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</si>
  <si>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</si>
  <si>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</si>
  <si>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</si>
  <si>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</si>
  <si>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</si>
  <si>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</si>
  <si>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</si>
  <si>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</si>
  <si>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</si>
  <si>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</si>
  <si>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</si>
  <si>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</si>
  <si>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</si>
  <si>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</si>
  <si>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</si>
  <si>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</si>
  <si>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</si>
  <si>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</si>
  <si>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</si>
  <si>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</si>
  <si>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</si>
  <si>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</si>
  <si>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</si>
  <si>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</si>
  <si>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</si>
  <si>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</si>
  <si>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</si>
  <si>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</si>
  <si>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</si>
  <si>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</si>
  <si>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</si>
  <si>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</si>
  <si>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</si>
  <si>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</si>
  <si>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</si>
  <si>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</si>
  <si>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</si>
  <si>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</si>
  <si>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</si>
  <si>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</si>
  <si>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</si>
  <si>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</si>
  <si>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</si>
  <si>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</si>
  <si>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</si>
  <si>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</si>
  <si>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</si>
  <si>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</si>
  <si>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</si>
  <si>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</si>
  <si>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</si>
  <si>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</si>
  <si>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</si>
  <si>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</si>
  <si>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</si>
  <si>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</si>
  <si>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</si>
  <si>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</si>
  <si>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</si>
  <si>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</si>
  <si>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</si>
  <si>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</si>
  <si>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</si>
  <si>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</si>
  <si>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</si>
  <si>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</si>
  <si>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</si>
  <si>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</si>
  <si>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</si>
  <si>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</si>
  <si>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</si>
  <si>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</si>
  <si>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</si>
  <si>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</si>
  <si>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</si>
  <si>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</si>
  <si>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</si>
  <si>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</si>
  <si>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</si>
  <si>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</si>
  <si>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</si>
  <si>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</si>
  <si>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</si>
  <si>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</si>
  <si>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</si>
  <si>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</si>
  <si>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</si>
  <si>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</si>
  <si>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</si>
  <si>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</si>
  <si>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</si>
  <si>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</si>
  <si>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</si>
  <si>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</si>
  <si>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</si>
  <si>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</si>
  <si>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</si>
  <si>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</si>
  <si>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</si>
  <si>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</si>
  <si>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</si>
  <si>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</si>
  <si>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</si>
  <si>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</si>
  <si>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</si>
  <si>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</si>
  <si>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</si>
  <si>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</si>
  <si>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</si>
  <si>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</si>
  <si>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</si>
  <si>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</si>
  <si>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</si>
  <si>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</si>
  <si>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</si>
  <si>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</si>
  <si>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</si>
  <si>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</si>
  <si>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</si>
  <si>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</si>
  <si>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</si>
  <si>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</si>
  <si>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</si>
  <si>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</si>
  <si>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</si>
  <si>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</si>
  <si>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</si>
  <si>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</si>
  <si>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</si>
  <si>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</si>
  <si>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</si>
  <si>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</si>
  <si>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</si>
  <si>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</si>
  <si>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</si>
  <si>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</si>
  <si>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</si>
  <si>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</si>
  <si>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</si>
  <si>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</si>
  <si>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</si>
  <si>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</si>
  <si>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</si>
  <si>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</si>
  <si>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</si>
  <si>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</si>
  <si>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</si>
  <si>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</si>
  <si>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</si>
  <si>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</si>
  <si>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</si>
  <si>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</si>
  <si>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</si>
  <si>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</si>
  <si>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</si>
  <si>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</si>
  <si>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</si>
  <si>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</si>
  <si>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</si>
  <si>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</si>
  <si>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</si>
  <si>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</si>
  <si>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</si>
  <si>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</si>
  <si>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</si>
  <si>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</si>
  <si>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</si>
  <si>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</si>
  <si>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</si>
  <si>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</si>
  <si>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</si>
  <si>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</si>
  <si>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</si>
  <si>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</si>
  <si>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</si>
  <si>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</si>
  <si>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</si>
  <si>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</si>
  <si>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</si>
  <si>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</si>
  <si>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</si>
  <si>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</si>
  <si>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</si>
  <si>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</si>
  <si>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</si>
  <si>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</si>
  <si>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</si>
  <si>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</si>
  <si>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</si>
  <si>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</si>
  <si>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</si>
  <si>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</si>
  <si>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</si>
  <si>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</si>
  <si>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</si>
  <si>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</si>
  <si>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</si>
  <si>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</si>
  <si>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</si>
  <si>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</si>
  <si>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</si>
  <si>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</si>
  <si>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</si>
  <si>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</si>
  <si>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</si>
  <si>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</si>
  <si>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</si>
  <si>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</si>
  <si>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</si>
  <si>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</si>
  <si>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</si>
  <si>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</si>
  <si>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</si>
  <si>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</si>
  <si>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</si>
  <si>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</si>
  <si>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</si>
  <si>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</si>
  <si>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</si>
  <si>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</si>
  <si>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</si>
  <si>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</si>
  <si>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</si>
  <si>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</si>
  <si>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</si>
  <si>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</si>
  <si>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</si>
  <si>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</si>
  <si>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</si>
  <si>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</si>
  <si>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</si>
  <si>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</si>
  <si>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</si>
  <si>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</si>
  <si>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</si>
  <si>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</si>
  <si>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</si>
  <si>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</si>
  <si>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</si>
  <si>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</si>
  <si>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</si>
  <si>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</si>
  <si>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</si>
  <si>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</si>
  <si>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</si>
  <si>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</si>
  <si>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</si>
  <si>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</si>
  <si>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</si>
  <si>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</si>
  <si>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</si>
  <si>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</si>
  <si>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</si>
  <si>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</si>
  <si>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</si>
  <si>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</si>
  <si>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</si>
  <si>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</si>
  <si>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</si>
  <si>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</si>
  <si>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</si>
  <si>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</si>
  <si>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</si>
  <si>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</si>
  <si>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</si>
  <si>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</si>
  <si>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</si>
  <si>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</si>
  <si>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</si>
  <si>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</si>
  <si>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</si>
  <si>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</si>
  <si>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</si>
  <si>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</si>
  <si>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</si>
  <si>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</si>
  <si>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</si>
  <si>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</si>
  <si>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</si>
  <si>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</si>
  <si>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</si>
  <si>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</si>
  <si>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</si>
  <si>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</si>
  <si>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</si>
  <si>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</si>
  <si>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</si>
  <si>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</si>
  <si>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</si>
  <si>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</si>
  <si>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</si>
  <si>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</si>
  <si>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</si>
  <si>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</si>
  <si>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</si>
  <si>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</si>
  <si>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</si>
  <si>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</si>
  <si>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</si>
  <si>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</si>
  <si>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</si>
  <si>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</si>
  <si>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</si>
  <si>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</si>
  <si>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</si>
  <si>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</si>
  <si>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</si>
  <si>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</si>
  <si>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</si>
  <si>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</si>
  <si>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</si>
  <si>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</si>
  <si>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</si>
  <si>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</si>
  <si>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</si>
  <si>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</si>
  <si>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</si>
  <si>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</si>
  <si>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</si>
  <si>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</si>
  <si>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</si>
  <si>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</si>
  <si>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</si>
  <si>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</si>
  <si>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</si>
  <si>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</si>
  <si>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</si>
  <si>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</si>
  <si>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</si>
  <si>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</si>
  <si>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</si>
  <si>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</si>
  <si>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</si>
  <si>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</si>
  <si>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</si>
  <si>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</si>
  <si>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</si>
  <si>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</si>
  <si>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</si>
  <si>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</si>
  <si>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</si>
  <si>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</si>
  <si>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</si>
  <si>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</si>
  <si>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</si>
  <si>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</si>
  <si>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</si>
  <si>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</si>
  <si>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</si>
  <si>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</si>
  <si>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</si>
  <si>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</si>
  <si>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</si>
  <si>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</si>
  <si>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</si>
  <si>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</si>
  <si>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</si>
  <si>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</si>
  <si>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</si>
  <si>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</si>
  <si>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</si>
  <si>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</si>
  <si>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</si>
  <si>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</si>
  <si>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</si>
  <si>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</si>
  <si>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</si>
  <si>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</si>
  <si>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</si>
  <si>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</si>
  <si>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</si>
  <si>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</si>
  <si>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</si>
  <si>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</si>
  <si>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</si>
  <si>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</si>
  <si>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</si>
  <si>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</si>
  <si>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</si>
  <si>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</si>
  <si>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</si>
  <si>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</si>
  <si>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</si>
  <si>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</si>
  <si>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</si>
  <si>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</si>
  <si>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</si>
  <si>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</si>
  <si>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</si>
  <si>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</si>
  <si>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</si>
  <si>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</si>
  <si>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</si>
  <si>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</si>
  <si>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</si>
  <si>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</si>
  <si>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</si>
  <si>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</si>
  <si>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</si>
  <si>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</si>
  <si>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</si>
  <si>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</si>
  <si>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</si>
  <si>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</si>
  <si>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</si>
  <si>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</si>
  <si>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</si>
  <si>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</si>
  <si>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</si>
  <si>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</si>
  <si>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</si>
  <si>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</si>
  <si>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</si>
  <si>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</si>
  <si>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</si>
  <si>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</si>
  <si>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</si>
  <si>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</si>
  <si>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</si>
  <si>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</si>
  <si>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</si>
  <si>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</si>
  <si>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</si>
  <si>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</si>
  <si>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</si>
  <si>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</si>
  <si>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</si>
  <si>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</si>
  <si>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</si>
  <si>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</si>
  <si>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</si>
  <si>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</si>
  <si>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</si>
  <si>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</si>
  <si>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</si>
  <si>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</si>
  <si>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</si>
  <si>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</si>
  <si>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</si>
  <si>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</si>
  <si>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</si>
  <si>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</si>
  <si>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</si>
  <si>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</si>
  <si>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</si>
  <si>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</si>
  <si>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</si>
  <si>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</si>
  <si>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</si>
  <si>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</si>
  <si>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</si>
  <si>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</si>
  <si>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</si>
  <si>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</si>
  <si>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</si>
  <si>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</si>
  <si>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</si>
  <si>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</si>
  <si>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</si>
  <si>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</si>
  <si>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</si>
  <si>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</si>
  <si>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</si>
  <si>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</si>
  <si>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</si>
  <si>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</si>
  <si>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</si>
  <si>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</si>
  <si>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</si>
  <si>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</si>
  <si>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</si>
  <si>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</si>
  <si>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</si>
  <si>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</si>
  <si>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</si>
  <si>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</si>
  <si>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</si>
  <si>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</si>
  <si>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</si>
  <si>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</si>
  <si>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</si>
  <si>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</si>
  <si>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</si>
  <si>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</si>
  <si>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</si>
  <si>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</si>
  <si>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</si>
  <si>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</si>
  <si>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</si>
  <si>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</si>
  <si>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</si>
  <si>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</si>
  <si>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</si>
  <si>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</si>
  <si>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</si>
  <si>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</si>
  <si>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</si>
  <si>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</si>
  <si>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</si>
  <si>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</si>
  <si>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</si>
  <si>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</si>
  <si>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</si>
  <si>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</si>
  <si>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</si>
  <si>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</si>
  <si>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</si>
  <si>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</si>
  <si>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</si>
  <si>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</si>
  <si>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</si>
  <si>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</si>
  <si>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</si>
  <si>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</si>
  <si>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</si>
  <si>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</si>
  <si>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</si>
  <si>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</si>
  <si>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</si>
  <si>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</si>
  <si>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</si>
  <si>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</si>
  <si>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</si>
  <si>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</si>
  <si>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</si>
  <si>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</si>
  <si>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</si>
  <si>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</si>
  <si>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</si>
  <si>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</si>
  <si>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</si>
  <si>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</si>
  <si>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</si>
  <si>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</si>
  <si>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</si>
  <si>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</si>
  <si>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</si>
  <si>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</si>
  <si>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</si>
  <si>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</si>
  <si>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</si>
  <si>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</si>
  <si>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</si>
  <si>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</si>
  <si>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</si>
  <si>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</si>
  <si>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</si>
  <si>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</si>
  <si>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</si>
  <si>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</si>
  <si>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</si>
  <si>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</si>
  <si>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</si>
  <si>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</si>
  <si>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</si>
  <si>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</si>
  <si>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</si>
  <si>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</si>
  <si>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</si>
  <si>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</si>
  <si>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</si>
  <si>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</si>
  <si>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</si>
  <si>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</si>
  <si>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</si>
  <si>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</si>
  <si>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</si>
  <si>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</si>
  <si>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</si>
  <si>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</si>
  <si>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</si>
  <si>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</si>
  <si>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</si>
  <si>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</si>
  <si>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</si>
  <si>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</si>
  <si>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</si>
  <si>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</si>
  <si>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</si>
  <si>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</si>
  <si>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</si>
  <si>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</si>
  <si>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</si>
  <si>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</si>
  <si>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</si>
  <si>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</si>
  <si>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</si>
  <si>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</si>
  <si>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</si>
  <si>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</si>
  <si>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</si>
  <si>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</si>
  <si>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</si>
  <si>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</si>
  <si>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</si>
  <si>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</si>
  <si>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</si>
  <si>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</si>
  <si>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</si>
  <si>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</si>
  <si>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</si>
  <si>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</si>
  <si>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</si>
  <si>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</si>
  <si>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</si>
  <si>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</si>
  <si>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</si>
  <si>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</si>
  <si>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</si>
  <si>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</si>
  <si>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</si>
  <si>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</si>
  <si>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</si>
  <si>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</si>
  <si>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</si>
  <si>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</si>
  <si>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</si>
  <si>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</si>
  <si>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</si>
  <si>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</si>
  <si>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</si>
  <si>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</si>
  <si>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</si>
  <si>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</si>
  <si>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</si>
  <si>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</si>
  <si>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</si>
  <si>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</si>
  <si>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</si>
  <si>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</si>
  <si>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</si>
  <si>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</si>
  <si>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</si>
  <si>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</si>
  <si>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</si>
  <si>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</si>
  <si>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</si>
  <si>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</si>
  <si>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</si>
  <si>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</si>
  <si>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</si>
  <si>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</si>
  <si>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</si>
  <si>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</si>
  <si>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</si>
  <si>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</si>
  <si>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</si>
  <si>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</si>
  <si>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</si>
  <si>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</si>
  <si>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</si>
  <si>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</si>
  <si>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</si>
  <si>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</si>
  <si>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</si>
  <si>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</si>
  <si>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</si>
  <si>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</si>
  <si>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</si>
  <si>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</si>
  <si>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</si>
  <si>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</si>
  <si>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</si>
  <si>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</si>
  <si>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</si>
  <si>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</si>
  <si>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</si>
  <si>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</si>
  <si>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</si>
  <si>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</si>
  <si>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</si>
  <si>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</si>
  <si>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</si>
  <si>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</si>
  <si>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</si>
  <si>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</si>
  <si>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</si>
  <si>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</si>
  <si>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</si>
  <si>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</si>
  <si>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</si>
  <si>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</si>
  <si>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</si>
  <si>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</si>
  <si>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</si>
  <si>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</si>
  <si>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</si>
  <si>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</si>
  <si>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</si>
  <si>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</si>
  <si>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</si>
  <si>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</si>
  <si>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</si>
  <si>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</si>
  <si>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</si>
  <si>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</si>
  <si>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</si>
  <si>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</si>
  <si>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</si>
  <si>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</si>
  <si>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</si>
  <si>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</si>
  <si>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</si>
  <si>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</si>
  <si>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</si>
  <si>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</si>
  <si>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</si>
  <si>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</si>
  <si>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</si>
  <si>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</si>
  <si>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</si>
  <si>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</si>
  <si>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</si>
  <si>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</si>
  <si>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</si>
  <si>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</si>
  <si>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</si>
  <si>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</si>
  <si>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</si>
  <si>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</si>
  <si>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</si>
  <si>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</si>
  <si>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</si>
  <si>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</si>
  <si>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</si>
  <si>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</si>
  <si>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</si>
  <si>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</si>
  <si>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</si>
  <si>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</si>
  <si>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</si>
  <si>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</si>
  <si>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</si>
  <si>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</si>
  <si>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</si>
  <si>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</si>
  <si>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</si>
  <si>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</si>
  <si>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</si>
  <si>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</si>
  <si>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</si>
  <si>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</si>
  <si>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</si>
  <si>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</si>
  <si>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</si>
  <si>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</si>
  <si>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</si>
  <si>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</si>
  <si>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</si>
  <si>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</si>
  <si>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</si>
  <si>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</si>
  <si>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</si>
  <si>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</si>
  <si>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</si>
  <si>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</si>
  <si>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</si>
  <si>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</si>
  <si>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</si>
  <si>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</si>
  <si>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</si>
  <si>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</si>
  <si>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</si>
  <si>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</si>
  <si>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</si>
  <si>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</si>
  <si>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</si>
  <si>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</si>
  <si>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</si>
  <si>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</si>
  <si>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</si>
  <si>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</si>
  <si>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</si>
  <si>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</si>
  <si>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</si>
  <si>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</si>
  <si>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</si>
  <si>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</si>
  <si>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</si>
  <si>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</si>
  <si>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</si>
  <si>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</si>
  <si>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</si>
  <si>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</si>
  <si>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</si>
  <si>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</si>
  <si>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</si>
  <si>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</si>
  <si>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</si>
  <si>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</si>
  <si>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</si>
  <si>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</si>
  <si>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</si>
  <si>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</si>
  <si>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</si>
  <si>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</si>
  <si>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</si>
  <si>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</si>
  <si>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</si>
  <si>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</si>
  <si>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</si>
  <si>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</si>
  <si>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</si>
  <si>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</si>
  <si>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</si>
  <si>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</si>
  <si>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</si>
  <si>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</si>
  <si>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</si>
  <si>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</si>
  <si>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</si>
  <si>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</si>
  <si>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</si>
  <si>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</si>
  <si>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</si>
  <si>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</si>
  <si>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</si>
  <si>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</si>
  <si>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</si>
  <si>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</si>
  <si>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</si>
  <si>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</si>
  <si>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</si>
  <si>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</si>
  <si>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</si>
  <si>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</si>
  <si>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</si>
  <si>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</si>
  <si>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</si>
  <si>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</si>
  <si>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</si>
  <si>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</si>
  <si>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</si>
  <si>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</si>
  <si>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</si>
  <si>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</si>
  <si>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</si>
  <si>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</si>
  <si>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</si>
  <si>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</si>
  <si>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</si>
  <si>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</si>
  <si>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</si>
  <si>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</si>
  <si>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</si>
  <si>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</si>
  <si>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</si>
  <si>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</si>
  <si>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</si>
  <si>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</si>
  <si>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</si>
  <si>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</si>
  <si>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</si>
  <si>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</si>
  <si>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</si>
  <si>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</si>
  <si>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</si>
  <si>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</si>
  <si>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</si>
  <si>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</si>
  <si>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</si>
  <si>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</si>
  <si>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</si>
  <si>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</si>
  <si>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</si>
  <si>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</si>
  <si>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</si>
  <si>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</si>
  <si>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</si>
  <si>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</si>
  <si>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</si>
  <si>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</si>
  <si>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</si>
  <si>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</si>
  <si>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</si>
  <si>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</si>
  <si>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</si>
  <si>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</si>
  <si>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</si>
  <si>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</si>
  <si>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</si>
  <si>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</si>
  <si>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</si>
  <si>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</si>
  <si>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</si>
  <si>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</si>
  <si>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</si>
  <si>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</si>
  <si>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</si>
  <si>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</si>
  <si>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</si>
  <si>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</si>
  <si>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</si>
  <si>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</si>
  <si>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</si>
  <si>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</si>
  <si>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</si>
  <si>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</si>
  <si>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</si>
  <si>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</si>
  <si>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</si>
  <si>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</si>
  <si>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</si>
  <si>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</si>
  <si>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</si>
  <si>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</si>
  <si>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</si>
  <si>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</si>
  <si>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</si>
  <si>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</si>
  <si>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</si>
  <si>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</si>
  <si>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</si>
  <si>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</si>
  <si>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</si>
  <si>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</si>
  <si>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</si>
  <si>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</si>
  <si>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</si>
  <si>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</si>
  <si>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</si>
  <si>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</si>
  <si>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</si>
  <si>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</si>
  <si>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</si>
  <si>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</si>
  <si>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</si>
  <si>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</si>
  <si>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</si>
  <si>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</si>
  <si>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</si>
  <si>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</si>
  <si>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</si>
  <si>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</si>
  <si>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</si>
  <si>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</si>
  <si>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</si>
  <si>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</si>
  <si>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</si>
  <si>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</si>
  <si>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</si>
  <si>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</si>
  <si>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</si>
  <si>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</si>
  <si>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</si>
  <si>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</si>
  <si>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</si>
  <si>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</si>
  <si>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</si>
  <si>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</si>
  <si>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</si>
  <si>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</si>
  <si>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</si>
  <si>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</si>
  <si>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</si>
  <si>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</si>
  <si>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</si>
  <si>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</si>
  <si>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</si>
  <si>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</si>
  <si>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</si>
  <si>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</si>
  <si>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</si>
  <si>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</si>
  <si>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</si>
  <si>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</si>
  <si>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</si>
  <si>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</si>
  <si>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</si>
  <si>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</si>
  <si>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</si>
  <si>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</si>
  <si>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</si>
  <si>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</si>
  <si>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</si>
  <si>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</si>
  <si>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</si>
  <si>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</si>
  <si>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</si>
  <si>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</si>
  <si>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</si>
  <si>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</si>
  <si>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</si>
  <si>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</si>
  <si>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</si>
  <si>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</si>
  <si>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</si>
  <si>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</si>
  <si>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</si>
  <si>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</si>
  <si>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</si>
  <si>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</si>
  <si>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</si>
  <si>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</si>
  <si>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</si>
  <si>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</si>
  <si>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</si>
  <si>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</si>
  <si>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</si>
  <si>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</si>
  <si>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</si>
  <si>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</si>
  <si>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</si>
  <si>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</si>
  <si>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</si>
  <si>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</si>
  <si>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</si>
  <si>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</si>
  <si>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</si>
  <si>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</si>
  <si>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</si>
  <si>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</si>
  <si>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</si>
  <si>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</si>
  <si>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</si>
  <si>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</si>
  <si>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</si>
  <si>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</si>
  <si>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</si>
  <si>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</si>
  <si>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</si>
  <si>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</si>
  <si>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</si>
  <si>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</si>
  <si>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</si>
  <si>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</si>
  <si>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</si>
  <si>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</si>
  <si>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</si>
  <si>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</si>
  <si>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</si>
  <si>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</si>
  <si>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</si>
  <si>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</si>
  <si>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</si>
  <si>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</si>
  <si>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</si>
  <si>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</si>
  <si>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</si>
  <si>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</si>
  <si>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</si>
  <si>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</si>
  <si>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</si>
  <si>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</si>
  <si>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</si>
  <si>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</si>
  <si>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</si>
  <si>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</si>
  <si>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</si>
  <si>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</si>
  <si>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</si>
  <si>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</si>
  <si>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</si>
  <si>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</si>
  <si>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</si>
  <si>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</si>
  <si>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</si>
  <si>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</si>
  <si>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</si>
  <si>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</si>
  <si>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</si>
  <si>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</si>
  <si>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</si>
  <si>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</si>
  <si>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</si>
  <si>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</si>
  <si>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</si>
  <si>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</si>
  <si>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</si>
  <si>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</si>
  <si>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</si>
  <si>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</si>
  <si>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</si>
  <si>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</si>
  <si>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</si>
  <si>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</si>
  <si>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</si>
  <si>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</si>
  <si>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</si>
  <si>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</si>
  <si>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</si>
  <si>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</si>
  <si>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</si>
  <si>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</si>
  <si>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</si>
  <si>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</si>
  <si>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</si>
  <si>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</si>
  <si>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</si>
  <si>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</si>
  <si>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</si>
  <si>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</si>
  <si>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</si>
  <si>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</si>
  <si>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</si>
  <si>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</si>
  <si>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</si>
  <si>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</si>
  <si>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</si>
  <si>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</si>
  <si>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</si>
  <si>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</si>
  <si>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</si>
  <si>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</si>
  <si>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</si>
  <si>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</si>
  <si>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</si>
  <si>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</si>
  <si>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</si>
  <si>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</si>
  <si>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</si>
  <si>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</si>
  <si>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</si>
  <si>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</si>
  <si>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</si>
  <si>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</si>
  <si>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</si>
  <si>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</si>
  <si>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</si>
  <si>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</si>
  <si>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</si>
  <si>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</si>
  <si>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</si>
  <si>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</si>
  <si>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</si>
  <si>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</si>
  <si>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</si>
  <si>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</si>
  <si>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</si>
  <si>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</si>
  <si>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</si>
  <si>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</si>
  <si>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</si>
  <si>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</si>
  <si>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</si>
  <si>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</si>
  <si>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</si>
  <si>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</si>
  <si>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</si>
  <si>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</si>
  <si>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</si>
  <si>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</si>
  <si>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</si>
  <si>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</si>
  <si>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</si>
  <si>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</si>
  <si>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</si>
  <si>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</si>
  <si>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</si>
  <si>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</si>
  <si>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</si>
  <si>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</si>
  <si>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</si>
  <si>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</si>
  <si>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</si>
  <si>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</si>
  <si>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</si>
  <si>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</si>
  <si>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</si>
  <si>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</si>
  <si>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</si>
  <si>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</si>
  <si>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</si>
  <si>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</si>
  <si>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</si>
  <si>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</si>
  <si>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</si>
  <si>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</si>
  <si>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</si>
  <si>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</si>
  <si>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</si>
  <si>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</si>
  <si>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</si>
  <si>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</si>
  <si>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</si>
  <si>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</si>
  <si>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</si>
  <si>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</si>
  <si>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</si>
  <si>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</si>
  <si>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</si>
  <si>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</si>
  <si>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</si>
  <si>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</si>
  <si>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</si>
  <si>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</si>
  <si>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</si>
  <si>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</si>
  <si>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</si>
  <si>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</si>
  <si>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</si>
  <si>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</si>
  <si>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</si>
  <si>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</si>
  <si>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</si>
  <si>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</si>
  <si>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</si>
  <si>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</si>
  <si>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</si>
  <si>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</si>
  <si>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</si>
  <si>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</si>
  <si>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</si>
  <si>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</si>
  <si>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</si>
  <si>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</si>
  <si>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</si>
  <si>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</si>
  <si>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</si>
  <si>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</si>
  <si>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</si>
  <si>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</si>
  <si>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</si>
  <si>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</si>
  <si>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</si>
  <si>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</si>
  <si>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LPAY</t>
  </si>
  <si>
    <t>Late Payment Revenue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</si>
  <si>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</si>
  <si>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</si>
  <si>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</si>
  <si>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</si>
  <si>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</si>
  <si>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</si>
  <si>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</si>
  <si>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</si>
  <si>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</si>
  <si>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</si>
  <si>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</si>
  <si>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</si>
  <si>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</si>
  <si>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</si>
  <si>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</si>
  <si>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</si>
  <si>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</si>
  <si>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</si>
  <si>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</si>
  <si>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</si>
  <si>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</si>
  <si>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</si>
  <si>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</si>
  <si>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</si>
  <si>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</si>
  <si>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</si>
  <si>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</si>
  <si>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</si>
  <si>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</si>
  <si>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</si>
  <si>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</si>
  <si>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</si>
  <si>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</si>
  <si>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</si>
  <si>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</si>
  <si>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</si>
  <si>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</si>
  <si>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</si>
  <si>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</si>
  <si>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</si>
  <si>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</si>
  <si>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</si>
  <si>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</si>
  <si>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</si>
  <si>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</si>
  <si>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</si>
  <si>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</si>
  <si>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</si>
  <si>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</si>
  <si>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</si>
  <si>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</si>
  <si>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</si>
  <si>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</si>
  <si>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</si>
  <si>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</si>
  <si>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</si>
  <si>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</si>
  <si>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</si>
  <si>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</si>
  <si>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</si>
  <si>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</si>
  <si>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</si>
  <si>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</si>
  <si>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</si>
  <si>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</si>
  <si>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</si>
  <si>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</si>
  <si>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</si>
  <si>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</si>
  <si>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</si>
  <si>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</si>
  <si>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</si>
  <si>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</si>
  <si>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</si>
  <si>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</si>
  <si>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</si>
  <si>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</si>
  <si>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</si>
  <si>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</si>
  <si>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</si>
  <si>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</si>
  <si>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</si>
  <si>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</si>
  <si>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</si>
  <si>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</si>
  <si>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</si>
  <si>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</si>
  <si>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</si>
  <si>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</si>
  <si>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</si>
  <si>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</si>
  <si>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</si>
  <si>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</si>
  <si>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</si>
  <si>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</si>
  <si>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</si>
  <si>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</si>
  <si>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</si>
  <si>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</si>
  <si>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</si>
  <si>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</si>
  <si>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</si>
  <si>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</si>
  <si>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</si>
  <si>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</si>
  <si>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</si>
  <si>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</si>
  <si>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</si>
  <si>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</si>
  <si>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</si>
  <si>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</si>
  <si>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</si>
  <si>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</si>
  <si>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</si>
  <si>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</si>
  <si>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</si>
  <si>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</si>
  <si>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</si>
  <si>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</si>
  <si>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</si>
  <si>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</si>
  <si>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</si>
  <si>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</si>
  <si>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</si>
  <si>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</si>
  <si>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</si>
  <si>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</si>
  <si>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</si>
  <si>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</si>
  <si>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</si>
  <si>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</si>
  <si>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</si>
  <si>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</si>
  <si>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</si>
  <si>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</si>
  <si>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</si>
  <si>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</si>
  <si>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</si>
  <si>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</si>
  <si>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</si>
  <si>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</si>
  <si>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</si>
  <si>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</si>
  <si>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</si>
  <si>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</si>
  <si>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</si>
  <si>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</si>
  <si>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</si>
  <si>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</si>
  <si>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</si>
  <si>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</si>
  <si>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</si>
  <si>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</si>
  <si>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</si>
  <si>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</si>
  <si>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</si>
  <si>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</si>
  <si>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</si>
  <si>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</si>
  <si>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</si>
  <si>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</si>
  <si>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</si>
  <si>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</si>
  <si>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</si>
  <si>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</si>
  <si>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</si>
  <si>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</si>
  <si>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</si>
  <si>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</si>
  <si>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</si>
  <si>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</si>
  <si>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</si>
  <si>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</si>
  <si>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</si>
  <si>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</si>
  <si>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</si>
  <si>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</si>
  <si>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</si>
  <si>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</si>
  <si>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</si>
  <si>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</si>
  <si>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</si>
  <si>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</si>
  <si>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</si>
  <si>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</si>
  <si>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</si>
  <si>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</si>
  <si>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</si>
  <si>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</si>
  <si>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</si>
  <si>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</si>
  <si>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</si>
  <si>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</si>
  <si>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</si>
  <si>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</si>
  <si>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</si>
  <si>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</si>
  <si>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</si>
  <si>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</si>
  <si>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</si>
  <si>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</si>
  <si>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</si>
  <si>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</si>
  <si>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</si>
  <si>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</si>
  <si>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</si>
  <si>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</si>
  <si>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</si>
  <si>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</si>
  <si>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</si>
  <si>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</si>
  <si>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</si>
  <si>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</si>
  <si>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</si>
  <si>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</si>
  <si>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</si>
  <si>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</si>
  <si>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</si>
  <si>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</si>
  <si>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</si>
  <si>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</si>
  <si>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</si>
  <si>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</si>
  <si>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</si>
  <si>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</si>
  <si>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</si>
  <si>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</si>
  <si>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</si>
  <si>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</si>
  <si>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</si>
  <si>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</si>
  <si>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</si>
  <si>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</si>
  <si>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</si>
  <si>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</si>
  <si>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</si>
  <si>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</si>
  <si>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</si>
  <si>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</si>
  <si>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</si>
  <si>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</si>
  <si>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</si>
  <si>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</si>
  <si>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</si>
  <si>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</si>
  <si>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</si>
  <si>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</si>
  <si>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</si>
  <si>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</si>
  <si>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</si>
  <si>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</si>
  <si>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</si>
  <si>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</si>
  <si>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</si>
  <si>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</si>
  <si>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</si>
  <si>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</si>
  <si>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</si>
  <si>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</si>
  <si>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</si>
  <si>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</si>
  <si>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</si>
  <si>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</si>
  <si>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</si>
  <si>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</si>
  <si>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</si>
  <si>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</si>
  <si>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</si>
  <si>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</si>
  <si>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</si>
  <si>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</si>
  <si>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</si>
  <si>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</si>
  <si>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</si>
  <si>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</si>
  <si>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</si>
  <si>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</si>
  <si>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</si>
  <si>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</si>
  <si>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</si>
  <si>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</si>
  <si>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</si>
  <si>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</si>
  <si>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</si>
  <si>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</si>
  <si>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</si>
  <si>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</si>
  <si>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</si>
  <si>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</si>
  <si>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</si>
  <si>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</si>
  <si>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</si>
  <si>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</si>
  <si>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</si>
  <si>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</si>
  <si>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</si>
  <si>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</si>
  <si>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</si>
  <si>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</si>
  <si>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</si>
  <si>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</si>
  <si>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</si>
  <si>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</si>
  <si>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</si>
  <si>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</si>
  <si>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</si>
  <si>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</si>
  <si>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</si>
  <si>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</si>
  <si>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</si>
  <si>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</si>
  <si>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</si>
  <si>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</si>
  <si>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</si>
  <si>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</si>
  <si>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</si>
  <si>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</si>
  <si>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</si>
  <si>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</si>
  <si>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</si>
  <si>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</si>
  <si>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</si>
  <si>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</si>
  <si>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</si>
  <si>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</si>
  <si>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</si>
  <si>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</si>
  <si>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</si>
  <si>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</si>
  <si>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</si>
  <si>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</si>
  <si>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</si>
  <si>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</si>
  <si>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</si>
  <si>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</si>
  <si>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</si>
  <si>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</si>
  <si>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</si>
  <si>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</si>
  <si>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</si>
  <si>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</si>
  <si>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</si>
  <si>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</si>
  <si>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</si>
  <si>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</si>
  <si>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</si>
  <si>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</si>
  <si>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</si>
  <si>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</si>
  <si>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</si>
  <si>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</si>
  <si>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</si>
  <si>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</si>
  <si>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</si>
  <si>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</si>
  <si>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</si>
  <si>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</si>
  <si>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</si>
  <si>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</si>
  <si>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</si>
  <si>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</si>
  <si>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</si>
  <si>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</si>
  <si>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</si>
  <si>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</si>
  <si>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</si>
  <si>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</si>
  <si>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</si>
  <si>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</si>
  <si>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</si>
  <si>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</si>
  <si>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</si>
  <si>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</si>
  <si>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</si>
  <si>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</si>
  <si>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</si>
  <si>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</si>
  <si>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</si>
  <si>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</si>
  <si>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</si>
  <si>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</si>
  <si>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</si>
  <si>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</si>
  <si>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</si>
  <si>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</si>
  <si>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</si>
  <si>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</si>
  <si>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</si>
  <si>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</si>
  <si>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</si>
  <si>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</si>
  <si>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</si>
  <si>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</si>
  <si>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</si>
  <si>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</si>
  <si>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</si>
  <si>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</si>
  <si>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</si>
  <si>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GS</t>
  </si>
  <si>
    <t>Not Used</t>
  </si>
  <si>
    <t>All Electric Schools</t>
  </si>
  <si>
    <t>AES</t>
  </si>
  <si>
    <t>General Service Rate GS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</si>
  <si>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</si>
  <si>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</si>
  <si>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</si>
  <si>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</si>
  <si>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</si>
  <si>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</si>
  <si>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</si>
  <si>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</si>
  <si>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</si>
  <si>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</si>
  <si>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</si>
  <si>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</si>
  <si>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</si>
  <si>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</si>
  <si>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</si>
  <si>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</si>
  <si>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</si>
  <si>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</si>
  <si>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</si>
  <si>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</si>
  <si>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</si>
  <si>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</si>
  <si>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</si>
  <si>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</si>
  <si>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</si>
  <si>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</si>
  <si>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</si>
  <si>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</si>
  <si>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</si>
  <si>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</si>
  <si>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</si>
  <si>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</si>
  <si>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</si>
  <si>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</si>
  <si>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</si>
  <si>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</si>
  <si>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</si>
  <si>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</si>
  <si>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</si>
  <si>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</si>
  <si>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</si>
  <si>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</si>
  <si>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</si>
  <si>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</si>
  <si>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</si>
  <si>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</si>
  <si>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</si>
  <si>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</si>
  <si>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</si>
  <si>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</si>
  <si>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</si>
  <si>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</si>
  <si>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</si>
  <si>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</si>
  <si>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</si>
  <si>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</si>
  <si>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</si>
  <si>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</si>
  <si>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</si>
  <si>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</si>
  <si>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</si>
  <si>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</si>
  <si>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</si>
  <si>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</si>
  <si>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</si>
  <si>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</si>
  <si>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</si>
  <si>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</si>
  <si>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</si>
  <si>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</si>
  <si>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</si>
  <si>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</si>
  <si>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</si>
  <si>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</si>
  <si>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</si>
  <si>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</si>
  <si>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</si>
  <si>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</si>
  <si>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</si>
  <si>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</si>
  <si>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</si>
  <si>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</si>
  <si>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</si>
  <si>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</si>
  <si>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</si>
  <si>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</si>
  <si>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</si>
  <si>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</si>
  <si>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</si>
  <si>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Proposed Reduction to CSR Credit</t>
  </si>
  <si>
    <t/>
  </si>
  <si>
    <t>School Test</t>
  </si>
  <si>
    <t>School</t>
  </si>
  <si>
    <t>Wgt Cust</t>
  </si>
  <si>
    <t>calc values that were hard iinput on per filing</t>
  </si>
  <si>
    <t xml:space="preserve">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</si>
</sst>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</numFmts>
  <fonts count="60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341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64" fontId="2" fillId="0" borderId="0" xfId="67" applyNumberFormat="1" applyFont="1" applyFill="1" applyBorder="1"/>
    <xf numFmtId="0" fontId="1" fillId="0" borderId="0" xfId="0" applyFont="1" applyFill="1" applyAlignment="1">
      <alignment horizontal="center" wrapText="1"/>
    </xf>
    <xf numFmtId="166" fontId="2" fillId="21" borderId="0" xfId="33" applyNumberFormat="1" applyFont="1" applyFill="1"/>
    <xf numFmtId="0" fontId="1" fillId="0" borderId="0" xfId="0" applyFont="1" applyFill="1" applyAlignment="1">
      <alignment horizontal="left"/>
    </xf>
    <xf numFmtId="164" fontId="59" fillId="21" borderId="0" xfId="36" applyNumberFormat="1" applyFont="1" applyFill="1"/>
    <xf numFmtId="43" fontId="59" fillId="21" borderId="0" xfId="33" applyNumberFormat="1" applyFont="1" applyFill="1"/>
    <xf numFmtId="2" fontId="14" fillId="0" borderId="0" xfId="67" applyNumberFormat="1" applyFont="1" applyFill="1"/>
    <xf numFmtId="2" fontId="14" fillId="0" borderId="0" xfId="0" applyNumberFormat="1" applyFont="1" applyFill="1"/>
    <xf numFmtId="1" fontId="14" fillId="0" borderId="0" xfId="67" applyNumberFormat="1" applyFont="1" applyFill="1"/>
    <xf numFmtId="0" fontId="8" fillId="22" borderId="0" xfId="0" applyFont="1" applyFill="1"/>
    <xf numFmtId="0" fontId="5" fillId="22" borderId="0" xfId="0" applyFont="1" applyFill="1" applyBorder="1" applyAlignment="1">
      <alignment horizontal="left"/>
    </xf>
    <xf numFmtId="166" fontId="0" fillId="22" borderId="0" xfId="33" applyNumberFormat="1" applyFont="1" applyFill="1"/>
    <xf numFmtId="10" fontId="0" fillId="22" borderId="0" xfId="67" applyNumberFormat="1" applyFont="1" applyFill="1"/>
    <xf numFmtId="166" fontId="14" fillId="22" borderId="0" xfId="33" applyNumberFormat="1" applyFont="1" applyFill="1" applyAlignment="1">
      <alignment horizontal="right"/>
    </xf>
    <xf numFmtId="166" fontId="14" fillId="22" borderId="0" xfId="0" applyNumberFormat="1" applyFont="1" applyFill="1"/>
    <xf numFmtId="166" fontId="14" fillId="22" borderId="0" xfId="33" applyNumberFormat="1" applyFont="1" applyFill="1"/>
    <xf numFmtId="0" fontId="2" fillId="23" borderId="0" xfId="0" applyFont="1" applyFill="1"/>
    <xf numFmtId="172" fontId="2" fillId="23" borderId="0" xfId="33" applyNumberFormat="1" applyFont="1" applyFill="1"/>
    <xf numFmtId="171" fontId="2" fillId="23" borderId="0" xfId="33" applyNumberFormat="1" applyFont="1" applyFill="1"/>
    <xf numFmtId="0" fontId="2" fillId="23" borderId="0" xfId="0" applyFont="1" applyFill="1" applyAlignment="1">
      <alignment horizontal="center"/>
    </xf>
    <xf numFmtId="164" fontId="2" fillId="23" borderId="0" xfId="0" applyNumberFormat="1" applyFont="1" applyFill="1"/>
    <xf numFmtId="2" fontId="2" fillId="0" borderId="0" xfId="33" applyNumberFormat="1" applyFont="1" applyFill="1"/>
    <xf numFmtId="0" fontId="5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5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A23" sqref="A2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1301</v>
      </c>
      <c r="M13" s="36" t="s">
        <v>1301</v>
      </c>
    </row>
    <row r="14" spans="1:25" x14ac:dyDescent="0.2">
      <c r="B14" s="83">
        <v>42666.412729398151</v>
      </c>
      <c r="E14" s="35" t="s">
        <v>1302</v>
      </c>
      <c r="M14" s="36" t="s">
        <v>1302</v>
      </c>
    </row>
    <row r="15" spans="1:25" x14ac:dyDescent="0.2">
      <c r="E15" s="35" t="s">
        <v>1303</v>
      </c>
      <c r="M15" s="36" t="s">
        <v>1303</v>
      </c>
    </row>
    <row r="16" spans="1:25" x14ac:dyDescent="0.2">
      <c r="B16" s="35" t="s">
        <v>2328</v>
      </c>
    </row>
    <row r="17" spans="1:20" x14ac:dyDescent="0.2">
      <c r="B17" s="35" t="s">
        <v>1902</v>
      </c>
      <c r="E17" s="35" t="s">
        <v>2329</v>
      </c>
    </row>
    <row r="19" spans="1:20" x14ac:dyDescent="0.2">
      <c r="D19" s="84" t="s">
        <v>1304</v>
      </c>
      <c r="E19" s="80"/>
      <c r="F19" s="80" t="s">
        <v>1305</v>
      </c>
      <c r="G19" s="80"/>
      <c r="H19" s="84" t="s">
        <v>1306</v>
      </c>
      <c r="I19" s="84" t="s">
        <v>1307</v>
      </c>
      <c r="J19" s="84"/>
      <c r="K19" s="84"/>
      <c r="L19" s="84" t="s">
        <v>1308</v>
      </c>
      <c r="M19" s="84"/>
      <c r="N19" s="84"/>
      <c r="O19" s="84"/>
      <c r="P19" s="84"/>
      <c r="Q19" s="84"/>
      <c r="T19" s="84" t="s">
        <v>1309</v>
      </c>
    </row>
    <row r="20" spans="1:20" x14ac:dyDescent="0.2">
      <c r="D20" s="84" t="s">
        <v>1305</v>
      </c>
      <c r="E20" s="80"/>
      <c r="F20" s="80" t="s">
        <v>1310</v>
      </c>
      <c r="G20" s="80"/>
      <c r="H20" s="84" t="s">
        <v>1310</v>
      </c>
      <c r="I20" s="84" t="s">
        <v>1308</v>
      </c>
      <c r="J20" s="84"/>
      <c r="K20" s="84"/>
      <c r="L20" s="84" t="s">
        <v>1310</v>
      </c>
      <c r="M20" s="84"/>
      <c r="N20" s="84" t="s">
        <v>1311</v>
      </c>
      <c r="O20" s="84"/>
      <c r="P20" s="84"/>
      <c r="Q20" s="84"/>
      <c r="T20" s="84" t="s">
        <v>1304</v>
      </c>
    </row>
    <row r="21" spans="1:20" x14ac:dyDescent="0.2">
      <c r="C21" s="35" t="s">
        <v>1312</v>
      </c>
      <c r="D21" s="84" t="s">
        <v>1313</v>
      </c>
      <c r="E21" s="80"/>
      <c r="F21" s="80" t="s">
        <v>1314</v>
      </c>
      <c r="G21" s="80"/>
      <c r="H21" s="84" t="s">
        <v>1314</v>
      </c>
      <c r="I21" s="84" t="s">
        <v>1314</v>
      </c>
      <c r="J21" s="84"/>
      <c r="K21" s="84"/>
      <c r="L21" s="84" t="s">
        <v>1314</v>
      </c>
      <c r="M21" s="84"/>
      <c r="N21" s="84" t="s">
        <v>1314</v>
      </c>
      <c r="O21" s="84" t="s">
        <v>1315</v>
      </c>
      <c r="P21" s="84" t="s">
        <v>1316</v>
      </c>
      <c r="Q21" s="84" t="s">
        <v>1317</v>
      </c>
      <c r="T21" s="84" t="s">
        <v>1305</v>
      </c>
    </row>
    <row r="22" spans="1:20" x14ac:dyDescent="0.2">
      <c r="D22" s="84" t="s">
        <v>1318</v>
      </c>
      <c r="E22" s="80"/>
      <c r="F22" s="80" t="s">
        <v>1319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1320</v>
      </c>
      <c r="O22" s="84" t="s">
        <v>1321</v>
      </c>
      <c r="P22" s="84" t="s">
        <v>1322</v>
      </c>
      <c r="Q22" s="84" t="s">
        <v>1323</v>
      </c>
      <c r="T22" s="84" t="s">
        <v>1313</v>
      </c>
    </row>
    <row r="23" spans="1:20" x14ac:dyDescent="0.2">
      <c r="B23" s="35" t="s">
        <v>1324</v>
      </c>
    </row>
    <row r="25" spans="1:20" x14ac:dyDescent="0.2">
      <c r="B25" s="35" t="s">
        <v>1325</v>
      </c>
    </row>
    <row r="26" spans="1:20" x14ac:dyDescent="0.2">
      <c r="B26" s="35" t="s">
        <v>1326</v>
      </c>
    </row>
    <row r="27" spans="1:20" x14ac:dyDescent="0.2">
      <c r="B27" s="35" t="s">
        <v>1327</v>
      </c>
      <c r="F27" s="165"/>
    </row>
    <row r="28" spans="1:20" x14ac:dyDescent="0.2">
      <c r="A28" s="35">
        <v>1</v>
      </c>
      <c r="B28" s="35" t="s">
        <v>1328</v>
      </c>
      <c r="C28" s="35" t="s">
        <v>1329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1330</v>
      </c>
      <c r="C29" s="35" t="s">
        <v>1331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1332</v>
      </c>
      <c r="C30" s="35" t="s">
        <v>1333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1334</v>
      </c>
      <c r="C31" s="35" t="s">
        <v>1335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1336</v>
      </c>
      <c r="C32" s="35" t="s">
        <v>1337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1338</v>
      </c>
      <c r="C33" s="35" t="s">
        <v>1339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1340</v>
      </c>
      <c r="F34" s="36"/>
    </row>
    <row r="35" spans="1:17" x14ac:dyDescent="0.2">
      <c r="A35" s="35">
        <v>7</v>
      </c>
      <c r="B35" s="35" t="s">
        <v>1341</v>
      </c>
      <c r="C35" s="35" t="s">
        <v>1342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1343</v>
      </c>
      <c r="C36" s="35" t="s">
        <v>1344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1903</v>
      </c>
      <c r="C37" s="35" t="s">
        <v>1904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1345</v>
      </c>
      <c r="C38" s="35" t="s">
        <v>1346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2217</v>
      </c>
      <c r="C39" s="35" t="s">
        <v>2218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1347</v>
      </c>
      <c r="F41" s="165"/>
    </row>
    <row r="42" spans="1:17" x14ac:dyDescent="0.2">
      <c r="A42" s="35">
        <v>12</v>
      </c>
      <c r="B42" s="35" t="s">
        <v>1905</v>
      </c>
      <c r="C42" s="35" t="s">
        <v>1906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1907</v>
      </c>
      <c r="C43" s="35" t="s">
        <v>1908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1909</v>
      </c>
      <c r="C44" s="35" t="s">
        <v>1910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1911</v>
      </c>
      <c r="C45" s="35" t="s">
        <v>1912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1913</v>
      </c>
      <c r="C46" s="35" t="s">
        <v>1914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1915</v>
      </c>
      <c r="C47" s="35" t="s">
        <v>1916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1917</v>
      </c>
      <c r="C48" s="35" t="s">
        <v>1918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1919</v>
      </c>
      <c r="C49" s="35" t="s">
        <v>1426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1920</v>
      </c>
      <c r="C50" s="35" t="s">
        <v>1869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1921</v>
      </c>
      <c r="C51" s="35" t="s">
        <v>1922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1923</v>
      </c>
      <c r="C52" s="35" t="s">
        <v>1924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1925</v>
      </c>
      <c r="C53" s="35" t="s">
        <v>1926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2289</v>
      </c>
      <c r="C54" s="35" t="s">
        <v>2290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1927</v>
      </c>
      <c r="C55" s="35" t="s">
        <v>1928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1929</v>
      </c>
      <c r="C56" s="35" t="s">
        <v>1930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1931</v>
      </c>
      <c r="C57" s="35" t="s">
        <v>1932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1933</v>
      </c>
      <c r="C58" s="35" t="s">
        <v>1427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1934</v>
      </c>
      <c r="C59" s="35" t="s">
        <v>1935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1936</v>
      </c>
      <c r="C60" s="35" t="s">
        <v>1937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1938</v>
      </c>
      <c r="C61" s="35" t="s">
        <v>1939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1940</v>
      </c>
      <c r="C62" s="35" t="s">
        <v>1941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1942</v>
      </c>
      <c r="C63" s="35" t="s">
        <v>1943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1944</v>
      </c>
      <c r="C64" s="35" t="s">
        <v>1945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1946</v>
      </c>
      <c r="C65" s="35" t="s">
        <v>1947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1948</v>
      </c>
      <c r="C66" s="35" t="s">
        <v>1949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1950</v>
      </c>
      <c r="C67" s="35" t="s">
        <v>1951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1428</v>
      </c>
      <c r="C68" s="35" t="s">
        <v>1429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1430</v>
      </c>
      <c r="C69" s="35" t="s">
        <v>1431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2291</v>
      </c>
      <c r="C70" s="35" t="s">
        <v>1432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2292</v>
      </c>
      <c r="C71" s="35" t="s">
        <v>1433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1952</v>
      </c>
      <c r="C72" s="35" t="s">
        <v>1953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2330</v>
      </c>
      <c r="W72" s="35" t="s">
        <v>1315</v>
      </c>
      <c r="X72" s="35" t="s">
        <v>1316</v>
      </c>
    </row>
    <row r="73" spans="1:25" x14ac:dyDescent="0.2">
      <c r="A73" s="35">
        <v>43</v>
      </c>
      <c r="B73" s="35" t="s">
        <v>1954</v>
      </c>
      <c r="C73" s="35" t="s">
        <v>1955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2293</v>
      </c>
      <c r="V73" s="35">
        <v>6803.8320000000003</v>
      </c>
      <c r="W73" s="35">
        <v>2763.36</v>
      </c>
      <c r="X73" s="35">
        <v>4040.4720000000002</v>
      </c>
      <c r="Y73" s="35" t="s">
        <v>2331</v>
      </c>
    </row>
    <row r="74" spans="1:25" x14ac:dyDescent="0.2">
      <c r="A74" s="35">
        <v>44</v>
      </c>
      <c r="B74" s="35" t="s">
        <v>1956</v>
      </c>
      <c r="C74" s="35" t="s">
        <v>1957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2294</v>
      </c>
      <c r="V74" s="35">
        <v>0</v>
      </c>
      <c r="W74" s="35">
        <v>0</v>
      </c>
      <c r="X74" s="35">
        <v>0</v>
      </c>
      <c r="Y74" s="35" t="s">
        <v>2332</v>
      </c>
    </row>
    <row r="75" spans="1:25" x14ac:dyDescent="0.2">
      <c r="A75" s="35">
        <v>45</v>
      </c>
      <c r="B75" s="35" t="s">
        <v>1958</v>
      </c>
      <c r="C75" s="35" t="s">
        <v>1959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1960</v>
      </c>
      <c r="C76" s="35" t="s">
        <v>1961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1962</v>
      </c>
      <c r="C77" s="35" t="s">
        <v>1963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1434</v>
      </c>
      <c r="C78" s="35" t="s">
        <v>1435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1436</v>
      </c>
      <c r="C79" s="35" t="s">
        <v>1437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1438</v>
      </c>
      <c r="C80" s="35" t="s">
        <v>1439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1440</v>
      </c>
      <c r="F83" s="36"/>
    </row>
    <row r="84" spans="1:17" x14ac:dyDescent="0.2">
      <c r="B84" s="35" t="s">
        <v>1326</v>
      </c>
      <c r="F84" s="36"/>
    </row>
    <row r="85" spans="1:17" x14ac:dyDescent="0.2">
      <c r="A85" s="35">
        <v>1</v>
      </c>
      <c r="B85" s="35" t="s">
        <v>1441</v>
      </c>
      <c r="C85" s="35" t="s">
        <v>1440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1442</v>
      </c>
      <c r="C86" s="35" t="s">
        <v>1443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1444</v>
      </c>
      <c r="F90" s="36"/>
    </row>
    <row r="91" spans="1:17" x14ac:dyDescent="0.2">
      <c r="B91" s="35" t="s">
        <v>1326</v>
      </c>
      <c r="F91" s="36"/>
    </row>
    <row r="92" spans="1:17" x14ac:dyDescent="0.2">
      <c r="A92" s="35">
        <v>1</v>
      </c>
      <c r="B92" s="35" t="s">
        <v>1964</v>
      </c>
      <c r="C92" s="35" t="s">
        <v>1446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1965</v>
      </c>
      <c r="C93" s="35" t="s">
        <v>1448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1966</v>
      </c>
      <c r="C94" s="35" t="s">
        <v>1450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1967</v>
      </c>
      <c r="C95" s="35" t="s">
        <v>1452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1453</v>
      </c>
      <c r="C96" s="35" t="s">
        <v>1454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1455</v>
      </c>
      <c r="C97" s="35" t="s">
        <v>1456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1457</v>
      </c>
      <c r="C98" s="35" t="s">
        <v>1458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1459</v>
      </c>
      <c r="C99" s="35" t="s">
        <v>1460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1461</v>
      </c>
      <c r="C100" s="35" t="s">
        <v>1462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1463</v>
      </c>
      <c r="C101" s="35" t="s">
        <v>1464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1465</v>
      </c>
      <c r="C102" s="35" t="s">
        <v>1466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1968</v>
      </c>
      <c r="C103" s="35" t="s">
        <v>1468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1469</v>
      </c>
      <c r="C104" s="35" t="s">
        <v>1470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1471</v>
      </c>
      <c r="C105" s="35" t="s">
        <v>1472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1473</v>
      </c>
      <c r="C106" s="35" t="s">
        <v>1474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1475</v>
      </c>
      <c r="C107" s="35" t="s">
        <v>1476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1477</v>
      </c>
      <c r="C108" s="35" t="s">
        <v>1478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1479</v>
      </c>
      <c r="C109" s="35" t="s">
        <v>1480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1481</v>
      </c>
      <c r="C110" s="35" t="s">
        <v>1482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1829</v>
      </c>
      <c r="C111" s="35" t="s">
        <v>1969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1483</v>
      </c>
      <c r="F118" s="36"/>
    </row>
    <row r="119" spans="1:17" x14ac:dyDescent="0.2">
      <c r="B119" s="35" t="s">
        <v>1326</v>
      </c>
      <c r="F119" s="36"/>
    </row>
    <row r="120" spans="1:17" x14ac:dyDescent="0.2">
      <c r="A120" s="35">
        <v>1</v>
      </c>
      <c r="B120" s="35" t="s">
        <v>1484</v>
      </c>
      <c r="C120" s="35" t="s">
        <v>1485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1486</v>
      </c>
      <c r="C121" s="35" t="s">
        <v>1487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1488</v>
      </c>
      <c r="C122" s="35" t="s">
        <v>1489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1490</v>
      </c>
      <c r="C123" s="35" t="s">
        <v>1491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1492</v>
      </c>
      <c r="C124" s="35" t="s">
        <v>1493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1494</v>
      </c>
      <c r="C125" s="35" t="s">
        <v>1495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1496</v>
      </c>
      <c r="C126" s="35" t="s">
        <v>1497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1498</v>
      </c>
      <c r="C127" s="35" t="s">
        <v>1499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1500</v>
      </c>
      <c r="C128" s="35" t="s">
        <v>1501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1502</v>
      </c>
      <c r="C129" s="35" t="s">
        <v>1503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1504</v>
      </c>
      <c r="C130" s="35" t="s">
        <v>1505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1506</v>
      </c>
      <c r="C131" s="35" t="s">
        <v>1507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1508</v>
      </c>
      <c r="C132" s="35" t="s">
        <v>1509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1510</v>
      </c>
      <c r="C133" s="35" t="s">
        <v>1970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506</v>
      </c>
      <c r="C134" s="35" t="s">
        <v>1971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507</v>
      </c>
      <c r="C135" s="35" t="s">
        <v>508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947</v>
      </c>
      <c r="C136" s="35" t="s">
        <v>948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949</v>
      </c>
      <c r="C137" s="35" t="s">
        <v>950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2219</v>
      </c>
      <c r="C138" s="35" t="s">
        <v>2220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951</v>
      </c>
      <c r="C139" s="35" t="s">
        <v>952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953</v>
      </c>
      <c r="C140" s="35" t="s">
        <v>1972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954</v>
      </c>
      <c r="C141" s="35" t="s">
        <v>1973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955</v>
      </c>
      <c r="C142" s="35" t="s">
        <v>956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957</v>
      </c>
      <c r="C143" s="35" t="s">
        <v>958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959</v>
      </c>
      <c r="C144" s="35" t="s">
        <v>1827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960</v>
      </c>
      <c r="C145" s="35" t="s">
        <v>1828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961</v>
      </c>
      <c r="C146" s="35" t="s">
        <v>962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1406</v>
      </c>
      <c r="C147" s="35" t="s">
        <v>1407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1408</v>
      </c>
      <c r="C148" s="35" t="s">
        <v>1974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1409</v>
      </c>
      <c r="C149" s="35" t="s">
        <v>1410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1411</v>
      </c>
      <c r="C150" s="35" t="s">
        <v>1412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1413</v>
      </c>
      <c r="C151" s="35" t="s">
        <v>1414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1415</v>
      </c>
      <c r="C152" s="35" t="s">
        <v>1416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1417</v>
      </c>
      <c r="C153" s="35" t="s">
        <v>1418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1419</v>
      </c>
      <c r="C154" s="35" t="s">
        <v>1420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1421</v>
      </c>
      <c r="C155" s="35" t="s">
        <v>1422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890</v>
      </c>
      <c r="C156" s="35" t="s">
        <v>1975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891</v>
      </c>
      <c r="C157" s="35" t="s">
        <v>1976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892</v>
      </c>
      <c r="C158" s="35" t="s">
        <v>1977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893</v>
      </c>
      <c r="C159" s="35" t="s">
        <v>1978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894</v>
      </c>
      <c r="C160" s="35" t="s">
        <v>1979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895</v>
      </c>
      <c r="C161" s="35" t="s">
        <v>1980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896</v>
      </c>
      <c r="C162" s="35" t="s">
        <v>1981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897</v>
      </c>
      <c r="C163" s="35" t="s">
        <v>1982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898</v>
      </c>
      <c r="C164" s="35" t="s">
        <v>899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900</v>
      </c>
      <c r="F166" s="36"/>
    </row>
    <row r="167" spans="1:17" x14ac:dyDescent="0.2">
      <c r="B167" s="35" t="s">
        <v>1326</v>
      </c>
      <c r="F167" s="36"/>
    </row>
    <row r="168" spans="1:17" x14ac:dyDescent="0.2">
      <c r="A168" s="35">
        <v>1</v>
      </c>
      <c r="B168" s="35" t="s">
        <v>901</v>
      </c>
      <c r="C168" s="35" t="s">
        <v>1983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902</v>
      </c>
      <c r="C169" s="35" t="s">
        <v>903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904</v>
      </c>
      <c r="C170" s="35" t="s">
        <v>905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906</v>
      </c>
      <c r="C171" s="35" t="s">
        <v>907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908</v>
      </c>
      <c r="C172" s="35" t="s">
        <v>909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910</v>
      </c>
      <c r="C173" s="35" t="s">
        <v>911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963</v>
      </c>
      <c r="C174" s="35" t="s">
        <v>964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541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2221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1984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1985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1986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1987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1988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1989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532</v>
      </c>
      <c r="C192" s="35" t="s">
        <v>533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534</v>
      </c>
      <c r="C193" s="35" t="s">
        <v>1990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535</v>
      </c>
      <c r="C194" s="35" t="s">
        <v>1991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536</v>
      </c>
      <c r="C195" s="35" t="s">
        <v>537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538</v>
      </c>
      <c r="C196" s="35" t="s">
        <v>539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540</v>
      </c>
      <c r="C197" s="35" t="s">
        <v>1992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552</v>
      </c>
      <c r="C198" s="35" t="s">
        <v>1993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553</v>
      </c>
      <c r="C199" s="35" t="s">
        <v>554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555</v>
      </c>
      <c r="C200" s="35" t="s">
        <v>556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557</v>
      </c>
      <c r="C201" s="35" t="s">
        <v>1994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558</v>
      </c>
      <c r="C202" s="35" t="s">
        <v>559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560</v>
      </c>
      <c r="C203" s="35" t="s">
        <v>1995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561</v>
      </c>
      <c r="C204" s="35" t="s">
        <v>562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563</v>
      </c>
      <c r="C205" s="35" t="s">
        <v>1996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564</v>
      </c>
      <c r="C206" s="35" t="s">
        <v>565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566</v>
      </c>
      <c r="C207" s="35" t="s">
        <v>567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900</v>
      </c>
      <c r="F209" s="36"/>
    </row>
    <row r="210" spans="1:17" x14ac:dyDescent="0.2">
      <c r="B210" s="35" t="s">
        <v>1326</v>
      </c>
      <c r="F210" s="36"/>
    </row>
    <row r="211" spans="1:17" x14ac:dyDescent="0.2">
      <c r="A211" s="35">
        <v>1</v>
      </c>
      <c r="B211" s="35" t="s">
        <v>2295</v>
      </c>
      <c r="C211" s="35" t="s">
        <v>569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570</v>
      </c>
      <c r="C212" s="35" t="s">
        <v>571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974</v>
      </c>
      <c r="C213" s="35" t="s">
        <v>975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976</v>
      </c>
      <c r="C214" s="35" t="s">
        <v>977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978</v>
      </c>
      <c r="C215" s="35" t="s">
        <v>979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980</v>
      </c>
      <c r="C216" s="35" t="s">
        <v>981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982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2222</v>
      </c>
      <c r="C218" s="35" t="s">
        <v>2223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2224</v>
      </c>
      <c r="C219" s="35" t="s">
        <v>2225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2226</v>
      </c>
      <c r="C220" s="35" t="s">
        <v>2227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1326</v>
      </c>
      <c r="F253" s="36"/>
    </row>
    <row r="254" spans="1:17" x14ac:dyDescent="0.2">
      <c r="A254" s="35">
        <v>1</v>
      </c>
      <c r="B254" s="35" t="s">
        <v>1997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2228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1998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1999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2000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2001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2002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2003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2004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2005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1326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1327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1328</v>
      </c>
      <c r="C277" s="35" t="s">
        <v>1329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1330</v>
      </c>
      <c r="C278" s="35" t="s">
        <v>1331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1332</v>
      </c>
      <c r="C279" s="35" t="s">
        <v>1333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1334</v>
      </c>
      <c r="C280" s="35" t="s">
        <v>1335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1336</v>
      </c>
      <c r="C281" s="35" t="s">
        <v>1337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1338</v>
      </c>
      <c r="C282" s="35" t="s">
        <v>1339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1340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1341</v>
      </c>
      <c r="C284" s="35" t="s">
        <v>1342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1343</v>
      </c>
      <c r="C285" s="35" t="s">
        <v>1344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1903</v>
      </c>
      <c r="C286" s="35" t="s">
        <v>1904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1345</v>
      </c>
      <c r="C287" s="35" t="s">
        <v>1346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2217</v>
      </c>
      <c r="C288" s="35" t="s">
        <v>2218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1347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1905</v>
      </c>
      <c r="C291" s="35" t="s">
        <v>1906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1907</v>
      </c>
      <c r="C292" s="35" t="s">
        <v>1908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1909</v>
      </c>
      <c r="C293" s="35" t="s">
        <v>1910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1911</v>
      </c>
      <c r="C294" s="35" t="s">
        <v>1912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1913</v>
      </c>
      <c r="C295" s="35" t="s">
        <v>1914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1915</v>
      </c>
      <c r="C296" s="35" t="s">
        <v>1916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1917</v>
      </c>
      <c r="C297" s="35" t="s">
        <v>1918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1919</v>
      </c>
      <c r="C298" s="35" t="s">
        <v>1426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1920</v>
      </c>
      <c r="C299" s="35" t="s">
        <v>1869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1921</v>
      </c>
      <c r="C300" s="35" t="s">
        <v>1922</v>
      </c>
      <c r="D300" s="285">
        <v>1</v>
      </c>
      <c r="E300" s="286"/>
      <c r="F300" s="285">
        <v>0</v>
      </c>
      <c r="G300" s="285"/>
      <c r="H300" s="285">
        <v>1</v>
      </c>
      <c r="I300" s="285">
        <v>0</v>
      </c>
      <c r="J300" s="286"/>
      <c r="K300" s="285"/>
      <c r="L300" s="285">
        <v>0</v>
      </c>
      <c r="M300" s="285"/>
      <c r="N300" s="285">
        <v>0</v>
      </c>
      <c r="O300" s="285">
        <v>0</v>
      </c>
      <c r="P300" s="285">
        <v>0</v>
      </c>
      <c r="Q300" s="285">
        <v>0</v>
      </c>
    </row>
    <row r="301" spans="1:17" ht="12.75" x14ac:dyDescent="0.2">
      <c r="A301" s="35">
        <v>22</v>
      </c>
      <c r="B301" s="35" t="s">
        <v>1923</v>
      </c>
      <c r="C301" s="35" t="s">
        <v>1924</v>
      </c>
      <c r="D301" s="285">
        <v>1</v>
      </c>
      <c r="E301" s="286"/>
      <c r="F301" s="285">
        <v>0</v>
      </c>
      <c r="G301" s="285"/>
      <c r="H301" s="285">
        <v>1</v>
      </c>
      <c r="I301" s="285">
        <v>0</v>
      </c>
      <c r="J301" s="286"/>
      <c r="K301" s="285"/>
      <c r="L301" s="285">
        <v>0</v>
      </c>
      <c r="M301" s="285"/>
      <c r="N301" s="285">
        <v>0</v>
      </c>
      <c r="O301" s="285">
        <v>0</v>
      </c>
      <c r="P301" s="285">
        <v>0</v>
      </c>
      <c r="Q301" s="285">
        <v>0</v>
      </c>
    </row>
    <row r="302" spans="1:17" x14ac:dyDescent="0.2">
      <c r="A302" s="35">
        <v>23</v>
      </c>
      <c r="B302" s="35" t="s">
        <v>1925</v>
      </c>
      <c r="C302" s="35" t="s">
        <v>1926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2289</v>
      </c>
      <c r="C303" s="35" t="s">
        <v>2290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1927</v>
      </c>
      <c r="C304" s="35" t="s">
        <v>1928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1929</v>
      </c>
      <c r="C305" s="35" t="s">
        <v>1930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1931</v>
      </c>
      <c r="C306" s="35" t="s">
        <v>1932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1933</v>
      </c>
      <c r="C307" s="35" t="s">
        <v>1427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1934</v>
      </c>
      <c r="C308" s="35" t="s">
        <v>1935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1936</v>
      </c>
      <c r="C309" s="35" t="s">
        <v>1937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1938</v>
      </c>
      <c r="C310" s="35" t="s">
        <v>1939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1940</v>
      </c>
      <c r="C311" s="35" t="s">
        <v>1941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1942</v>
      </c>
      <c r="C312" s="35" t="s">
        <v>1943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1944</v>
      </c>
      <c r="C313" s="35" t="s">
        <v>1945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1946</v>
      </c>
      <c r="C314" s="35" t="s">
        <v>1947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1948</v>
      </c>
      <c r="C315" s="35" t="s">
        <v>1949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1950</v>
      </c>
      <c r="C316" s="35" t="s">
        <v>1951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1429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1431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1432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1513</v>
      </c>
      <c r="C320" s="35" t="s">
        <v>1433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1952</v>
      </c>
      <c r="C321" s="35" t="s">
        <v>1953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1954</v>
      </c>
      <c r="C322" s="35" t="s">
        <v>1955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1956</v>
      </c>
      <c r="C323" s="35" t="s">
        <v>1957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2006</v>
      </c>
      <c r="C324" s="35" t="s">
        <v>1959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2007</v>
      </c>
      <c r="C325" s="35" t="s">
        <v>1961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2008</v>
      </c>
      <c r="C326" s="35" t="s">
        <v>1963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1434</v>
      </c>
      <c r="C327" s="35" t="s">
        <v>1435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1436</v>
      </c>
      <c r="C328" s="35" t="s">
        <v>1437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1438</v>
      </c>
      <c r="C329" s="35" t="s">
        <v>1439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1440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1326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1441</v>
      </c>
      <c r="C334" s="35" t="s">
        <v>1440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1442</v>
      </c>
      <c r="C335" s="35" t="s">
        <v>1443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1444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1326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1445</v>
      </c>
      <c r="C341" s="35" t="s">
        <v>1446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1447</v>
      </c>
      <c r="C342" s="35" t="s">
        <v>1448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1449</v>
      </c>
      <c r="C343" s="35" t="s">
        <v>1450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1451</v>
      </c>
      <c r="C344" s="35" t="s">
        <v>1452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1453</v>
      </c>
      <c r="C345" s="35" t="s">
        <v>1454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1455</v>
      </c>
      <c r="C346" s="35" t="s">
        <v>1456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1457</v>
      </c>
      <c r="C347" s="35" t="s">
        <v>1458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1459</v>
      </c>
      <c r="C348" s="35" t="s">
        <v>1460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1461</v>
      </c>
      <c r="C349" s="35" t="s">
        <v>1462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1463</v>
      </c>
      <c r="C350" s="35" t="s">
        <v>1464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1465</v>
      </c>
      <c r="C351" s="35" t="s">
        <v>1466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1467</v>
      </c>
      <c r="C352" s="35" t="s">
        <v>1468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1469</v>
      </c>
      <c r="C353" s="35" t="s">
        <v>1470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1471</v>
      </c>
      <c r="C354" s="35" t="s">
        <v>1472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1473</v>
      </c>
      <c r="C355" s="35" t="s">
        <v>1474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1475</v>
      </c>
      <c r="C356" s="35" t="s">
        <v>1476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1477</v>
      </c>
      <c r="C357" s="35" t="s">
        <v>1478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1479</v>
      </c>
      <c r="C358" s="35" t="s">
        <v>1480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1481</v>
      </c>
      <c r="C359" s="35" t="s">
        <v>1482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1830</v>
      </c>
      <c r="C360" s="35" t="s">
        <v>1969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1483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1326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1484</v>
      </c>
      <c r="C369" s="35" t="s">
        <v>1485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1486</v>
      </c>
      <c r="C370" s="35" t="s">
        <v>1487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1488</v>
      </c>
      <c r="C371" s="35" t="s">
        <v>1489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1488</v>
      </c>
      <c r="C372" s="35" t="s">
        <v>1493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1490</v>
      </c>
      <c r="C373" s="35" t="s">
        <v>1491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1494</v>
      </c>
      <c r="C374" s="35" t="s">
        <v>1495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1496</v>
      </c>
      <c r="C375" s="35" t="s">
        <v>1497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1498</v>
      </c>
      <c r="C376" s="35" t="s">
        <v>1499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1500</v>
      </c>
      <c r="C377" s="35" t="s">
        <v>1501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1502</v>
      </c>
      <c r="C378" s="35" t="s">
        <v>1503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1504</v>
      </c>
      <c r="C379" s="35" t="s">
        <v>1505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1506</v>
      </c>
      <c r="C380" s="35" t="s">
        <v>1507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1508</v>
      </c>
      <c r="C381" s="35" t="s">
        <v>1509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1510</v>
      </c>
      <c r="C382" s="35" t="s">
        <v>1970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506</v>
      </c>
      <c r="C383" s="35" t="s">
        <v>1971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507</v>
      </c>
      <c r="C384" s="35" t="s">
        <v>508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947</v>
      </c>
      <c r="C385" s="35" t="s">
        <v>948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949</v>
      </c>
      <c r="C386" s="35" t="s">
        <v>950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2219</v>
      </c>
      <c r="C387" s="35" t="s">
        <v>2220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951</v>
      </c>
      <c r="C388" s="35" t="s">
        <v>952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953</v>
      </c>
      <c r="C389" s="35" t="s">
        <v>1972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954</v>
      </c>
      <c r="C390" s="35" t="s">
        <v>1973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955</v>
      </c>
      <c r="C391" s="35" t="s">
        <v>956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957</v>
      </c>
      <c r="C392" s="35" t="s">
        <v>958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959</v>
      </c>
      <c r="C393" s="35" t="s">
        <v>1827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960</v>
      </c>
      <c r="C394" s="35" t="s">
        <v>1828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961</v>
      </c>
      <c r="C395" s="35" t="s">
        <v>962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1514</v>
      </c>
      <c r="C396" s="35" t="s">
        <v>1407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1408</v>
      </c>
      <c r="C397" s="35" t="s">
        <v>1974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1409</v>
      </c>
      <c r="C398" s="35" t="s">
        <v>1410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1411</v>
      </c>
      <c r="C399" s="35" t="s">
        <v>1412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1413</v>
      </c>
      <c r="C400" s="35" t="s">
        <v>1414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1415</v>
      </c>
      <c r="C401" s="35" t="s">
        <v>1416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1417</v>
      </c>
      <c r="C402" s="35" t="s">
        <v>1418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1419</v>
      </c>
      <c r="C403" s="35" t="s">
        <v>1420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1421</v>
      </c>
      <c r="C404" s="35" t="s">
        <v>1422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890</v>
      </c>
      <c r="C405" s="35" t="s">
        <v>1975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891</v>
      </c>
      <c r="C406" s="35" t="s">
        <v>1976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892</v>
      </c>
      <c r="C407" s="35" t="s">
        <v>1977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893</v>
      </c>
      <c r="C408" s="35" t="s">
        <v>1978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894</v>
      </c>
      <c r="C409" s="35" t="s">
        <v>1979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895</v>
      </c>
      <c r="C410" s="35" t="s">
        <v>1980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896</v>
      </c>
      <c r="C411" s="35" t="s">
        <v>1981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897</v>
      </c>
      <c r="C412" s="35" t="s">
        <v>1982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898</v>
      </c>
      <c r="C413" s="35" t="s">
        <v>899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900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1326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901</v>
      </c>
      <c r="C417" s="35" t="s">
        <v>1983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902</v>
      </c>
      <c r="C418" s="35" t="s">
        <v>903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904</v>
      </c>
      <c r="C419" s="35" t="s">
        <v>905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906</v>
      </c>
      <c r="C420" s="35" t="s">
        <v>907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908</v>
      </c>
      <c r="C421" s="35" t="s">
        <v>909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910</v>
      </c>
      <c r="C422" s="35" t="s">
        <v>911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963</v>
      </c>
      <c r="C423" s="35" t="s">
        <v>964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541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1515</v>
      </c>
      <c r="C429" s="35" t="s">
        <v>2221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1984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1985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1986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1987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1988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1989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1516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1517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1518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1519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1520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1521</v>
      </c>
      <c r="C441" s="35" t="s">
        <v>533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534</v>
      </c>
      <c r="C442" s="35" t="s">
        <v>1990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535</v>
      </c>
      <c r="C443" s="35" t="s">
        <v>1991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536</v>
      </c>
      <c r="C444" s="35" t="s">
        <v>537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538</v>
      </c>
      <c r="C445" s="35" t="s">
        <v>539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540</v>
      </c>
      <c r="C446" s="35" t="s">
        <v>1992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552</v>
      </c>
      <c r="C447" s="35" t="s">
        <v>1993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553</v>
      </c>
      <c r="C448" s="35" t="s">
        <v>554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555</v>
      </c>
      <c r="C449" s="35" t="s">
        <v>556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557</v>
      </c>
      <c r="C450" s="35" t="s">
        <v>1994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558</v>
      </c>
      <c r="C451" s="35" t="s">
        <v>559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1522</v>
      </c>
      <c r="C452" s="35" t="s">
        <v>1995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561</v>
      </c>
      <c r="C453" s="35" t="s">
        <v>562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563</v>
      </c>
      <c r="C454" s="35" t="s">
        <v>1996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564</v>
      </c>
      <c r="C455" s="35" t="s">
        <v>565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566</v>
      </c>
      <c r="C456" s="35" t="s">
        <v>567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900</v>
      </c>
      <c r="F458" s="36"/>
    </row>
    <row r="459" spans="1:17" x14ac:dyDescent="0.2">
      <c r="B459" s="35" t="s">
        <v>1326</v>
      </c>
      <c r="F459" s="36"/>
    </row>
    <row r="460" spans="1:17" x14ac:dyDescent="0.2">
      <c r="A460" s="35">
        <v>1</v>
      </c>
      <c r="B460" s="35" t="s">
        <v>568</v>
      </c>
      <c r="C460" s="35" t="s">
        <v>569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570</v>
      </c>
      <c r="C461" s="35" t="s">
        <v>571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974</v>
      </c>
      <c r="C462" s="35" t="s">
        <v>975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976</v>
      </c>
      <c r="C463" s="35" t="s">
        <v>977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978</v>
      </c>
      <c r="C464" s="35" t="s">
        <v>979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980</v>
      </c>
      <c r="C465" s="35" t="s">
        <v>981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982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2222</v>
      </c>
      <c r="C467" s="35" t="s">
        <v>2223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2224</v>
      </c>
      <c r="C468" s="35" t="s">
        <v>2225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2226</v>
      </c>
      <c r="C469" s="35" t="s">
        <v>2227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1326</v>
      </c>
      <c r="F502" s="36"/>
    </row>
    <row r="503" spans="1:17" x14ac:dyDescent="0.2">
      <c r="A503" s="35">
        <v>1</v>
      </c>
      <c r="B503" s="35" t="s">
        <v>1997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2228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1998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1999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2000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2001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2002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2003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2004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2005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1523</v>
      </c>
      <c r="F539" s="36"/>
    </row>
    <row r="540" spans="1:17" x14ac:dyDescent="0.2">
      <c r="F540" s="36"/>
    </row>
    <row r="541" spans="1:17" x14ac:dyDescent="0.2">
      <c r="B541" s="35" t="s">
        <v>1524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1525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1526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1527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1528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1529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1530</v>
      </c>
      <c r="F551" s="36"/>
    </row>
    <row r="552" spans="1:17" x14ac:dyDescent="0.2">
      <c r="A552" s="35">
        <v>6</v>
      </c>
      <c r="B552" s="35" t="s">
        <v>1533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1534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983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984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985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986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987</v>
      </c>
      <c r="F559" s="36"/>
    </row>
    <row r="560" spans="1:17" x14ac:dyDescent="0.2">
      <c r="A560" s="35">
        <v>12</v>
      </c>
      <c r="B560" s="35" t="s">
        <v>670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671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672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2009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673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2010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2214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2215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2216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1078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1079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1080</v>
      </c>
      <c r="F573" s="36"/>
    </row>
    <row r="574" spans="1:17" x14ac:dyDescent="0.2">
      <c r="A574" s="35">
        <v>23</v>
      </c>
      <c r="B574" s="35" t="s">
        <v>1081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1082</v>
      </c>
      <c r="F576" s="36"/>
    </row>
    <row r="577" spans="1:23" x14ac:dyDescent="0.2">
      <c r="A577" s="35">
        <v>24</v>
      </c>
      <c r="B577" s="35" t="s">
        <v>1083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1084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2296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1085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1086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1831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1832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1833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1834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1087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1088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1835</v>
      </c>
    </row>
    <row r="589" spans="1:23" x14ac:dyDescent="0.2">
      <c r="A589" s="35">
        <v>35</v>
      </c>
      <c r="B589" s="35" t="s">
        <v>1089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1090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1091</v>
      </c>
      <c r="F595" s="36"/>
    </row>
    <row r="596" spans="1:23" x14ac:dyDescent="0.2">
      <c r="F596" s="36"/>
    </row>
    <row r="597" spans="1:23" x14ac:dyDescent="0.2">
      <c r="B597" s="35" t="s">
        <v>1092</v>
      </c>
      <c r="F597" s="36"/>
    </row>
    <row r="598" spans="1:23" x14ac:dyDescent="0.2">
      <c r="A598" s="35">
        <v>1</v>
      </c>
      <c r="B598" s="35" t="s">
        <v>2011</v>
      </c>
      <c r="C598" s="35" t="s">
        <v>1485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2012</v>
      </c>
      <c r="C599" s="35" t="s">
        <v>1487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2013</v>
      </c>
      <c r="C600" s="35" t="s">
        <v>1485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1093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581</v>
      </c>
    </row>
    <row r="602" spans="1:23" x14ac:dyDescent="0.2">
      <c r="F602" s="36"/>
    </row>
    <row r="603" spans="1:23" x14ac:dyDescent="0.2">
      <c r="B603" s="35" t="s">
        <v>1094</v>
      </c>
      <c r="F603" s="36"/>
    </row>
    <row r="604" spans="1:23" x14ac:dyDescent="0.2">
      <c r="B604" s="35" t="s">
        <v>2014</v>
      </c>
      <c r="F604" s="36"/>
      <c r="W604" s="35" t="s">
        <v>2042</v>
      </c>
    </row>
    <row r="605" spans="1:23" x14ac:dyDescent="0.2">
      <c r="A605" s="35">
        <v>5</v>
      </c>
      <c r="B605" s="35" t="s">
        <v>2015</v>
      </c>
      <c r="C605" s="35" t="s">
        <v>1329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2016</v>
      </c>
      <c r="C606" s="35" t="s">
        <v>1329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2017</v>
      </c>
      <c r="C607" s="35" t="s">
        <v>1329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2018</v>
      </c>
      <c r="C608" s="35" t="s">
        <v>1329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2019</v>
      </c>
      <c r="C609" s="35" t="s">
        <v>1329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2020</v>
      </c>
      <c r="C610" s="35" t="s">
        <v>1329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2021</v>
      </c>
      <c r="C611" s="35" t="s">
        <v>1329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2022</v>
      </c>
      <c r="C612" s="35" t="s">
        <v>1331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2023</v>
      </c>
      <c r="C613" s="35" t="s">
        <v>1337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1417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581</v>
      </c>
      <c r="V614" s="35" t="s">
        <v>581</v>
      </c>
      <c r="W614" s="35" t="s">
        <v>1097</v>
      </c>
    </row>
    <row r="615" spans="1:23" x14ac:dyDescent="0.2">
      <c r="F615" s="36"/>
    </row>
    <row r="616" spans="1:23" x14ac:dyDescent="0.2">
      <c r="B616" s="35" t="s">
        <v>2024</v>
      </c>
      <c r="F616" s="36"/>
    </row>
    <row r="617" spans="1:23" x14ac:dyDescent="0.2">
      <c r="A617" s="35">
        <v>15</v>
      </c>
      <c r="B617" s="35" t="s">
        <v>2025</v>
      </c>
      <c r="C617" s="35" t="s">
        <v>1329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2026</v>
      </c>
      <c r="C618" s="35" t="s">
        <v>1329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2027</v>
      </c>
      <c r="C619" s="35" t="s">
        <v>1329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2028</v>
      </c>
      <c r="C620" s="35" t="s">
        <v>1329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2029</v>
      </c>
      <c r="C621" s="35" t="s">
        <v>1329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2030</v>
      </c>
      <c r="C622" s="35" t="s">
        <v>1329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2031</v>
      </c>
      <c r="C623" s="35" t="s">
        <v>1329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2032</v>
      </c>
      <c r="C624" s="35" t="s">
        <v>1329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2022</v>
      </c>
      <c r="C625" s="35" t="s">
        <v>1331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2023</v>
      </c>
      <c r="C626" s="35" t="s">
        <v>1337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1098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581</v>
      </c>
      <c r="V627" s="35" t="s">
        <v>581</v>
      </c>
      <c r="W627" s="35" t="s">
        <v>1099</v>
      </c>
    </row>
    <row r="628" spans="1:23" x14ac:dyDescent="0.2">
      <c r="F628" s="36"/>
    </row>
    <row r="629" spans="1:23" x14ac:dyDescent="0.2">
      <c r="B629" s="35" t="s">
        <v>2033</v>
      </c>
      <c r="F629" s="36"/>
    </row>
    <row r="630" spans="1:23" x14ac:dyDescent="0.2">
      <c r="A630" s="35">
        <v>26</v>
      </c>
      <c r="B630" s="35" t="s">
        <v>2034</v>
      </c>
      <c r="C630" s="35" t="s">
        <v>1329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2035</v>
      </c>
      <c r="C631" s="35" t="s">
        <v>1329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2036</v>
      </c>
      <c r="C632" s="35" t="s">
        <v>1329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2037</v>
      </c>
      <c r="C633" s="35" t="s">
        <v>1329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2038</v>
      </c>
      <c r="C634" s="35" t="s">
        <v>1329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2039</v>
      </c>
      <c r="C635" s="35" t="s">
        <v>1329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2040</v>
      </c>
      <c r="C636" s="35" t="s">
        <v>1329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2041</v>
      </c>
      <c r="C637" s="35" t="s">
        <v>1329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2022</v>
      </c>
      <c r="C638" s="35" t="s">
        <v>1331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2023</v>
      </c>
      <c r="C639" s="35" t="s">
        <v>1337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1100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581</v>
      </c>
      <c r="V640" s="35" t="s">
        <v>581</v>
      </c>
      <c r="W640" s="35" t="s">
        <v>1101</v>
      </c>
    </row>
    <row r="641" spans="1:23" x14ac:dyDescent="0.2">
      <c r="F641" s="36"/>
    </row>
    <row r="642" spans="1:23" x14ac:dyDescent="0.2">
      <c r="A642" s="35">
        <v>37</v>
      </c>
      <c r="B642" s="35" t="s">
        <v>947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1108</v>
      </c>
      <c r="F644" s="36"/>
    </row>
    <row r="645" spans="1:23" x14ac:dyDescent="0.2">
      <c r="F645" s="36"/>
    </row>
    <row r="646" spans="1:23" x14ac:dyDescent="0.2">
      <c r="B646" s="35" t="s">
        <v>1102</v>
      </c>
      <c r="F646" s="36"/>
    </row>
    <row r="647" spans="1:23" x14ac:dyDescent="0.2">
      <c r="B647" s="35" t="s">
        <v>1644</v>
      </c>
      <c r="F647" s="36"/>
      <c r="R647" s="35" t="s">
        <v>1103</v>
      </c>
      <c r="W647" s="35" t="s">
        <v>2042</v>
      </c>
    </row>
    <row r="648" spans="1:23" x14ac:dyDescent="0.2">
      <c r="A648" s="35">
        <v>1</v>
      </c>
      <c r="B648" s="35" t="s">
        <v>2043</v>
      </c>
      <c r="C648" s="35" t="s">
        <v>1904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2044</v>
      </c>
      <c r="C649" s="35" t="s">
        <v>1904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2045</v>
      </c>
      <c r="C650" s="35" t="s">
        <v>1904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2046</v>
      </c>
      <c r="C651" s="35" t="s">
        <v>1904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2047</v>
      </c>
      <c r="C652" s="35" t="s">
        <v>1904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2048</v>
      </c>
      <c r="C653" s="35" t="s">
        <v>1904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2049</v>
      </c>
      <c r="C654" s="35" t="s">
        <v>1904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2050</v>
      </c>
      <c r="C655" s="35" t="s">
        <v>1904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2051</v>
      </c>
      <c r="C656" s="35" t="s">
        <v>1904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2022</v>
      </c>
      <c r="C657" s="35" t="s">
        <v>1331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2023</v>
      </c>
      <c r="C658" s="35" t="s">
        <v>1337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2052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581</v>
      </c>
    </row>
    <row r="660" spans="1:24" x14ac:dyDescent="0.2">
      <c r="F660" s="36"/>
    </row>
    <row r="661" spans="1:24" x14ac:dyDescent="0.2">
      <c r="B661" s="35" t="s">
        <v>2053</v>
      </c>
      <c r="F661" s="36"/>
      <c r="W661" s="35" t="s">
        <v>1106</v>
      </c>
    </row>
    <row r="662" spans="1:24" x14ac:dyDescent="0.2">
      <c r="A662" s="35">
        <v>13</v>
      </c>
      <c r="B662" s="35" t="s">
        <v>2043</v>
      </c>
      <c r="C662" s="35" t="s">
        <v>1344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2044</v>
      </c>
      <c r="C663" s="35" t="s">
        <v>1344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2045</v>
      </c>
      <c r="C664" s="35" t="s">
        <v>1344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2046</v>
      </c>
      <c r="C665" s="35" t="s">
        <v>1344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2047</v>
      </c>
      <c r="C666" s="35" t="s">
        <v>1344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2048</v>
      </c>
      <c r="C667" s="35" t="s">
        <v>1344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2022</v>
      </c>
      <c r="C668" s="35" t="s">
        <v>1344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2023</v>
      </c>
      <c r="C669" s="35" t="s">
        <v>1344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2054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581</v>
      </c>
    </row>
    <row r="671" spans="1:24" x14ac:dyDescent="0.2">
      <c r="F671" s="36"/>
    </row>
    <row r="672" spans="1:24" x14ac:dyDescent="0.2">
      <c r="B672" s="35" t="s">
        <v>2055</v>
      </c>
      <c r="F672" s="36"/>
    </row>
    <row r="673" spans="1:21" x14ac:dyDescent="0.2">
      <c r="A673" s="35">
        <v>22</v>
      </c>
      <c r="B673" s="35" t="s">
        <v>2043</v>
      </c>
      <c r="C673" s="35" t="s">
        <v>2218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2046</v>
      </c>
      <c r="C674" s="35" t="s">
        <v>2218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2047</v>
      </c>
      <c r="C675" s="35" t="s">
        <v>2218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2048</v>
      </c>
      <c r="C676" s="35" t="s">
        <v>2218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2022</v>
      </c>
      <c r="C677" s="35" t="s">
        <v>1331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2023</v>
      </c>
      <c r="C678" s="35" t="s">
        <v>1337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2056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581</v>
      </c>
    </row>
    <row r="680" spans="1:21" x14ac:dyDescent="0.2">
      <c r="F680" s="36"/>
    </row>
    <row r="681" spans="1:21" x14ac:dyDescent="0.2">
      <c r="A681" s="35">
        <v>29</v>
      </c>
      <c r="B681" s="35" t="s">
        <v>949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581</v>
      </c>
    </row>
    <row r="682" spans="1:21" x14ac:dyDescent="0.2">
      <c r="F682" s="36"/>
    </row>
    <row r="683" spans="1:21" x14ac:dyDescent="0.2">
      <c r="B683" s="35" t="s">
        <v>1108</v>
      </c>
      <c r="F683" s="36"/>
    </row>
    <row r="684" spans="1:21" x14ac:dyDescent="0.2">
      <c r="F684" s="36"/>
    </row>
    <row r="685" spans="1:21" x14ac:dyDescent="0.2">
      <c r="B685" s="35" t="s">
        <v>1109</v>
      </c>
      <c r="F685" s="36"/>
    </row>
    <row r="686" spans="1:21" x14ac:dyDescent="0.2">
      <c r="B686" s="35" t="s">
        <v>1110</v>
      </c>
      <c r="F686" s="36"/>
    </row>
    <row r="687" spans="1:21" x14ac:dyDescent="0.2">
      <c r="A687" s="35">
        <v>1</v>
      </c>
      <c r="B687" s="35" t="s">
        <v>2057</v>
      </c>
      <c r="C687" s="35" t="s">
        <v>1906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2058</v>
      </c>
      <c r="C688" s="35" t="s">
        <v>1908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2059</v>
      </c>
      <c r="C689" s="35" t="s">
        <v>1910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2060</v>
      </c>
      <c r="C690" s="35" t="s">
        <v>1912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2061</v>
      </c>
      <c r="C691" s="35" t="s">
        <v>1914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2062</v>
      </c>
      <c r="C692" s="35" t="s">
        <v>1916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2063</v>
      </c>
      <c r="C693" s="35" t="s">
        <v>1918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2064</v>
      </c>
      <c r="F694" s="36"/>
    </row>
    <row r="695" spans="1:23" x14ac:dyDescent="0.2">
      <c r="A695" s="35">
        <v>8</v>
      </c>
      <c r="B695" s="35" t="s">
        <v>1</v>
      </c>
      <c r="C695" s="35" t="s">
        <v>1335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2333</v>
      </c>
    </row>
    <row r="696" spans="1:23" x14ac:dyDescent="0.2">
      <c r="A696" s="35">
        <v>9</v>
      </c>
      <c r="B696" s="35" t="s">
        <v>2</v>
      </c>
      <c r="C696" s="35" t="s">
        <v>1426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2065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581</v>
      </c>
    </row>
    <row r="698" spans="1:23" x14ac:dyDescent="0.2">
      <c r="A698" s="35">
        <v>11</v>
      </c>
      <c r="B698" s="35" t="s">
        <v>2066</v>
      </c>
      <c r="C698" s="35" t="s">
        <v>1446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2067</v>
      </c>
      <c r="C699" s="35" t="s">
        <v>1448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2068</v>
      </c>
      <c r="C700" s="35" t="s">
        <v>1450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2069</v>
      </c>
      <c r="C701" s="35" t="s">
        <v>1452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1868</v>
      </c>
      <c r="C702" s="35" t="s">
        <v>1869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581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2057</v>
      </c>
      <c r="C706" s="35" t="s">
        <v>1922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2058</v>
      </c>
      <c r="C707" s="35" t="s">
        <v>1924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2059</v>
      </c>
      <c r="C708" s="35" t="s">
        <v>1926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2060</v>
      </c>
      <c r="C709" s="35" t="s">
        <v>1928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2061</v>
      </c>
      <c r="C710" s="35" t="s">
        <v>1930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2063</v>
      </c>
      <c r="C711" s="35" t="s">
        <v>1932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2064</v>
      </c>
      <c r="F712" s="36"/>
    </row>
    <row r="713" spans="1:23" x14ac:dyDescent="0.2">
      <c r="A713" s="35">
        <v>23</v>
      </c>
      <c r="B713" s="35" t="s">
        <v>1</v>
      </c>
      <c r="C713" s="35" t="s">
        <v>1333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2334</v>
      </c>
    </row>
    <row r="714" spans="1:23" x14ac:dyDescent="0.2">
      <c r="A714" s="35">
        <v>24</v>
      </c>
      <c r="B714" s="35" t="s">
        <v>2</v>
      </c>
      <c r="C714" s="35" t="s">
        <v>1427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2065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581</v>
      </c>
    </row>
    <row r="716" spans="1:23" x14ac:dyDescent="0.2">
      <c r="A716" s="35">
        <v>26</v>
      </c>
      <c r="B716" s="35" t="s">
        <v>2066</v>
      </c>
      <c r="C716" s="35" t="s">
        <v>1464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2067</v>
      </c>
      <c r="C717" s="35" t="s">
        <v>1466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2068</v>
      </c>
      <c r="C718" s="35" t="s">
        <v>1468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2069</v>
      </c>
      <c r="C719" s="35" t="s">
        <v>1470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581</v>
      </c>
    </row>
    <row r="721" spans="1:21" x14ac:dyDescent="0.2">
      <c r="F721" s="36"/>
    </row>
    <row r="722" spans="1:21" x14ac:dyDescent="0.2">
      <c r="B722" s="35" t="s">
        <v>2070</v>
      </c>
      <c r="F722" s="36"/>
    </row>
    <row r="723" spans="1:21" x14ac:dyDescent="0.2">
      <c r="A723" s="35">
        <v>31</v>
      </c>
      <c r="B723" s="35" t="s">
        <v>2057</v>
      </c>
      <c r="C723" s="35" t="s">
        <v>1935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581</v>
      </c>
    </row>
    <row r="724" spans="1:21" x14ac:dyDescent="0.2">
      <c r="A724" s="35">
        <v>32</v>
      </c>
      <c r="B724" s="35" t="s">
        <v>2058</v>
      </c>
      <c r="C724" s="35" t="s">
        <v>1937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581</v>
      </c>
    </row>
    <row r="725" spans="1:21" x14ac:dyDescent="0.2">
      <c r="A725" s="35">
        <v>33</v>
      </c>
      <c r="B725" s="35" t="s">
        <v>2059</v>
      </c>
      <c r="C725" s="35" t="s">
        <v>1939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581</v>
      </c>
    </row>
    <row r="726" spans="1:21" x14ac:dyDescent="0.2">
      <c r="A726" s="35">
        <v>34</v>
      </c>
      <c r="B726" s="35" t="s">
        <v>2060</v>
      </c>
      <c r="C726" s="35" t="s">
        <v>1941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581</v>
      </c>
    </row>
    <row r="727" spans="1:21" x14ac:dyDescent="0.2">
      <c r="A727" s="35">
        <v>35</v>
      </c>
      <c r="B727" s="35" t="s">
        <v>2061</v>
      </c>
      <c r="C727" s="35" t="s">
        <v>1943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581</v>
      </c>
    </row>
    <row r="728" spans="1:21" x14ac:dyDescent="0.2">
      <c r="A728" s="35">
        <v>36</v>
      </c>
      <c r="B728" s="35" t="s">
        <v>2064</v>
      </c>
      <c r="C728" s="35" t="s">
        <v>1945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581</v>
      </c>
    </row>
    <row r="729" spans="1:21" x14ac:dyDescent="0.2">
      <c r="A729" s="35">
        <v>37</v>
      </c>
      <c r="B729" s="35" t="s">
        <v>2066</v>
      </c>
      <c r="C729" s="35" t="s">
        <v>1947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581</v>
      </c>
    </row>
    <row r="730" spans="1:21" x14ac:dyDescent="0.2">
      <c r="A730" s="35">
        <v>38</v>
      </c>
      <c r="B730" s="35" t="s">
        <v>2067</v>
      </c>
      <c r="C730" s="35" t="s">
        <v>1949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581</v>
      </c>
    </row>
    <row r="731" spans="1:21" x14ac:dyDescent="0.2">
      <c r="A731" s="35">
        <v>39</v>
      </c>
      <c r="B731" s="35" t="s">
        <v>2068</v>
      </c>
      <c r="C731" s="35" t="s">
        <v>1951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581</v>
      </c>
    </row>
    <row r="732" spans="1:21" x14ac:dyDescent="0.2">
      <c r="A732" s="35">
        <v>40</v>
      </c>
      <c r="B732" s="35" t="s">
        <v>2071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581</v>
      </c>
    </row>
    <row r="733" spans="1:21" x14ac:dyDescent="0.2">
      <c r="F733" s="36"/>
    </row>
    <row r="734" spans="1:21" x14ac:dyDescent="0.2">
      <c r="A734" s="35">
        <v>41</v>
      </c>
      <c r="B734" s="35" t="s">
        <v>1504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1108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2072</v>
      </c>
      <c r="C739" s="35" t="s">
        <v>1489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581</v>
      </c>
    </row>
    <row r="740" spans="1:21" x14ac:dyDescent="0.2">
      <c r="A740" s="35">
        <v>2</v>
      </c>
      <c r="B740" s="35" t="s">
        <v>2073</v>
      </c>
      <c r="C740" s="35" t="s">
        <v>1489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581</v>
      </c>
    </row>
    <row r="741" spans="1:21" x14ac:dyDescent="0.2">
      <c r="A741" s="35">
        <v>3</v>
      </c>
      <c r="B741" s="35" t="s">
        <v>2074</v>
      </c>
      <c r="C741" s="35" t="s">
        <v>1489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581</v>
      </c>
    </row>
    <row r="742" spans="1:21" x14ac:dyDescent="0.2">
      <c r="A742" s="35">
        <v>4</v>
      </c>
      <c r="B742" s="35" t="s">
        <v>2075</v>
      </c>
      <c r="C742" s="35" t="s">
        <v>1489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581</v>
      </c>
    </row>
    <row r="743" spans="1:21" x14ac:dyDescent="0.2">
      <c r="A743" s="35">
        <v>5</v>
      </c>
      <c r="B743" s="35" t="s">
        <v>2076</v>
      </c>
      <c r="C743" s="35" t="s">
        <v>1489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581</v>
      </c>
    </row>
    <row r="744" spans="1:21" x14ac:dyDescent="0.2">
      <c r="A744" s="35">
        <v>6</v>
      </c>
      <c r="B744" s="35" t="s">
        <v>2077</v>
      </c>
      <c r="C744" s="35" t="s">
        <v>1489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581</v>
      </c>
    </row>
    <row r="745" spans="1:21" x14ac:dyDescent="0.2">
      <c r="A745" s="35">
        <v>7</v>
      </c>
      <c r="B745" s="35" t="s">
        <v>2078</v>
      </c>
      <c r="C745" s="35" t="s">
        <v>1489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581</v>
      </c>
    </row>
    <row r="746" spans="1:21" x14ac:dyDescent="0.2">
      <c r="A746" s="35">
        <v>8</v>
      </c>
      <c r="B746" s="35" t="s">
        <v>2079</v>
      </c>
      <c r="C746" s="35" t="s">
        <v>1489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581</v>
      </c>
    </row>
    <row r="747" spans="1:21" x14ac:dyDescent="0.2">
      <c r="B747" s="35" t="s">
        <v>2080</v>
      </c>
      <c r="F747" s="36"/>
    </row>
    <row r="748" spans="1:21" x14ac:dyDescent="0.2">
      <c r="A748" s="35">
        <v>9</v>
      </c>
      <c r="B748" s="35" t="s">
        <v>2229</v>
      </c>
      <c r="C748" s="35" t="s">
        <v>977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581</v>
      </c>
    </row>
    <row r="749" spans="1:21" x14ac:dyDescent="0.2">
      <c r="A749" s="35">
        <v>10</v>
      </c>
      <c r="B749" s="35" t="s">
        <v>2</v>
      </c>
      <c r="C749" s="35" t="s">
        <v>1489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581</v>
      </c>
    </row>
    <row r="750" spans="1:21" x14ac:dyDescent="0.2">
      <c r="A750" s="35">
        <v>11</v>
      </c>
      <c r="B750" s="35" t="s">
        <v>2230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581</v>
      </c>
    </row>
    <row r="751" spans="1:21" x14ac:dyDescent="0.2">
      <c r="A751" s="35">
        <v>12</v>
      </c>
      <c r="B751" s="35" t="s">
        <v>2081</v>
      </c>
      <c r="C751" s="35" t="s">
        <v>1489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581</v>
      </c>
    </row>
    <row r="752" spans="1:21" x14ac:dyDescent="0.2">
      <c r="A752" s="35">
        <v>13</v>
      </c>
      <c r="B752" s="35" t="s">
        <v>2082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581</v>
      </c>
    </row>
    <row r="753" spans="1:25" x14ac:dyDescent="0.2">
      <c r="F753" s="36"/>
    </row>
    <row r="754" spans="1:25" x14ac:dyDescent="0.2">
      <c r="B754" s="35" t="s">
        <v>2083</v>
      </c>
      <c r="F754" s="36"/>
    </row>
    <row r="755" spans="1:25" x14ac:dyDescent="0.2">
      <c r="A755" s="35">
        <v>14</v>
      </c>
      <c r="B755" s="35" t="s">
        <v>2084</v>
      </c>
      <c r="C755" s="35" t="s">
        <v>1329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2085</v>
      </c>
      <c r="C756" s="35" t="s">
        <v>1904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2086</v>
      </c>
      <c r="C757" s="35" t="s">
        <v>2290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2335</v>
      </c>
      <c r="Y757" s="35">
        <v>324087.84000000003</v>
      </c>
    </row>
    <row r="758" spans="1:25" x14ac:dyDescent="0.2">
      <c r="A758" s="35">
        <v>17</v>
      </c>
      <c r="B758" s="35" t="s">
        <v>1160</v>
      </c>
      <c r="C758" s="35" t="s">
        <v>1489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2087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581</v>
      </c>
      <c r="V759" s="35" t="s">
        <v>581</v>
      </c>
      <c r="W759" s="35" t="s">
        <v>2088</v>
      </c>
    </row>
    <row r="760" spans="1:25" x14ac:dyDescent="0.2">
      <c r="F760" s="36"/>
    </row>
    <row r="761" spans="1:25" x14ac:dyDescent="0.2">
      <c r="A761" s="35">
        <v>19</v>
      </c>
      <c r="B761" s="35" t="s">
        <v>1409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581</v>
      </c>
      <c r="V761" s="35">
        <v>0</v>
      </c>
    </row>
    <row r="762" spans="1:25" x14ac:dyDescent="0.2">
      <c r="F762" s="36"/>
    </row>
    <row r="763" spans="1:25" x14ac:dyDescent="0.2">
      <c r="B763" s="35" t="s">
        <v>1108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1491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1331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1337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581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1495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1331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1337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581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1497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1331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1337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581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1104</v>
      </c>
      <c r="C789" s="35" t="s">
        <v>2227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1107</v>
      </c>
      <c r="C790" s="35" t="s">
        <v>1407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1095</v>
      </c>
      <c r="C791" s="35" t="s">
        <v>1331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1096</v>
      </c>
      <c r="C792" s="35" t="s">
        <v>1337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581</v>
      </c>
    </row>
    <row r="794" spans="1:22" x14ac:dyDescent="0.2">
      <c r="F794" s="36"/>
    </row>
    <row r="795" spans="1:22" x14ac:dyDescent="0.2">
      <c r="A795" s="35">
        <v>19</v>
      </c>
      <c r="B795" s="35" t="s">
        <v>2089</v>
      </c>
      <c r="C795" s="35" t="s">
        <v>1429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2090</v>
      </c>
      <c r="C796" s="35" t="s">
        <v>1507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581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1509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1970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2091</v>
      </c>
    </row>
    <row r="802" spans="1:22" x14ac:dyDescent="0.2">
      <c r="A802" s="35">
        <v>24</v>
      </c>
      <c r="B802" s="35" t="s">
        <v>24</v>
      </c>
      <c r="C802" s="35" t="s">
        <v>1971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581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1150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1151</v>
      </c>
      <c r="C814" s="35" t="s">
        <v>508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1152</v>
      </c>
      <c r="C815" s="35" t="s">
        <v>1331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1153</v>
      </c>
      <c r="C816" s="35" t="s">
        <v>1337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1154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1151</v>
      </c>
      <c r="C820" s="35" t="s">
        <v>2227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1155</v>
      </c>
      <c r="C821" s="35" t="s">
        <v>2227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1156</v>
      </c>
      <c r="C822" s="35" t="s">
        <v>1501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1152</v>
      </c>
      <c r="C823" s="35" t="s">
        <v>1331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1153</v>
      </c>
      <c r="C824" s="35" t="s">
        <v>1337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1157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1158</v>
      </c>
      <c r="C827" s="35" t="s">
        <v>1431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2092</v>
      </c>
      <c r="C828" s="35" t="s">
        <v>1412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2231</v>
      </c>
    </row>
    <row r="829" spans="1:25" x14ac:dyDescent="0.2">
      <c r="A829" s="35">
        <v>13</v>
      </c>
      <c r="B829" s="35" t="s">
        <v>1159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1160</v>
      </c>
      <c r="C831" s="35" t="s">
        <v>1509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1161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581</v>
      </c>
    </row>
    <row r="834" spans="1:26" x14ac:dyDescent="0.2">
      <c r="F834" s="36"/>
    </row>
    <row r="835" spans="1:26" x14ac:dyDescent="0.2">
      <c r="B835" s="35" t="s">
        <v>1162</v>
      </c>
      <c r="F835" s="36"/>
    </row>
    <row r="836" spans="1:26" x14ac:dyDescent="0.2">
      <c r="B836" s="35" t="s">
        <v>588</v>
      </c>
      <c r="F836" s="36"/>
    </row>
    <row r="837" spans="1:26" x14ac:dyDescent="0.2">
      <c r="A837" s="35">
        <v>16</v>
      </c>
      <c r="B837" s="35" t="s">
        <v>589</v>
      </c>
      <c r="C837" s="35" t="s">
        <v>1440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590</v>
      </c>
      <c r="X837" s="35">
        <v>81473986.256681398</v>
      </c>
      <c r="Y837" s="35" t="s">
        <v>2336</v>
      </c>
      <c r="Z837" s="35" t="s">
        <v>1836</v>
      </c>
    </row>
    <row r="838" spans="1:26" x14ac:dyDescent="0.2">
      <c r="B838" s="35" t="s">
        <v>591</v>
      </c>
      <c r="F838" s="36"/>
    </row>
    <row r="839" spans="1:26" x14ac:dyDescent="0.2">
      <c r="A839" s="35">
        <v>17</v>
      </c>
      <c r="B839" s="35" t="s">
        <v>592</v>
      </c>
      <c r="C839" s="35" t="s">
        <v>948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590</v>
      </c>
      <c r="X839" s="35">
        <v>29752807.055601653</v>
      </c>
      <c r="Y839" s="35" t="s">
        <v>2336</v>
      </c>
      <c r="Z839" s="35" t="s">
        <v>1836</v>
      </c>
    </row>
    <row r="840" spans="1:26" x14ac:dyDescent="0.2">
      <c r="A840" s="35">
        <v>18</v>
      </c>
      <c r="B840" s="35" t="s">
        <v>593</v>
      </c>
      <c r="C840" s="35" t="s">
        <v>2220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590</v>
      </c>
      <c r="X840" s="35">
        <v>7507782.9198492114</v>
      </c>
      <c r="Y840" s="35" t="s">
        <v>2336</v>
      </c>
      <c r="Z840" s="35" t="s">
        <v>1836</v>
      </c>
    </row>
    <row r="841" spans="1:26" x14ac:dyDescent="0.2">
      <c r="A841" s="35">
        <v>19</v>
      </c>
      <c r="B841" s="35" t="s">
        <v>0</v>
      </c>
      <c r="C841" s="35" t="s">
        <v>1505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590</v>
      </c>
      <c r="X841" s="35">
        <v>5755410.2237663474</v>
      </c>
      <c r="Y841" s="35" t="s">
        <v>2336</v>
      </c>
      <c r="Z841" s="35" t="s">
        <v>1836</v>
      </c>
    </row>
    <row r="842" spans="1:26" x14ac:dyDescent="0.2">
      <c r="A842" s="35">
        <v>20</v>
      </c>
      <c r="B842" s="35" t="s">
        <v>594</v>
      </c>
      <c r="C842" s="35" t="s">
        <v>1509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590</v>
      </c>
      <c r="X842" s="35">
        <v>0</v>
      </c>
      <c r="Y842" s="35" t="s">
        <v>2336</v>
      </c>
      <c r="Z842" s="35" t="s">
        <v>1836</v>
      </c>
    </row>
    <row r="843" spans="1:26" x14ac:dyDescent="0.2">
      <c r="A843" s="35">
        <v>21</v>
      </c>
      <c r="B843" s="35" t="s">
        <v>595</v>
      </c>
      <c r="C843" s="35" t="s">
        <v>952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590</v>
      </c>
      <c r="X843" s="35">
        <v>10515070.839999901</v>
      </c>
      <c r="Y843" s="35" t="s">
        <v>2336</v>
      </c>
      <c r="Z843" s="35" t="s">
        <v>1836</v>
      </c>
    </row>
    <row r="844" spans="1:26" x14ac:dyDescent="0.2">
      <c r="A844" s="35">
        <v>22</v>
      </c>
      <c r="B844" s="35" t="s">
        <v>596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597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598</v>
      </c>
      <c r="F847" s="36"/>
    </row>
    <row r="848" spans="1:26" x14ac:dyDescent="0.2">
      <c r="A848" s="35">
        <v>24</v>
      </c>
      <c r="B848" s="35" t="s">
        <v>2093</v>
      </c>
      <c r="C848" s="35" t="s">
        <v>1972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590</v>
      </c>
      <c r="X848" s="35">
        <v>15802340.717886709</v>
      </c>
      <c r="Y848" s="35" t="s">
        <v>2336</v>
      </c>
      <c r="Z848" s="35" t="s">
        <v>1836</v>
      </c>
    </row>
    <row r="849" spans="1:26" x14ac:dyDescent="0.2">
      <c r="A849" s="35">
        <v>25</v>
      </c>
      <c r="B849" s="35" t="s">
        <v>599</v>
      </c>
      <c r="C849" s="35" t="s">
        <v>1973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2297</v>
      </c>
      <c r="X849" s="35">
        <v>2129646.4599999897</v>
      </c>
      <c r="Y849" s="35" t="s">
        <v>2336</v>
      </c>
      <c r="Z849" s="35" t="s">
        <v>1836</v>
      </c>
    </row>
    <row r="850" spans="1:26" x14ac:dyDescent="0.2">
      <c r="A850" s="35">
        <v>26</v>
      </c>
      <c r="B850" s="35" t="s">
        <v>600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2337</v>
      </c>
    </row>
    <row r="851" spans="1:26" x14ac:dyDescent="0.2">
      <c r="F851" s="36"/>
    </row>
    <row r="852" spans="1:26" x14ac:dyDescent="0.2">
      <c r="A852" s="35">
        <v>27</v>
      </c>
      <c r="B852" s="35" t="s">
        <v>601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1837</v>
      </c>
    </row>
    <row r="853" spans="1:26" x14ac:dyDescent="0.2">
      <c r="F853" s="36"/>
    </row>
    <row r="854" spans="1:26" x14ac:dyDescent="0.2">
      <c r="A854" s="35">
        <v>28</v>
      </c>
      <c r="B854" s="35" t="s">
        <v>602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603</v>
      </c>
      <c r="C856" s="35" t="s">
        <v>1329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590</v>
      </c>
      <c r="X856" s="35">
        <v>136559.78</v>
      </c>
      <c r="Y856" s="35" t="s">
        <v>2336</v>
      </c>
      <c r="Z856" s="35" t="s">
        <v>1836</v>
      </c>
    </row>
    <row r="857" spans="1:26" x14ac:dyDescent="0.2">
      <c r="F857" s="36"/>
    </row>
    <row r="858" spans="1:26" x14ac:dyDescent="0.2">
      <c r="A858" s="35">
        <v>30</v>
      </c>
      <c r="B858" s="35" t="s">
        <v>604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605</v>
      </c>
      <c r="F861" s="36"/>
    </row>
    <row r="862" spans="1:26" x14ac:dyDescent="0.2">
      <c r="F862" s="36"/>
    </row>
    <row r="863" spans="1:26" x14ac:dyDescent="0.2">
      <c r="B863" s="35" t="s">
        <v>606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1151</v>
      </c>
      <c r="C866" s="35" t="s">
        <v>508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607</v>
      </c>
    </row>
    <row r="867" spans="1:22" x14ac:dyDescent="0.2">
      <c r="A867" s="35">
        <v>2</v>
      </c>
      <c r="B867" s="35" t="s">
        <v>1152</v>
      </c>
      <c r="C867" s="35" t="s">
        <v>1331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607</v>
      </c>
    </row>
    <row r="868" spans="1:22" x14ac:dyDescent="0.2">
      <c r="A868" s="35">
        <v>3</v>
      </c>
      <c r="B868" s="35" t="s">
        <v>1153</v>
      </c>
      <c r="C868" s="35" t="s">
        <v>1337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607</v>
      </c>
    </row>
    <row r="869" spans="1:22" x14ac:dyDescent="0.2">
      <c r="A869" s="35">
        <v>4</v>
      </c>
      <c r="B869" s="35" t="s">
        <v>1154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1104</v>
      </c>
      <c r="C872" s="35" t="s">
        <v>2227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607</v>
      </c>
    </row>
    <row r="873" spans="1:22" x14ac:dyDescent="0.2">
      <c r="A873" s="35">
        <v>6</v>
      </c>
      <c r="B873" s="35" t="s">
        <v>1105</v>
      </c>
      <c r="C873" s="35" t="s">
        <v>2218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607</v>
      </c>
    </row>
    <row r="874" spans="1:22" x14ac:dyDescent="0.2">
      <c r="A874" s="35">
        <v>7</v>
      </c>
      <c r="B874" s="35" t="s">
        <v>608</v>
      </c>
      <c r="C874" s="35" t="s">
        <v>1501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607</v>
      </c>
    </row>
    <row r="875" spans="1:22" x14ac:dyDescent="0.2">
      <c r="A875" s="35">
        <v>8</v>
      </c>
      <c r="B875" s="35" t="s">
        <v>1095</v>
      </c>
      <c r="C875" s="35" t="s">
        <v>1331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607</v>
      </c>
    </row>
    <row r="876" spans="1:22" x14ac:dyDescent="0.2">
      <c r="A876" s="35">
        <v>9</v>
      </c>
      <c r="B876" s="35" t="s">
        <v>1096</v>
      </c>
      <c r="C876" s="35" t="s">
        <v>1337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607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609</v>
      </c>
      <c r="C879" s="35" t="s">
        <v>1432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607</v>
      </c>
    </row>
    <row r="880" spans="1:22" x14ac:dyDescent="0.2">
      <c r="A880" s="35">
        <v>12</v>
      </c>
      <c r="B880" s="35" t="s">
        <v>610</v>
      </c>
      <c r="C880" s="35" t="s">
        <v>975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607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1160</v>
      </c>
      <c r="C883" s="35" t="s">
        <v>1509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607</v>
      </c>
    </row>
    <row r="884" spans="1:22" x14ac:dyDescent="0.2">
      <c r="F884" s="36"/>
    </row>
    <row r="885" spans="1:22" x14ac:dyDescent="0.2">
      <c r="A885" s="35">
        <v>15</v>
      </c>
      <c r="B885" s="35" t="s">
        <v>611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612</v>
      </c>
      <c r="F887" s="36"/>
    </row>
    <row r="888" spans="1:22" x14ac:dyDescent="0.2">
      <c r="A888" s="35">
        <v>16</v>
      </c>
      <c r="B888" s="35" t="s">
        <v>613</v>
      </c>
      <c r="C888" s="35" t="s">
        <v>948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607</v>
      </c>
    </row>
    <row r="889" spans="1:22" x14ac:dyDescent="0.2">
      <c r="A889" s="35">
        <v>17</v>
      </c>
      <c r="B889" s="35" t="s">
        <v>614</v>
      </c>
      <c r="C889" s="35" t="s">
        <v>2220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607</v>
      </c>
    </row>
    <row r="890" spans="1:22" x14ac:dyDescent="0.2">
      <c r="A890" s="35">
        <v>18</v>
      </c>
      <c r="B890" s="35" t="s">
        <v>2094</v>
      </c>
      <c r="C890" s="35" t="s">
        <v>1407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607</v>
      </c>
    </row>
    <row r="891" spans="1:22" x14ac:dyDescent="0.2">
      <c r="A891" s="35">
        <v>18</v>
      </c>
      <c r="B891" s="35" t="s">
        <v>616</v>
      </c>
      <c r="C891" s="35" t="s">
        <v>1433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607</v>
      </c>
    </row>
    <row r="892" spans="1:22" x14ac:dyDescent="0.2">
      <c r="A892" s="35">
        <v>20</v>
      </c>
      <c r="B892" s="35" t="s">
        <v>617</v>
      </c>
      <c r="C892" s="35" t="s">
        <v>975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607</v>
      </c>
    </row>
    <row r="893" spans="1:22" x14ac:dyDescent="0.2">
      <c r="A893" s="35">
        <v>21</v>
      </c>
      <c r="B893" s="35" t="s">
        <v>618</v>
      </c>
      <c r="C893" s="35" t="s">
        <v>1509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607</v>
      </c>
    </row>
    <row r="894" spans="1:22" x14ac:dyDescent="0.2">
      <c r="A894" s="35">
        <v>22</v>
      </c>
      <c r="B894" s="35" t="s">
        <v>619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1453</v>
      </c>
      <c r="C896" s="35" t="s">
        <v>1454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2338</v>
      </c>
    </row>
    <row r="897" spans="1:22" x14ac:dyDescent="0.2">
      <c r="A897" s="35">
        <v>24</v>
      </c>
      <c r="B897" s="35" t="s">
        <v>2095</v>
      </c>
      <c r="C897" s="35" t="s">
        <v>1456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2339</v>
      </c>
    </row>
    <row r="898" spans="1:22" x14ac:dyDescent="0.2">
      <c r="A898" s="35">
        <v>25</v>
      </c>
      <c r="B898" s="35" t="s">
        <v>620</v>
      </c>
      <c r="C898" s="35" t="s">
        <v>1439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2340</v>
      </c>
    </row>
    <row r="899" spans="1:22" x14ac:dyDescent="0.2">
      <c r="A899" s="35">
        <v>26</v>
      </c>
      <c r="B899" s="35" t="s">
        <v>2096</v>
      </c>
      <c r="C899" s="35" t="s">
        <v>1489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2341</v>
      </c>
    </row>
    <row r="900" spans="1:22" x14ac:dyDescent="0.2">
      <c r="A900" s="35">
        <v>27</v>
      </c>
      <c r="B900" s="35" t="s">
        <v>2232</v>
      </c>
      <c r="C900" s="35" t="s">
        <v>1489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2233</v>
      </c>
    </row>
    <row r="901" spans="1:22" x14ac:dyDescent="0.2">
      <c r="A901" s="35">
        <v>28</v>
      </c>
      <c r="B901" s="35" t="s">
        <v>2234</v>
      </c>
      <c r="C901" s="35" t="s">
        <v>1489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2235</v>
      </c>
    </row>
    <row r="902" spans="1:22" x14ac:dyDescent="0.2">
      <c r="A902" s="35">
        <v>29</v>
      </c>
      <c r="B902" s="35" t="s">
        <v>2236</v>
      </c>
      <c r="C902" s="35" t="s">
        <v>1489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2237</v>
      </c>
    </row>
    <row r="903" spans="1:22" x14ac:dyDescent="0.2">
      <c r="A903" s="35">
        <v>30</v>
      </c>
      <c r="B903" s="35" t="s">
        <v>621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1081</v>
      </c>
      <c r="F908" s="36"/>
    </row>
    <row r="909" spans="1:22" x14ac:dyDescent="0.2">
      <c r="F909" s="36"/>
    </row>
    <row r="910" spans="1:22" x14ac:dyDescent="0.2">
      <c r="B910" s="35" t="s">
        <v>622</v>
      </c>
      <c r="F910" s="36"/>
    </row>
    <row r="911" spans="1:22" x14ac:dyDescent="0.2">
      <c r="A911" s="35">
        <v>1</v>
      </c>
      <c r="B911" s="35" t="s">
        <v>2097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2238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2098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2099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2100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2101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2298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2342</v>
      </c>
    </row>
    <row r="918" spans="1:23" x14ac:dyDescent="0.2">
      <c r="A918" s="35">
        <v>8</v>
      </c>
      <c r="B918" s="35" t="s">
        <v>2102</v>
      </c>
      <c r="F918" s="36"/>
    </row>
    <row r="919" spans="1:23" x14ac:dyDescent="0.2">
      <c r="A919" s="35">
        <v>9</v>
      </c>
      <c r="B919" s="35" t="s">
        <v>2103</v>
      </c>
      <c r="C919" s="35" t="s">
        <v>1329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2104</v>
      </c>
      <c r="C920" s="35" t="s">
        <v>1440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2105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2106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2107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623</v>
      </c>
      <c r="F927" s="36"/>
    </row>
    <row r="928" spans="1:23" x14ac:dyDescent="0.2">
      <c r="A928" s="35">
        <v>14</v>
      </c>
      <c r="B928" s="35" t="s">
        <v>2108</v>
      </c>
      <c r="C928" s="35" t="s">
        <v>1969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2109</v>
      </c>
      <c r="C929" s="35" t="s">
        <v>1959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2110</v>
      </c>
      <c r="C930" s="35" t="s">
        <v>1961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2111</v>
      </c>
      <c r="C931" s="35" t="s">
        <v>1953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2113</v>
      </c>
      <c r="C932" s="35" t="s">
        <v>1904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2239</v>
      </c>
      <c r="C933" s="35" t="s">
        <v>1342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2343</v>
      </c>
    </row>
    <row r="934" spans="1:23" x14ac:dyDescent="0.2">
      <c r="A934" s="35">
        <v>20</v>
      </c>
      <c r="B934" s="35" t="s">
        <v>2114</v>
      </c>
      <c r="C934" s="35" t="s">
        <v>1973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2115</v>
      </c>
      <c r="C935" s="35" t="s">
        <v>1963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2116</v>
      </c>
      <c r="C936" s="35" t="s">
        <v>1957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2117</v>
      </c>
      <c r="C937" s="35" t="s">
        <v>1955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2118</v>
      </c>
      <c r="C938" s="35" t="s">
        <v>1973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2299</v>
      </c>
      <c r="C939" s="35" t="s">
        <v>1440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2300</v>
      </c>
      <c r="C940" s="35" t="s">
        <v>1973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2301</v>
      </c>
      <c r="C941" s="35" t="s">
        <v>1973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2302</v>
      </c>
      <c r="C942" s="35" t="s">
        <v>1973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624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2344</v>
      </c>
    </row>
    <row r="945" spans="1:31" x14ac:dyDescent="0.2">
      <c r="A945" s="35">
        <v>30</v>
      </c>
      <c r="B945" s="35" t="s">
        <v>625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2112</v>
      </c>
      <c r="AA946" s="35" t="s">
        <v>458</v>
      </c>
    </row>
    <row r="947" spans="1:31" x14ac:dyDescent="0.2">
      <c r="F947" s="36"/>
    </row>
    <row r="948" spans="1:31" x14ac:dyDescent="0.2">
      <c r="B948" s="35" t="s">
        <v>626</v>
      </c>
      <c r="F948" s="36"/>
    </row>
    <row r="949" spans="1:31" x14ac:dyDescent="0.2">
      <c r="F949" s="36"/>
    </row>
    <row r="950" spans="1:31" x14ac:dyDescent="0.2">
      <c r="B950" s="35" t="s">
        <v>627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1418</v>
      </c>
    </row>
    <row r="951" spans="1:31" x14ac:dyDescent="0.2">
      <c r="A951" s="35">
        <v>1</v>
      </c>
      <c r="B951" s="35" t="s">
        <v>628</v>
      </c>
      <c r="C951" s="35" t="s">
        <v>1418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629</v>
      </c>
      <c r="C952" s="35" t="s">
        <v>1440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2303</v>
      </c>
      <c r="C953" s="35" t="s">
        <v>1418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2304</v>
      </c>
      <c r="C954" s="35" t="s">
        <v>1418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630</v>
      </c>
      <c r="C955" s="35" t="s">
        <v>1418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631</v>
      </c>
      <c r="C956" s="35" t="s">
        <v>1418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2305</v>
      </c>
      <c r="C957" s="35" t="s">
        <v>1418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1440</v>
      </c>
    </row>
    <row r="958" spans="1:31" x14ac:dyDescent="0.2">
      <c r="A958" s="35">
        <v>8</v>
      </c>
      <c r="B958" s="35" t="s">
        <v>2306</v>
      </c>
      <c r="C958" s="35" t="s">
        <v>1418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632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633</v>
      </c>
      <c r="C960" s="35" t="s">
        <v>1418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634</v>
      </c>
      <c r="C961" s="35" t="s">
        <v>1418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635</v>
      </c>
      <c r="C962" s="35" t="s">
        <v>1440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636</v>
      </c>
      <c r="C963" s="35" t="s">
        <v>1440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637</v>
      </c>
      <c r="C964" s="35" t="s">
        <v>1418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638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639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640</v>
      </c>
      <c r="F969" s="36"/>
    </row>
    <row r="970" spans="1:25" x14ac:dyDescent="0.2">
      <c r="A970" s="35">
        <v>17</v>
      </c>
      <c r="B970" s="35" t="s">
        <v>641</v>
      </c>
      <c r="C970" s="35" t="s">
        <v>1420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642</v>
      </c>
      <c r="C971" s="35" t="s">
        <v>1420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643</v>
      </c>
      <c r="C972" s="35" t="s">
        <v>1420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644</v>
      </c>
      <c r="C973" s="35" t="s">
        <v>1420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2307</v>
      </c>
      <c r="C974" s="35" t="s">
        <v>1420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645</v>
      </c>
      <c r="C975" s="35" t="s">
        <v>1420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646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647</v>
      </c>
      <c r="C977" s="35" t="s">
        <v>1420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1420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1420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1440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1420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1111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1112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1113</v>
      </c>
      <c r="F986" s="36"/>
    </row>
    <row r="987" spans="1:24" x14ac:dyDescent="0.2">
      <c r="A987" s="35">
        <v>31</v>
      </c>
      <c r="B987" s="35" t="s">
        <v>1114</v>
      </c>
      <c r="C987" s="35" t="s">
        <v>1422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1115</v>
      </c>
      <c r="C988" s="35" t="s">
        <v>1440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1116</v>
      </c>
      <c r="C989" s="35" t="s">
        <v>1422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2308</v>
      </c>
      <c r="C990" s="35" t="s">
        <v>1422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2309</v>
      </c>
      <c r="C991" s="35" t="s">
        <v>1422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1117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1118</v>
      </c>
      <c r="C993" s="35" t="s">
        <v>1422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1119</v>
      </c>
      <c r="C994" s="35" t="s">
        <v>1422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1120</v>
      </c>
      <c r="C995" s="35" t="s">
        <v>1422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1121</v>
      </c>
      <c r="C996" s="35" t="s">
        <v>1422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1122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1123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1131</v>
      </c>
      <c r="F1001" s="36"/>
    </row>
    <row r="1002" spans="1:24" x14ac:dyDescent="0.2">
      <c r="F1002" s="36"/>
    </row>
    <row r="1003" spans="1:24" x14ac:dyDescent="0.2">
      <c r="B1003" s="35" t="s">
        <v>1124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1125</v>
      </c>
      <c r="C1004" s="35" t="s">
        <v>1329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1126</v>
      </c>
      <c r="C1005" s="35" t="s">
        <v>1440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1127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1128</v>
      </c>
      <c r="C1008" s="35" t="s">
        <v>1329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1129</v>
      </c>
      <c r="C1009" s="35" t="s">
        <v>948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1130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1131</v>
      </c>
      <c r="F1013" s="36"/>
    </row>
    <row r="1014" spans="1:31" x14ac:dyDescent="0.2">
      <c r="F1014" s="36"/>
    </row>
    <row r="1015" spans="1:31" x14ac:dyDescent="0.2">
      <c r="B1015" s="35" t="s">
        <v>1132</v>
      </c>
      <c r="F1015" s="36"/>
      <c r="AA1015" s="35" t="s">
        <v>2240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1342</v>
      </c>
    </row>
    <row r="1016" spans="1:31" x14ac:dyDescent="0.2">
      <c r="A1016" s="35">
        <v>1</v>
      </c>
      <c r="B1016" s="35" t="s">
        <v>1133</v>
      </c>
      <c r="C1016" s="35" t="s">
        <v>537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1134</v>
      </c>
      <c r="C1017" s="35" t="s">
        <v>2220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1135</v>
      </c>
      <c r="C1018" s="35" t="s">
        <v>2220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1136</v>
      </c>
      <c r="C1019" s="35" t="s">
        <v>2220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1137</v>
      </c>
      <c r="C1020" s="35" t="s">
        <v>2220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1138</v>
      </c>
      <c r="C1021" s="35" t="s">
        <v>2220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1139</v>
      </c>
      <c r="C1022" s="35" t="s">
        <v>2220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1140</v>
      </c>
      <c r="C1023" s="35" t="s">
        <v>2220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2345</v>
      </c>
    </row>
    <row r="1024" spans="1:31" x14ac:dyDescent="0.2">
      <c r="A1024" s="35">
        <v>9</v>
      </c>
      <c r="B1024" s="35" t="s">
        <v>2119</v>
      </c>
      <c r="C1024" s="35" t="s">
        <v>2220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1141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2346</v>
      </c>
    </row>
    <row r="1026" spans="1:25" x14ac:dyDescent="0.2">
      <c r="A1026" s="35">
        <v>11</v>
      </c>
      <c r="B1026" s="35" t="s">
        <v>1142</v>
      </c>
      <c r="C1026" s="35" t="s">
        <v>2220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2347</v>
      </c>
    </row>
    <row r="1027" spans="1:25" x14ac:dyDescent="0.2">
      <c r="A1027" s="35">
        <v>12</v>
      </c>
      <c r="B1027" s="35" t="s">
        <v>1143</v>
      </c>
      <c r="C1027" s="35" t="s">
        <v>2220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2348</v>
      </c>
    </row>
    <row r="1028" spans="1:25" x14ac:dyDescent="0.2">
      <c r="A1028" s="35">
        <v>13</v>
      </c>
      <c r="B1028" s="35" t="s">
        <v>1144</v>
      </c>
      <c r="C1028" s="35" t="s">
        <v>2220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2241</v>
      </c>
    </row>
    <row r="1029" spans="1:25" x14ac:dyDescent="0.2">
      <c r="A1029" s="35">
        <v>14</v>
      </c>
      <c r="B1029" s="35" t="s">
        <v>1145</v>
      </c>
      <c r="C1029" s="35" t="s">
        <v>2220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1146</v>
      </c>
      <c r="C1030" s="35" t="s">
        <v>2220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1147</v>
      </c>
      <c r="C1031" s="35" t="s">
        <v>2220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1148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1149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763</v>
      </c>
      <c r="F1036" s="36"/>
    </row>
    <row r="1037" spans="1:25" x14ac:dyDescent="0.2">
      <c r="A1037" s="35">
        <v>19</v>
      </c>
      <c r="B1037" s="35" t="s">
        <v>764</v>
      </c>
      <c r="C1037" s="35" t="s">
        <v>1505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765</v>
      </c>
      <c r="C1038" s="35" t="s">
        <v>1975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766</v>
      </c>
      <c r="C1039" s="35" t="s">
        <v>1975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767</v>
      </c>
      <c r="C1040" s="35" t="s">
        <v>1974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768</v>
      </c>
      <c r="C1041" s="35" t="s">
        <v>1976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769</v>
      </c>
      <c r="C1042" s="35" t="s">
        <v>1977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770</v>
      </c>
      <c r="C1043" s="35" t="s">
        <v>1978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771</v>
      </c>
      <c r="C1044" s="35" t="s">
        <v>1979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772</v>
      </c>
      <c r="C1045" s="35" t="s">
        <v>1505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773</v>
      </c>
      <c r="C1046" s="35" t="s">
        <v>1505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774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775</v>
      </c>
      <c r="C1048" s="35" t="s">
        <v>1505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776</v>
      </c>
      <c r="C1049" s="35" t="s">
        <v>1975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777</v>
      </c>
      <c r="C1050" s="35" t="s">
        <v>1975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2242</v>
      </c>
    </row>
    <row r="1051" spans="1:25" x14ac:dyDescent="0.2">
      <c r="A1051" s="35">
        <v>33</v>
      </c>
      <c r="B1051" s="35" t="s">
        <v>778</v>
      </c>
      <c r="C1051" s="35" t="s">
        <v>1974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779</v>
      </c>
      <c r="C1052" s="35" t="s">
        <v>1976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2241</v>
      </c>
    </row>
    <row r="1053" spans="1:25" x14ac:dyDescent="0.2">
      <c r="A1053" s="35">
        <v>35</v>
      </c>
      <c r="B1053" s="35" t="s">
        <v>780</v>
      </c>
      <c r="C1053" s="35" t="s">
        <v>1980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781</v>
      </c>
      <c r="C1054" s="35" t="s">
        <v>1977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2349</v>
      </c>
    </row>
    <row r="1055" spans="1:25" x14ac:dyDescent="0.2">
      <c r="A1055" s="35">
        <v>37</v>
      </c>
      <c r="B1055" s="35" t="s">
        <v>782</v>
      </c>
      <c r="C1055" s="35" t="s">
        <v>1978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783</v>
      </c>
      <c r="C1056" s="35" t="s">
        <v>1505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784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785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1131</v>
      </c>
      <c r="F1062" s="36"/>
    </row>
    <row r="1063" spans="1:24" x14ac:dyDescent="0.2">
      <c r="F1063" s="36"/>
    </row>
    <row r="1064" spans="1:24" x14ac:dyDescent="0.2">
      <c r="B1064" s="35" t="s">
        <v>786</v>
      </c>
      <c r="F1064" s="36"/>
    </row>
    <row r="1065" spans="1:24" x14ac:dyDescent="0.2">
      <c r="A1065" s="35">
        <v>1</v>
      </c>
      <c r="B1065" s="35" t="s">
        <v>762</v>
      </c>
      <c r="C1065" s="35" t="s">
        <v>559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346</v>
      </c>
      <c r="C1066" s="35" t="s">
        <v>1458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347</v>
      </c>
      <c r="C1067" s="35" t="s">
        <v>1460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348</v>
      </c>
      <c r="C1068" s="35" t="s">
        <v>1462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349</v>
      </c>
      <c r="C1069" s="35" t="s">
        <v>1981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350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351</v>
      </c>
      <c r="F1072" s="36"/>
    </row>
    <row r="1073" spans="1:24" x14ac:dyDescent="0.2">
      <c r="A1073" s="35">
        <v>7</v>
      </c>
      <c r="B1073" s="35" t="s">
        <v>352</v>
      </c>
      <c r="C1073" s="35" t="s">
        <v>565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353</v>
      </c>
      <c r="C1074" s="35" t="s">
        <v>1472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354</v>
      </c>
      <c r="C1075" s="35" t="s">
        <v>1474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355</v>
      </c>
      <c r="C1076" s="35" t="s">
        <v>1982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356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357</v>
      </c>
      <c r="F1079" s="36"/>
    </row>
    <row r="1080" spans="1:24" x14ac:dyDescent="0.2">
      <c r="A1080" s="35">
        <v>12</v>
      </c>
      <c r="B1080" s="35" t="s">
        <v>358</v>
      </c>
      <c r="C1080" s="35" t="s">
        <v>565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359</v>
      </c>
      <c r="C1081" s="35" t="s">
        <v>1476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360</v>
      </c>
      <c r="C1082" s="35" t="s">
        <v>1478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361</v>
      </c>
      <c r="C1083" s="35" t="s">
        <v>1983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362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363</v>
      </c>
      <c r="F1086" s="36"/>
    </row>
    <row r="1087" spans="1:24" x14ac:dyDescent="0.2">
      <c r="F1087" s="36"/>
    </row>
    <row r="1088" spans="1:24" x14ac:dyDescent="0.2">
      <c r="B1088" s="35" t="s">
        <v>282</v>
      </c>
      <c r="F1088" s="36"/>
    </row>
    <row r="1089" spans="1:33" x14ac:dyDescent="0.2">
      <c r="A1089" s="35">
        <v>17</v>
      </c>
      <c r="B1089" s="35" t="s">
        <v>283</v>
      </c>
      <c r="C1089" s="35" t="s">
        <v>1410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284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285</v>
      </c>
      <c r="F1092" s="36"/>
    </row>
    <row r="1093" spans="1:33" x14ac:dyDescent="0.2">
      <c r="A1093" s="35">
        <v>19</v>
      </c>
      <c r="B1093" s="35" t="s">
        <v>286</v>
      </c>
      <c r="C1093" s="35" t="s">
        <v>1489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287</v>
      </c>
      <c r="C1094" s="35" t="s">
        <v>1489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288</v>
      </c>
      <c r="C1095" s="35" t="s">
        <v>1489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1838</v>
      </c>
      <c r="AA1095" s="35" t="s">
        <v>1839</v>
      </c>
      <c r="AB1095" s="35" t="s">
        <v>1840</v>
      </c>
      <c r="AC1095" s="35" t="s">
        <v>932</v>
      </c>
      <c r="AD1095" s="35" t="s">
        <v>68</v>
      </c>
    </row>
    <row r="1096" spans="1:33" x14ac:dyDescent="0.2">
      <c r="A1096" s="35">
        <v>22</v>
      </c>
      <c r="B1096" s="35" t="s">
        <v>289</v>
      </c>
      <c r="C1096" s="35" t="s">
        <v>1489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1841</v>
      </c>
      <c r="AF1096" s="35" t="s">
        <v>1842</v>
      </c>
      <c r="AG1096" s="35">
        <v>521995</v>
      </c>
    </row>
    <row r="1097" spans="1:33" x14ac:dyDescent="0.2">
      <c r="A1097" s="35">
        <v>23</v>
      </c>
      <c r="B1097" s="35" t="s">
        <v>290</v>
      </c>
      <c r="C1097" s="35" t="s">
        <v>1489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1843</v>
      </c>
      <c r="AF1097" s="35" t="s">
        <v>1844</v>
      </c>
    </row>
    <row r="1098" spans="1:33" x14ac:dyDescent="0.2">
      <c r="A1098" s="35">
        <v>24</v>
      </c>
      <c r="B1098" s="35" t="s">
        <v>291</v>
      </c>
      <c r="C1098" s="35" t="s">
        <v>1489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2243</v>
      </c>
      <c r="AF1098" s="35" t="s">
        <v>2244</v>
      </c>
    </row>
    <row r="1099" spans="1:33" x14ac:dyDescent="0.2">
      <c r="A1099" s="35">
        <v>25</v>
      </c>
      <c r="B1099" s="35" t="s">
        <v>2310</v>
      </c>
      <c r="C1099" s="35" t="s">
        <v>2124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2350</v>
      </c>
      <c r="AE1099" s="35" t="s">
        <v>1845</v>
      </c>
      <c r="AF1099" s="35" t="s">
        <v>1846</v>
      </c>
    </row>
    <row r="1100" spans="1:33" x14ac:dyDescent="0.2">
      <c r="A1100" s="35">
        <v>26</v>
      </c>
      <c r="B1100" s="35" t="s">
        <v>2311</v>
      </c>
      <c r="C1100" s="35" t="s">
        <v>2124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2351</v>
      </c>
      <c r="AE1100" s="35" t="s">
        <v>2120</v>
      </c>
      <c r="AF1100" s="35" t="s">
        <v>2121</v>
      </c>
    </row>
    <row r="1101" spans="1:33" x14ac:dyDescent="0.2">
      <c r="A1101" s="35">
        <v>27</v>
      </c>
      <c r="B1101" s="35" t="s">
        <v>2312</v>
      </c>
      <c r="C1101" s="35" t="s">
        <v>2124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2122</v>
      </c>
      <c r="AF1101" s="35" t="s">
        <v>2123</v>
      </c>
    </row>
    <row r="1102" spans="1:33" x14ac:dyDescent="0.2">
      <c r="A1102" s="35">
        <v>27</v>
      </c>
      <c r="B1102" s="35" t="s">
        <v>2313</v>
      </c>
      <c r="C1102" s="35" t="s">
        <v>2124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1851</v>
      </c>
    </row>
    <row r="1103" spans="1:33" x14ac:dyDescent="0.2">
      <c r="A1103" s="35">
        <v>28</v>
      </c>
      <c r="B1103" s="35" t="s">
        <v>2314</v>
      </c>
      <c r="C1103" s="35" t="s">
        <v>2225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1852</v>
      </c>
      <c r="AF1103" s="35" t="s">
        <v>1853</v>
      </c>
    </row>
    <row r="1104" spans="1:33" x14ac:dyDescent="0.2">
      <c r="A1104" s="35">
        <v>29</v>
      </c>
      <c r="B1104" s="35" t="s">
        <v>2315</v>
      </c>
      <c r="C1104" s="35" t="s">
        <v>1489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2352</v>
      </c>
      <c r="Z1104" s="35" t="s">
        <v>1848</v>
      </c>
      <c r="AA1104" s="35" t="s">
        <v>1849</v>
      </c>
      <c r="AB1104" s="35" t="s">
        <v>1850</v>
      </c>
      <c r="AC1104" s="35" t="s">
        <v>1311</v>
      </c>
      <c r="AD1104" s="35" t="s">
        <v>68</v>
      </c>
      <c r="AE1104" s="35" t="s">
        <v>1854</v>
      </c>
      <c r="AF1104" s="35" t="s">
        <v>1855</v>
      </c>
      <c r="AG1104" s="35">
        <v>4219982.9999999898</v>
      </c>
    </row>
    <row r="1105" spans="1:34" x14ac:dyDescent="0.2">
      <c r="A1105" s="35">
        <v>30</v>
      </c>
      <c r="B1105" s="35" t="s">
        <v>293</v>
      </c>
      <c r="C1105" s="35" t="s">
        <v>1489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2353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2245</v>
      </c>
      <c r="AF1105" s="35" t="s">
        <v>2246</v>
      </c>
    </row>
    <row r="1106" spans="1:34" x14ac:dyDescent="0.2">
      <c r="A1106" s="35">
        <v>31</v>
      </c>
      <c r="B1106" s="35" t="s">
        <v>294</v>
      </c>
      <c r="C1106" s="35" t="s">
        <v>1489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295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2125</v>
      </c>
      <c r="AF1107" s="35" t="s">
        <v>2126</v>
      </c>
      <c r="AG1107" s="35">
        <v>0</v>
      </c>
    </row>
    <row r="1108" spans="1:34" x14ac:dyDescent="0.2">
      <c r="F1108" s="36"/>
      <c r="Z1108" s="35">
        <v>275687.56</v>
      </c>
      <c r="AE1108" s="35" t="s">
        <v>1856</v>
      </c>
      <c r="AF1108" s="35" t="s">
        <v>1857</v>
      </c>
      <c r="AG1108" s="35">
        <v>0</v>
      </c>
    </row>
    <row r="1109" spans="1:34" x14ac:dyDescent="0.2">
      <c r="B1109" s="35" t="s">
        <v>296</v>
      </c>
      <c r="F1109" s="36"/>
      <c r="Z1109" s="35">
        <v>766998.44</v>
      </c>
    </row>
    <row r="1110" spans="1:34" x14ac:dyDescent="0.2">
      <c r="A1110" s="35">
        <v>33</v>
      </c>
      <c r="B1110" s="35" t="s">
        <v>2316</v>
      </c>
      <c r="C1110" s="35" t="s">
        <v>2124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298</v>
      </c>
      <c r="C1111" s="35" t="s">
        <v>2124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297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1847</v>
      </c>
      <c r="Z1112" s="35" t="s">
        <v>303</v>
      </c>
      <c r="AE1112" s="35" t="s">
        <v>1856</v>
      </c>
      <c r="AF1112" s="35" t="s">
        <v>2247</v>
      </c>
      <c r="AG1112" s="35">
        <v>102440.04000000001</v>
      </c>
      <c r="AH1112" s="35" t="s">
        <v>2248</v>
      </c>
    </row>
    <row r="1113" spans="1:34" x14ac:dyDescent="0.2">
      <c r="A1113" s="35">
        <v>36</v>
      </c>
      <c r="B1113" s="35" t="s">
        <v>299</v>
      </c>
      <c r="C1113" s="35" t="s">
        <v>1440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300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2354</v>
      </c>
      <c r="AG1114" s="35">
        <v>102440.04000000001</v>
      </c>
    </row>
    <row r="1115" spans="1:34" x14ac:dyDescent="0.2">
      <c r="F1115" s="36"/>
      <c r="Y1115" s="35" t="s">
        <v>2355</v>
      </c>
    </row>
    <row r="1116" spans="1:34" x14ac:dyDescent="0.2">
      <c r="A1116" s="35">
        <v>38</v>
      </c>
      <c r="B1116" s="35" t="s">
        <v>301</v>
      </c>
      <c r="C1116" s="35" t="s">
        <v>909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292</v>
      </c>
      <c r="C1117" s="35" t="s">
        <v>909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847</v>
      </c>
    </row>
    <row r="1119" spans="1:34" x14ac:dyDescent="0.2">
      <c r="A1119" s="35">
        <v>40</v>
      </c>
      <c r="B1119" s="35" t="s">
        <v>302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277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278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279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280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1225</v>
      </c>
      <c r="F1125" s="36"/>
    </row>
    <row r="1126" spans="1:22" x14ac:dyDescent="0.2">
      <c r="F1126" s="36"/>
    </row>
    <row r="1127" spans="1:22" x14ac:dyDescent="0.2">
      <c r="B1127" s="35" t="s">
        <v>1226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1491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1331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1227</v>
      </c>
    </row>
    <row r="1133" spans="1:22" x14ac:dyDescent="0.2">
      <c r="A1133" s="35">
        <v>3</v>
      </c>
      <c r="B1133" s="35" t="s">
        <v>12</v>
      </c>
      <c r="C1133" s="35" t="s">
        <v>1337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1227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1228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1495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1331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1227</v>
      </c>
    </row>
    <row r="1139" spans="1:22" x14ac:dyDescent="0.2">
      <c r="A1139" s="35">
        <v>7</v>
      </c>
      <c r="B1139" s="35" t="s">
        <v>12</v>
      </c>
      <c r="C1139" s="35" t="s">
        <v>1337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1227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1228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1497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1331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1227</v>
      </c>
    </row>
    <row r="1145" spans="1:22" x14ac:dyDescent="0.2">
      <c r="A1145" s="35">
        <v>11</v>
      </c>
      <c r="B1145" s="35" t="s">
        <v>12</v>
      </c>
      <c r="C1145" s="35" t="s">
        <v>1337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1227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1228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1104</v>
      </c>
      <c r="C1151" s="35" t="s">
        <v>2227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1229</v>
      </c>
    </row>
    <row r="1152" spans="1:22" x14ac:dyDescent="0.2">
      <c r="A1152" s="35">
        <v>15</v>
      </c>
      <c r="B1152" s="35" t="s">
        <v>1107</v>
      </c>
      <c r="C1152" s="35" t="s">
        <v>1407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1228</v>
      </c>
    </row>
    <row r="1153" spans="1:28" x14ac:dyDescent="0.2">
      <c r="A1153" s="35">
        <v>17</v>
      </c>
      <c r="B1153" s="35" t="s">
        <v>1095</v>
      </c>
      <c r="C1153" s="35" t="s">
        <v>1331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1227</v>
      </c>
    </row>
    <row r="1154" spans="1:28" x14ac:dyDescent="0.2">
      <c r="A1154" s="35">
        <v>18</v>
      </c>
      <c r="B1154" s="35" t="s">
        <v>1096</v>
      </c>
      <c r="C1154" s="35" t="s">
        <v>1337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1227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1228</v>
      </c>
    </row>
    <row r="1156" spans="1:28" x14ac:dyDescent="0.2">
      <c r="F1156" s="36"/>
    </row>
    <row r="1157" spans="1:28" x14ac:dyDescent="0.2">
      <c r="B1157" s="35" t="s">
        <v>836</v>
      </c>
      <c r="F1157" s="36"/>
    </row>
    <row r="1158" spans="1:28" x14ac:dyDescent="0.2">
      <c r="A1158" s="35">
        <v>20</v>
      </c>
      <c r="B1158" s="35" t="s">
        <v>2127</v>
      </c>
      <c r="C1158" s="35" t="s">
        <v>964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1228</v>
      </c>
    </row>
    <row r="1159" spans="1:28" x14ac:dyDescent="0.2">
      <c r="A1159" s="35">
        <v>21</v>
      </c>
      <c r="B1159" s="35" t="s">
        <v>2128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1228</v>
      </c>
    </row>
    <row r="1160" spans="1:28" x14ac:dyDescent="0.2">
      <c r="A1160" s="35">
        <v>22</v>
      </c>
      <c r="B1160" s="35" t="s">
        <v>2129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1228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1228</v>
      </c>
      <c r="Z1161" s="35" t="s">
        <v>826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1509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1228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1971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1228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1970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1228</v>
      </c>
    </row>
    <row r="1168" spans="1:28" x14ac:dyDescent="0.2">
      <c r="F1168" s="36"/>
    </row>
    <row r="1169" spans="1:25" x14ac:dyDescent="0.2">
      <c r="A1169" s="35">
        <v>27</v>
      </c>
      <c r="B1169" s="35" t="s">
        <v>827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2317</v>
      </c>
      <c r="F1172" s="36"/>
    </row>
    <row r="1173" spans="1:25" x14ac:dyDescent="0.2">
      <c r="F1173" s="36"/>
    </row>
    <row r="1174" spans="1:25" x14ac:dyDescent="0.2">
      <c r="B1174" s="35" t="s">
        <v>2318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2356</v>
      </c>
    </row>
    <row r="1177" spans="1:25" x14ac:dyDescent="0.2">
      <c r="A1177" s="35">
        <v>1</v>
      </c>
      <c r="B1177" s="35" t="s">
        <v>8</v>
      </c>
      <c r="C1177" s="35" t="s">
        <v>2124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2357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1495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2358</v>
      </c>
    </row>
    <row r="1179" spans="1:25" x14ac:dyDescent="0.2">
      <c r="A1179" s="35">
        <v>3</v>
      </c>
      <c r="B1179" s="35" t="s">
        <v>16</v>
      </c>
      <c r="C1179" s="35" t="s">
        <v>1497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1104</v>
      </c>
      <c r="C1184" s="35" t="s">
        <v>2227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2357</v>
      </c>
    </row>
    <row r="1185" spans="1:22" x14ac:dyDescent="0.2">
      <c r="A1185" s="35">
        <v>6</v>
      </c>
      <c r="B1185" s="35" t="s">
        <v>1107</v>
      </c>
      <c r="C1185" s="35" t="s">
        <v>1407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836</v>
      </c>
      <c r="F1189" s="36"/>
    </row>
    <row r="1190" spans="1:22" x14ac:dyDescent="0.2">
      <c r="A1190" s="35">
        <v>8</v>
      </c>
      <c r="B1190" s="35" t="s">
        <v>828</v>
      </c>
      <c r="C1190" s="35" t="s">
        <v>964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2357</v>
      </c>
    </row>
    <row r="1191" spans="1:22" x14ac:dyDescent="0.2">
      <c r="A1191" s="35">
        <v>9</v>
      </c>
      <c r="B1191" s="35" t="s">
        <v>829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2319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830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1491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2359</v>
      </c>
    </row>
    <row r="1201" spans="1:26" x14ac:dyDescent="0.2">
      <c r="A1201" s="35">
        <v>13</v>
      </c>
      <c r="B1201" s="35" t="s">
        <v>14</v>
      </c>
      <c r="C1201" s="35" t="s">
        <v>1495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1497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1104</v>
      </c>
      <c r="C1207" s="35" t="s">
        <v>2227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2359</v>
      </c>
    </row>
    <row r="1208" spans="1:26" x14ac:dyDescent="0.2">
      <c r="A1208" s="35">
        <v>17</v>
      </c>
      <c r="B1208" s="35" t="s">
        <v>1107</v>
      </c>
      <c r="C1208" s="35" t="s">
        <v>1407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1109</v>
      </c>
      <c r="F1212" s="36"/>
    </row>
    <row r="1213" spans="1:26" x14ac:dyDescent="0.2">
      <c r="A1213" s="35">
        <v>19</v>
      </c>
      <c r="B1213" s="35" t="s">
        <v>1104</v>
      </c>
      <c r="C1213" s="35" t="s">
        <v>964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2359</v>
      </c>
    </row>
    <row r="1214" spans="1:26" x14ac:dyDescent="0.2">
      <c r="A1214" s="35">
        <v>20</v>
      </c>
      <c r="B1214" s="35" t="s">
        <v>1107</v>
      </c>
      <c r="C1214" s="35" t="s">
        <v>975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2360</v>
      </c>
      <c r="X1215" s="35" t="s">
        <v>831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287"/>
      <c r="E1217" s="288"/>
      <c r="F1217" s="36"/>
      <c r="G1217" s="288"/>
      <c r="H1217" s="287"/>
      <c r="I1217" s="287"/>
      <c r="J1217" s="287"/>
      <c r="K1217" s="287"/>
      <c r="L1217" s="287"/>
      <c r="M1217" s="287"/>
      <c r="N1217" s="287"/>
      <c r="O1217" s="287"/>
      <c r="P1217" s="287"/>
      <c r="Q1217" s="287"/>
      <c r="R1217" s="288"/>
      <c r="S1217" s="288"/>
      <c r="T1217" s="287"/>
      <c r="U1217" s="288"/>
      <c r="V1217" s="288"/>
      <c r="W1217" s="288"/>
      <c r="X1217" s="288"/>
      <c r="Y1217" s="288"/>
      <c r="Z1217" s="288"/>
    </row>
    <row r="1218" spans="1:26" x14ac:dyDescent="0.2">
      <c r="A1218" s="35">
        <v>22</v>
      </c>
      <c r="B1218" s="35" t="s">
        <v>832</v>
      </c>
      <c r="D1218" s="287">
        <v>0</v>
      </c>
      <c r="E1218" s="288"/>
      <c r="F1218" s="287">
        <v>0</v>
      </c>
      <c r="G1218" s="288"/>
      <c r="H1218" s="287">
        <v>0</v>
      </c>
      <c r="I1218" s="287">
        <v>0</v>
      </c>
      <c r="J1218" s="287"/>
      <c r="K1218" s="287"/>
      <c r="L1218" s="287">
        <v>0</v>
      </c>
      <c r="M1218" s="287"/>
      <c r="N1218" s="287">
        <v>0</v>
      </c>
      <c r="O1218" s="287">
        <v>0</v>
      </c>
      <c r="P1218" s="287">
        <v>0</v>
      </c>
      <c r="Q1218" s="287">
        <v>0</v>
      </c>
      <c r="R1218" s="288"/>
      <c r="S1218" s="288"/>
      <c r="T1218" s="287"/>
      <c r="U1218" s="288"/>
      <c r="V1218" s="288"/>
      <c r="W1218" s="288"/>
      <c r="X1218" s="288"/>
      <c r="Y1218" s="288"/>
      <c r="Z1218" s="288"/>
    </row>
    <row r="1219" spans="1:26" x14ac:dyDescent="0.2">
      <c r="D1219" s="287"/>
      <c r="E1219" s="288"/>
      <c r="F1219" s="36"/>
      <c r="G1219" s="288"/>
      <c r="H1219" s="287"/>
      <c r="I1219" s="287"/>
      <c r="J1219" s="287"/>
      <c r="K1219" s="287"/>
      <c r="L1219" s="287"/>
      <c r="M1219" s="287"/>
      <c r="N1219" s="287"/>
      <c r="O1219" s="287"/>
      <c r="P1219" s="287"/>
      <c r="Q1219" s="287"/>
      <c r="R1219" s="288"/>
      <c r="S1219" s="288"/>
      <c r="T1219" s="287"/>
      <c r="U1219" s="288"/>
      <c r="V1219" s="288"/>
      <c r="W1219" s="288"/>
      <c r="X1219" s="288"/>
      <c r="Y1219" s="288"/>
      <c r="Z1219" s="288"/>
    </row>
    <row r="1220" spans="1:26" x14ac:dyDescent="0.2">
      <c r="B1220" s="35" t="s">
        <v>833</v>
      </c>
      <c r="D1220" s="287"/>
      <c r="E1220" s="288"/>
      <c r="F1220" s="287"/>
      <c r="G1220" s="288"/>
      <c r="H1220" s="287"/>
      <c r="I1220" s="287"/>
      <c r="J1220" s="287"/>
      <c r="K1220" s="287"/>
      <c r="L1220" s="287"/>
      <c r="M1220" s="287"/>
      <c r="N1220" s="287"/>
      <c r="O1220" s="287"/>
      <c r="P1220" s="287"/>
      <c r="Q1220" s="287"/>
      <c r="R1220" s="288"/>
      <c r="S1220" s="288"/>
      <c r="T1220" s="287"/>
      <c r="U1220" s="288"/>
      <c r="V1220" s="288"/>
      <c r="W1220" s="288"/>
      <c r="X1220" s="288"/>
      <c r="Y1220" s="288"/>
      <c r="Z1220" s="288"/>
    </row>
    <row r="1221" spans="1:26" x14ac:dyDescent="0.2">
      <c r="D1221" s="287"/>
      <c r="E1221" s="288"/>
      <c r="F1221" s="287"/>
      <c r="G1221" s="288"/>
      <c r="H1221" s="287"/>
      <c r="I1221" s="287"/>
      <c r="J1221" s="287"/>
      <c r="K1221" s="287"/>
      <c r="L1221" s="287"/>
      <c r="M1221" s="287"/>
      <c r="N1221" s="287"/>
      <c r="O1221" s="287"/>
      <c r="P1221" s="287"/>
      <c r="Q1221" s="287"/>
      <c r="R1221" s="288"/>
      <c r="S1221" s="288"/>
      <c r="T1221" s="287"/>
      <c r="U1221" s="288"/>
      <c r="V1221" s="288"/>
      <c r="W1221" s="288"/>
      <c r="X1221" s="288"/>
      <c r="Y1221" s="288"/>
      <c r="Z1221" s="288"/>
    </row>
    <row r="1222" spans="1:26" x14ac:dyDescent="0.2">
      <c r="B1222" s="35" t="s">
        <v>834</v>
      </c>
      <c r="F1222" s="36"/>
    </row>
    <row r="1223" spans="1:26" x14ac:dyDescent="0.2">
      <c r="A1223" s="35">
        <v>1</v>
      </c>
      <c r="B1223" s="35" t="s">
        <v>835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2361</v>
      </c>
    </row>
    <row r="1224" spans="1:26" x14ac:dyDescent="0.2">
      <c r="A1224" s="35">
        <v>2</v>
      </c>
      <c r="B1224" s="35" t="s">
        <v>324</v>
      </c>
      <c r="C1224" s="35" t="s">
        <v>1973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325</v>
      </c>
      <c r="C1225" s="35" t="s">
        <v>905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1376</v>
      </c>
      <c r="C1226" s="35" t="s">
        <v>1489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1864</v>
      </c>
    </row>
    <row r="1227" spans="1:26" x14ac:dyDescent="0.2">
      <c r="A1227" s="35">
        <v>5</v>
      </c>
      <c r="B1227" s="35" t="s">
        <v>2249</v>
      </c>
      <c r="C1227" s="35" t="s">
        <v>1489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2362</v>
      </c>
      <c r="Z1227" s="35">
        <v>665824.11349999998</v>
      </c>
    </row>
    <row r="1228" spans="1:26" x14ac:dyDescent="0.2">
      <c r="A1228" s="35">
        <v>6</v>
      </c>
      <c r="B1228" s="35" t="s">
        <v>326</v>
      </c>
      <c r="C1228" s="35" t="s">
        <v>1410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327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328</v>
      </c>
      <c r="C1231" s="35" t="s">
        <v>1329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329</v>
      </c>
      <c r="X1231" s="35" t="s">
        <v>1860</v>
      </c>
    </row>
    <row r="1232" spans="1:26" x14ac:dyDescent="0.2">
      <c r="A1232" s="35">
        <v>9</v>
      </c>
      <c r="B1232" s="35" t="s">
        <v>1858</v>
      </c>
      <c r="C1232" s="35" t="s">
        <v>1410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2363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1859</v>
      </c>
      <c r="C1233" s="35" t="s">
        <v>1489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1861</v>
      </c>
      <c r="V1233" s="35" t="s">
        <v>1862</v>
      </c>
      <c r="X1233" s="35" t="s">
        <v>2364</v>
      </c>
      <c r="Y1233" s="35" t="s">
        <v>1863</v>
      </c>
    </row>
    <row r="1234" spans="1:25" x14ac:dyDescent="0.2">
      <c r="F1234" s="36"/>
      <c r="T1234" s="36">
        <v>934596.54966769519</v>
      </c>
      <c r="U1234" s="35" t="s">
        <v>2130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332</v>
      </c>
      <c r="F1236" s="36"/>
    </row>
    <row r="1237" spans="1:25" x14ac:dyDescent="0.2">
      <c r="A1237" s="35">
        <v>11</v>
      </c>
      <c r="B1237" s="35" t="s">
        <v>613</v>
      </c>
      <c r="C1237" s="35" t="s">
        <v>948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331</v>
      </c>
      <c r="X1237" s="35" t="s">
        <v>333</v>
      </c>
    </row>
    <row r="1238" spans="1:25" x14ac:dyDescent="0.2">
      <c r="A1238" s="35">
        <v>12</v>
      </c>
      <c r="B1238" s="35" t="s">
        <v>614</v>
      </c>
      <c r="C1238" s="35" t="s">
        <v>2220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615</v>
      </c>
      <c r="C1239" s="35" t="s">
        <v>1407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334</v>
      </c>
      <c r="C1240" s="35" t="s">
        <v>1437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617</v>
      </c>
      <c r="C1241" s="35" t="s">
        <v>975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618</v>
      </c>
      <c r="C1242" s="35" t="s">
        <v>1509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335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336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337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338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581</v>
      </c>
      <c r="W1256" s="35">
        <v>0</v>
      </c>
    </row>
    <row r="1257" spans="1:23" x14ac:dyDescent="0.2">
      <c r="F1257" s="36"/>
    </row>
    <row r="1258" spans="1:23" x14ac:dyDescent="0.2">
      <c r="B1258" s="35" t="s">
        <v>339</v>
      </c>
      <c r="F1258" s="36"/>
    </row>
    <row r="1259" spans="1:23" x14ac:dyDescent="0.2">
      <c r="B1259" s="35" t="s">
        <v>340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341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342</v>
      </c>
      <c r="F1264" s="36"/>
    </row>
    <row r="1265" spans="1:28" x14ac:dyDescent="0.2">
      <c r="B1265" s="35" t="s">
        <v>343</v>
      </c>
      <c r="F1265" s="36"/>
    </row>
    <row r="1266" spans="1:28" x14ac:dyDescent="0.2">
      <c r="A1266" s="35">
        <v>5</v>
      </c>
      <c r="B1266" s="35" t="s">
        <v>344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331</v>
      </c>
      <c r="Y1266" s="35" t="s">
        <v>2250</v>
      </c>
      <c r="Z1266" s="35">
        <v>0.298878010392436</v>
      </c>
    </row>
    <row r="1267" spans="1:28" x14ac:dyDescent="0.2">
      <c r="A1267" s="35">
        <v>6</v>
      </c>
      <c r="B1267" s="35" t="s">
        <v>345</v>
      </c>
      <c r="C1267" s="35" t="s">
        <v>1482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1865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1373</v>
      </c>
      <c r="C1268" s="35" t="s">
        <v>541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331</v>
      </c>
    </row>
    <row r="1269" spans="1:28" x14ac:dyDescent="0.2">
      <c r="A1269" s="35">
        <v>8</v>
      </c>
      <c r="B1269" s="35" t="s">
        <v>1374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331</v>
      </c>
    </row>
    <row r="1270" spans="1:28" x14ac:dyDescent="0.2">
      <c r="F1270" s="36"/>
      <c r="Z1270" s="35" t="s">
        <v>2135</v>
      </c>
      <c r="AA1270" s="35" t="s">
        <v>68</v>
      </c>
    </row>
    <row r="1271" spans="1:28" x14ac:dyDescent="0.2">
      <c r="B1271" s="35" t="s">
        <v>1375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2131</v>
      </c>
      <c r="C1272" s="35" t="s">
        <v>1339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2132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2320</v>
      </c>
      <c r="C1273" s="35" t="s">
        <v>1491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2365</v>
      </c>
      <c r="Y1273" s="35">
        <v>257803</v>
      </c>
    </row>
    <row r="1274" spans="1:28" x14ac:dyDescent="0.2">
      <c r="A1274" s="35">
        <v>11</v>
      </c>
      <c r="B1274" s="35" t="s">
        <v>2133</v>
      </c>
      <c r="C1274" s="35" t="s">
        <v>1331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331</v>
      </c>
      <c r="Y1274" s="35">
        <v>730603</v>
      </c>
      <c r="Z1274" s="35" t="s">
        <v>1378</v>
      </c>
    </row>
    <row r="1275" spans="1:28" x14ac:dyDescent="0.2">
      <c r="A1275" s="35">
        <v>12</v>
      </c>
      <c r="B1275" s="35" t="s">
        <v>2134</v>
      </c>
      <c r="C1275" s="35" t="s">
        <v>1337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331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1376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2251</v>
      </c>
    </row>
    <row r="1277" spans="1:28" x14ac:dyDescent="0.2">
      <c r="F1277" s="36"/>
    </row>
    <row r="1278" spans="1:28" x14ac:dyDescent="0.2">
      <c r="A1278" s="35">
        <v>14</v>
      </c>
      <c r="B1278" s="35" t="s">
        <v>2136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2321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2366</v>
      </c>
    </row>
    <row r="1281" spans="1:27" x14ac:dyDescent="0.2">
      <c r="A1281" s="35">
        <v>16</v>
      </c>
      <c r="B1281" s="35" t="s">
        <v>1377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2367</v>
      </c>
    </row>
    <row r="1282" spans="1:27" x14ac:dyDescent="0.2">
      <c r="A1282" s="35">
        <v>17</v>
      </c>
      <c r="B1282" s="35" t="s">
        <v>2252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331</v>
      </c>
      <c r="Y1282" s="35">
        <v>106506</v>
      </c>
    </row>
    <row r="1283" spans="1:27" x14ac:dyDescent="0.2">
      <c r="A1283" s="35">
        <v>18</v>
      </c>
      <c r="B1283" s="35" t="s">
        <v>2253</v>
      </c>
      <c r="C1283" s="35" t="s">
        <v>1335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331</v>
      </c>
      <c r="Y1283" s="35">
        <v>106506.64831169322</v>
      </c>
    </row>
    <row r="1284" spans="1:27" x14ac:dyDescent="0.2">
      <c r="A1284" s="35">
        <v>19</v>
      </c>
      <c r="B1284" s="35" t="s">
        <v>330</v>
      </c>
      <c r="C1284" s="35" t="s">
        <v>1414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2137</v>
      </c>
    </row>
    <row r="1285" spans="1:27" x14ac:dyDescent="0.2">
      <c r="A1285" s="35">
        <v>20</v>
      </c>
      <c r="B1285" s="35" t="s">
        <v>1379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2138</v>
      </c>
      <c r="C1286" s="35" t="s">
        <v>1339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2139</v>
      </c>
      <c r="Z1286" s="35" t="s">
        <v>1382</v>
      </c>
    </row>
    <row r="1287" spans="1:27" x14ac:dyDescent="0.2">
      <c r="A1287" s="35">
        <v>22</v>
      </c>
      <c r="B1287" s="35" t="s">
        <v>1866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2254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2322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2256</v>
      </c>
    </row>
    <row r="1290" spans="1:27" x14ac:dyDescent="0.2">
      <c r="A1290" s="35">
        <v>24</v>
      </c>
      <c r="B1290" s="35" t="s">
        <v>1380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2257</v>
      </c>
    </row>
    <row r="1291" spans="1:27" x14ac:dyDescent="0.2">
      <c r="A1291" s="35">
        <v>25</v>
      </c>
      <c r="B1291" s="35" t="s">
        <v>1381</v>
      </c>
      <c r="C1291" s="35" t="s">
        <v>34</v>
      </c>
      <c r="D1291" s="36">
        <v>0</v>
      </c>
      <c r="F1291" s="277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331</v>
      </c>
      <c r="Z1291" s="35">
        <v>1120643.337309584</v>
      </c>
      <c r="AA1291" s="35" t="s">
        <v>2258</v>
      </c>
    </row>
    <row r="1292" spans="1:27" x14ac:dyDescent="0.2">
      <c r="A1292" s="35">
        <v>26</v>
      </c>
      <c r="B1292" s="35" t="s">
        <v>330</v>
      </c>
      <c r="C1292" s="35" t="s">
        <v>1410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2368</v>
      </c>
    </row>
    <row r="1293" spans="1:27" x14ac:dyDescent="0.2">
      <c r="A1293" s="35">
        <v>27</v>
      </c>
      <c r="B1293" s="35" t="s">
        <v>332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2255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331</v>
      </c>
      <c r="Y1294" s="35">
        <v>452406</v>
      </c>
    </row>
    <row r="1295" spans="1:27" x14ac:dyDescent="0.2">
      <c r="A1295" s="35">
        <v>29</v>
      </c>
      <c r="B1295" s="35" t="s">
        <v>1383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1835</v>
      </c>
    </row>
    <row r="1297" spans="1:24" x14ac:dyDescent="0.2">
      <c r="A1297" s="35">
        <v>30</v>
      </c>
      <c r="B1297" s="35" t="s">
        <v>1089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1090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1384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1385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1386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1387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1388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855</v>
      </c>
      <c r="F1310" s="36"/>
    </row>
    <row r="1311" spans="1:24" x14ac:dyDescent="0.2">
      <c r="F1311" s="36"/>
    </row>
    <row r="1312" spans="1:24" x14ac:dyDescent="0.2">
      <c r="B1312" s="35" t="s">
        <v>856</v>
      </c>
      <c r="F1312" s="36"/>
    </row>
    <row r="1313" spans="1:25" x14ac:dyDescent="0.2">
      <c r="B1313" s="35" t="s">
        <v>857</v>
      </c>
      <c r="F1313" s="36"/>
    </row>
    <row r="1314" spans="1:25" x14ac:dyDescent="0.2">
      <c r="B1314" s="35" t="s">
        <v>858</v>
      </c>
      <c r="F1314" s="36"/>
    </row>
    <row r="1315" spans="1:25" x14ac:dyDescent="0.2">
      <c r="A1315" s="35">
        <v>1</v>
      </c>
      <c r="B1315" s="35" t="s">
        <v>859</v>
      </c>
      <c r="C1315" s="35" t="s">
        <v>1440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1867</v>
      </c>
    </row>
    <row r="1316" spans="1:25" x14ac:dyDescent="0.2">
      <c r="A1316" s="35">
        <v>2</v>
      </c>
      <c r="B1316" s="35" t="s">
        <v>860</v>
      </c>
      <c r="C1316" s="35" t="s">
        <v>1440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1867</v>
      </c>
    </row>
    <row r="1317" spans="1:25" x14ac:dyDescent="0.2">
      <c r="A1317" s="35">
        <v>3</v>
      </c>
      <c r="B1317" s="35" t="s">
        <v>861</v>
      </c>
      <c r="C1317" s="35" t="s">
        <v>1440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1867</v>
      </c>
    </row>
    <row r="1318" spans="1:25" x14ac:dyDescent="0.2">
      <c r="A1318" s="35">
        <v>4</v>
      </c>
      <c r="B1318" s="35" t="s">
        <v>862</v>
      </c>
      <c r="C1318" s="35" t="s">
        <v>1440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1867</v>
      </c>
    </row>
    <row r="1319" spans="1:25" x14ac:dyDescent="0.2">
      <c r="A1319" s="35">
        <v>5</v>
      </c>
      <c r="B1319" s="35" t="s">
        <v>863</v>
      </c>
      <c r="C1319" s="35" t="s">
        <v>1440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1867</v>
      </c>
    </row>
    <row r="1320" spans="1:25" x14ac:dyDescent="0.2">
      <c r="F1320" s="36"/>
    </row>
    <row r="1321" spans="1:25" x14ac:dyDescent="0.2">
      <c r="A1321" s="35">
        <v>6</v>
      </c>
      <c r="B1321" s="35" t="s">
        <v>864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865</v>
      </c>
      <c r="F1323" s="36"/>
    </row>
    <row r="1324" spans="1:25" x14ac:dyDescent="0.2">
      <c r="A1324" s="35">
        <v>7</v>
      </c>
      <c r="B1324" s="35" t="s">
        <v>866</v>
      </c>
      <c r="C1324" s="35" t="s">
        <v>948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1867</v>
      </c>
    </row>
    <row r="1325" spans="1:25" x14ac:dyDescent="0.2">
      <c r="A1325" s="35">
        <v>8</v>
      </c>
      <c r="B1325" s="35" t="s">
        <v>867</v>
      </c>
      <c r="C1325" s="35" t="s">
        <v>948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1867</v>
      </c>
    </row>
    <row r="1326" spans="1:25" x14ac:dyDescent="0.2">
      <c r="A1326" s="35">
        <v>9</v>
      </c>
      <c r="B1326" s="35" t="s">
        <v>868</v>
      </c>
      <c r="C1326" s="35" t="s">
        <v>948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1867</v>
      </c>
    </row>
    <row r="1327" spans="1:25" x14ac:dyDescent="0.2">
      <c r="A1327" s="35">
        <v>10</v>
      </c>
      <c r="B1327" s="35" t="s">
        <v>869</v>
      </c>
      <c r="C1327" s="35" t="s">
        <v>948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1867</v>
      </c>
    </row>
    <row r="1328" spans="1:25" x14ac:dyDescent="0.2">
      <c r="A1328" s="35">
        <v>11</v>
      </c>
      <c r="B1328" s="35" t="s">
        <v>870</v>
      </c>
      <c r="C1328" s="35" t="s">
        <v>948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1867</v>
      </c>
    </row>
    <row r="1329" spans="1:25" x14ac:dyDescent="0.2">
      <c r="A1329" s="35">
        <v>12</v>
      </c>
      <c r="B1329" s="35" t="s">
        <v>871</v>
      </c>
      <c r="C1329" s="35" t="s">
        <v>948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1867</v>
      </c>
    </row>
    <row r="1330" spans="1:25" x14ac:dyDescent="0.2">
      <c r="A1330" s="35">
        <v>13</v>
      </c>
      <c r="B1330" s="35" t="s">
        <v>872</v>
      </c>
      <c r="C1330" s="35" t="s">
        <v>948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1867</v>
      </c>
    </row>
    <row r="1331" spans="1:25" x14ac:dyDescent="0.2">
      <c r="A1331" s="35">
        <v>14</v>
      </c>
      <c r="B1331" s="35" t="s">
        <v>1248</v>
      </c>
      <c r="C1331" s="35" t="s">
        <v>948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1867</v>
      </c>
    </row>
    <row r="1332" spans="1:25" x14ac:dyDescent="0.2">
      <c r="A1332" s="35">
        <v>15</v>
      </c>
      <c r="B1332" s="35" t="s">
        <v>1249</v>
      </c>
      <c r="C1332" s="35" t="s">
        <v>948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1867</v>
      </c>
    </row>
    <row r="1333" spans="1:25" x14ac:dyDescent="0.2">
      <c r="A1333" s="35">
        <v>16</v>
      </c>
      <c r="B1333" s="35" t="s">
        <v>1250</v>
      </c>
      <c r="C1333" s="35" t="s">
        <v>948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1867</v>
      </c>
    </row>
    <row r="1334" spans="1:25" x14ac:dyDescent="0.2">
      <c r="A1334" s="35">
        <v>17</v>
      </c>
      <c r="B1334" s="35" t="s">
        <v>1251</v>
      </c>
      <c r="C1334" s="35" t="s">
        <v>948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1867</v>
      </c>
    </row>
    <row r="1335" spans="1:25" x14ac:dyDescent="0.2">
      <c r="A1335" s="35">
        <v>18</v>
      </c>
      <c r="B1335" s="35" t="s">
        <v>1252</v>
      </c>
      <c r="C1335" s="35" t="s">
        <v>948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1867</v>
      </c>
    </row>
    <row r="1336" spans="1:25" x14ac:dyDescent="0.2">
      <c r="A1336" s="35">
        <v>19</v>
      </c>
      <c r="B1336" s="35" t="s">
        <v>2323</v>
      </c>
      <c r="C1336" s="35" t="s">
        <v>948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1867</v>
      </c>
    </row>
    <row r="1337" spans="1:25" x14ac:dyDescent="0.2">
      <c r="A1337" s="35">
        <v>20</v>
      </c>
      <c r="B1337" s="35" t="s">
        <v>1253</v>
      </c>
      <c r="C1337" s="35" t="s">
        <v>948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1867</v>
      </c>
    </row>
    <row r="1338" spans="1:25" x14ac:dyDescent="0.2">
      <c r="A1338" s="35">
        <v>21</v>
      </c>
      <c r="B1338" s="35" t="s">
        <v>1254</v>
      </c>
      <c r="C1338" s="35" t="s">
        <v>948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1867</v>
      </c>
    </row>
    <row r="1339" spans="1:25" x14ac:dyDescent="0.2">
      <c r="A1339" s="35">
        <v>22</v>
      </c>
      <c r="B1339" s="35" t="s">
        <v>1255</v>
      </c>
      <c r="C1339" s="35" t="s">
        <v>948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1867</v>
      </c>
    </row>
    <row r="1340" spans="1:25" x14ac:dyDescent="0.2">
      <c r="A1340" s="35">
        <v>23</v>
      </c>
      <c r="B1340" s="35" t="s">
        <v>1256</v>
      </c>
      <c r="C1340" s="35" t="s">
        <v>948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1867</v>
      </c>
    </row>
    <row r="1341" spans="1:25" x14ac:dyDescent="0.2">
      <c r="A1341" s="35">
        <v>24</v>
      </c>
      <c r="B1341" s="35" t="s">
        <v>1257</v>
      </c>
      <c r="C1341" s="35" t="s">
        <v>948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1867</v>
      </c>
    </row>
    <row r="1342" spans="1:25" x14ac:dyDescent="0.2">
      <c r="A1342" s="35">
        <v>25</v>
      </c>
      <c r="B1342" s="35" t="s">
        <v>1258</v>
      </c>
      <c r="C1342" s="35" t="s">
        <v>948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1867</v>
      </c>
    </row>
    <row r="1343" spans="1:25" x14ac:dyDescent="0.2">
      <c r="A1343" s="35">
        <v>26</v>
      </c>
      <c r="B1343" s="35" t="s">
        <v>1259</v>
      </c>
      <c r="C1343" s="35" t="s">
        <v>948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1867</v>
      </c>
    </row>
    <row r="1344" spans="1:25" x14ac:dyDescent="0.2">
      <c r="A1344" s="35">
        <v>27</v>
      </c>
      <c r="B1344" s="35" t="s">
        <v>1260</v>
      </c>
      <c r="C1344" s="35" t="s">
        <v>948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1867</v>
      </c>
    </row>
    <row r="1345" spans="1:25" x14ac:dyDescent="0.2">
      <c r="A1345" s="35">
        <v>28</v>
      </c>
      <c r="B1345" s="35" t="s">
        <v>1261</v>
      </c>
      <c r="C1345" s="35" t="s">
        <v>948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1867</v>
      </c>
    </row>
    <row r="1346" spans="1:25" x14ac:dyDescent="0.2">
      <c r="A1346" s="35">
        <v>29</v>
      </c>
      <c r="B1346" s="35" t="s">
        <v>1262</v>
      </c>
      <c r="C1346" s="35" t="s">
        <v>948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1867</v>
      </c>
    </row>
    <row r="1347" spans="1:25" x14ac:dyDescent="0.2">
      <c r="A1347" s="35">
        <v>30</v>
      </c>
      <c r="B1347" s="35" t="s">
        <v>1263</v>
      </c>
      <c r="C1347" s="35" t="s">
        <v>948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1867</v>
      </c>
    </row>
    <row r="1348" spans="1:25" x14ac:dyDescent="0.2">
      <c r="A1348" s="35">
        <v>31</v>
      </c>
      <c r="B1348" s="35" t="s">
        <v>1264</v>
      </c>
      <c r="C1348" s="35" t="s">
        <v>948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1867</v>
      </c>
    </row>
    <row r="1349" spans="1:25" x14ac:dyDescent="0.2">
      <c r="A1349" s="35">
        <v>32</v>
      </c>
      <c r="B1349" s="35" t="s">
        <v>1265</v>
      </c>
      <c r="C1349" s="35" t="s">
        <v>948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1867</v>
      </c>
    </row>
    <row r="1350" spans="1:25" x14ac:dyDescent="0.2">
      <c r="F1350" s="36"/>
    </row>
    <row r="1351" spans="1:25" x14ac:dyDescent="0.2">
      <c r="A1351" s="35">
        <v>33</v>
      </c>
      <c r="B1351" s="35" t="s">
        <v>1266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1267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1268</v>
      </c>
      <c r="F1358" s="36"/>
    </row>
    <row r="1359" spans="1:25" x14ac:dyDescent="0.2">
      <c r="A1359" s="35">
        <v>1</v>
      </c>
      <c r="B1359" s="35" t="s">
        <v>1269</v>
      </c>
      <c r="C1359" s="35" t="s">
        <v>2220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1867</v>
      </c>
    </row>
    <row r="1360" spans="1:25" x14ac:dyDescent="0.2">
      <c r="A1360" s="35">
        <v>2</v>
      </c>
      <c r="B1360" s="35" t="s">
        <v>1270</v>
      </c>
      <c r="C1360" s="35" t="s">
        <v>2220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1867</v>
      </c>
    </row>
    <row r="1361" spans="1:25" x14ac:dyDescent="0.2">
      <c r="A1361" s="35">
        <v>3</v>
      </c>
      <c r="B1361" s="35" t="s">
        <v>1271</v>
      </c>
      <c r="C1361" s="35" t="s">
        <v>2220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1867</v>
      </c>
    </row>
    <row r="1362" spans="1:25" x14ac:dyDescent="0.2">
      <c r="A1362" s="35">
        <v>4</v>
      </c>
      <c r="B1362" s="35" t="s">
        <v>1272</v>
      </c>
      <c r="C1362" s="35" t="s">
        <v>2220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1867</v>
      </c>
    </row>
    <row r="1363" spans="1:25" x14ac:dyDescent="0.2">
      <c r="A1363" s="35">
        <v>5</v>
      </c>
      <c r="B1363" s="35" t="s">
        <v>1273</v>
      </c>
      <c r="C1363" s="35" t="s">
        <v>2220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1867</v>
      </c>
    </row>
    <row r="1364" spans="1:25" x14ac:dyDescent="0.2">
      <c r="A1364" s="35">
        <v>6</v>
      </c>
      <c r="B1364" s="35" t="s">
        <v>1274</v>
      </c>
      <c r="C1364" s="35" t="s">
        <v>2220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1867</v>
      </c>
    </row>
    <row r="1365" spans="1:25" x14ac:dyDescent="0.2">
      <c r="A1365" s="35">
        <v>7</v>
      </c>
      <c r="B1365" s="35" t="s">
        <v>1275</v>
      </c>
      <c r="C1365" s="35" t="s">
        <v>2220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1867</v>
      </c>
    </row>
    <row r="1366" spans="1:25" x14ac:dyDescent="0.2">
      <c r="A1366" s="35">
        <v>8</v>
      </c>
      <c r="B1366" s="35" t="s">
        <v>1276</v>
      </c>
      <c r="C1366" s="35" t="s">
        <v>2220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1867</v>
      </c>
    </row>
    <row r="1367" spans="1:25" x14ac:dyDescent="0.2">
      <c r="A1367" s="35">
        <v>9</v>
      </c>
      <c r="B1367" s="35" t="s">
        <v>1277</v>
      </c>
      <c r="C1367" s="35" t="s">
        <v>2220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1867</v>
      </c>
    </row>
    <row r="1368" spans="1:25" x14ac:dyDescent="0.2">
      <c r="A1368" s="35">
        <v>10</v>
      </c>
      <c r="B1368" s="35" t="s">
        <v>1278</v>
      </c>
      <c r="C1368" s="35" t="s">
        <v>2220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1867</v>
      </c>
    </row>
    <row r="1369" spans="1:25" x14ac:dyDescent="0.2">
      <c r="A1369" s="35">
        <v>11</v>
      </c>
      <c r="B1369" s="35" t="s">
        <v>1279</v>
      </c>
      <c r="C1369" s="35" t="s">
        <v>2220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1867</v>
      </c>
    </row>
    <row r="1370" spans="1:25" x14ac:dyDescent="0.2">
      <c r="A1370" s="35">
        <v>12</v>
      </c>
      <c r="B1370" s="35" t="s">
        <v>1280</v>
      </c>
      <c r="C1370" s="35" t="s">
        <v>2220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1867</v>
      </c>
    </row>
    <row r="1371" spans="1:25" x14ac:dyDescent="0.2">
      <c r="F1371" s="36"/>
    </row>
    <row r="1372" spans="1:25" x14ac:dyDescent="0.2">
      <c r="A1372" s="35">
        <v>13</v>
      </c>
      <c r="B1372" s="35" t="s">
        <v>1281</v>
      </c>
      <c r="C1372" s="35" t="s">
        <v>2220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1282</v>
      </c>
      <c r="F1374" s="36"/>
    </row>
    <row r="1375" spans="1:25" x14ac:dyDescent="0.2">
      <c r="A1375" s="35">
        <v>1</v>
      </c>
      <c r="B1375" s="35" t="s">
        <v>1283</v>
      </c>
      <c r="C1375" s="35" t="s">
        <v>1505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1867</v>
      </c>
    </row>
    <row r="1376" spans="1:25" x14ac:dyDescent="0.2">
      <c r="A1376" s="35">
        <v>2</v>
      </c>
      <c r="B1376" s="35" t="s">
        <v>1284</v>
      </c>
      <c r="C1376" s="35" t="s">
        <v>1505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1867</v>
      </c>
    </row>
    <row r="1377" spans="1:25" x14ac:dyDescent="0.2">
      <c r="A1377" s="35">
        <v>3</v>
      </c>
      <c r="B1377" s="35" t="s">
        <v>1285</v>
      </c>
      <c r="C1377" s="35" t="s">
        <v>1505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1867</v>
      </c>
    </row>
    <row r="1378" spans="1:25" x14ac:dyDescent="0.2">
      <c r="A1378" s="35">
        <v>4</v>
      </c>
      <c r="B1378" s="35" t="s">
        <v>1286</v>
      </c>
      <c r="C1378" s="35" t="s">
        <v>1505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1867</v>
      </c>
    </row>
    <row r="1379" spans="1:25" x14ac:dyDescent="0.2">
      <c r="A1379" s="35">
        <v>5</v>
      </c>
      <c r="B1379" s="35" t="s">
        <v>1287</v>
      </c>
      <c r="C1379" s="35" t="s">
        <v>1505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1867</v>
      </c>
    </row>
    <row r="1380" spans="1:25" x14ac:dyDescent="0.2">
      <c r="A1380" s="35">
        <v>6</v>
      </c>
      <c r="B1380" s="35" t="s">
        <v>1288</v>
      </c>
      <c r="C1380" s="35" t="s">
        <v>1505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1867</v>
      </c>
    </row>
    <row r="1381" spans="1:25" x14ac:dyDescent="0.2">
      <c r="A1381" s="35">
        <v>7</v>
      </c>
      <c r="B1381" s="35" t="s">
        <v>1289</v>
      </c>
      <c r="C1381" s="35" t="s">
        <v>1505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1867</v>
      </c>
    </row>
    <row r="1382" spans="1:25" x14ac:dyDescent="0.2">
      <c r="A1382" s="35">
        <v>8</v>
      </c>
      <c r="B1382" s="35" t="s">
        <v>1290</v>
      </c>
      <c r="C1382" s="35" t="s">
        <v>1505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1867</v>
      </c>
    </row>
    <row r="1383" spans="1:25" x14ac:dyDescent="0.2">
      <c r="A1383" s="35">
        <v>9</v>
      </c>
      <c r="B1383" s="35" t="s">
        <v>1291</v>
      </c>
      <c r="C1383" s="35" t="s">
        <v>1505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1867</v>
      </c>
    </row>
    <row r="1384" spans="1:25" x14ac:dyDescent="0.2">
      <c r="A1384" s="35">
        <v>10</v>
      </c>
      <c r="B1384" s="35" t="s">
        <v>1292</v>
      </c>
      <c r="C1384" s="35" t="s">
        <v>1505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1867</v>
      </c>
    </row>
    <row r="1385" spans="1:25" x14ac:dyDescent="0.2">
      <c r="A1385" s="35">
        <v>11</v>
      </c>
      <c r="B1385" s="35" t="s">
        <v>1293</v>
      </c>
      <c r="C1385" s="35" t="s">
        <v>1505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1867</v>
      </c>
    </row>
    <row r="1386" spans="1:25" x14ac:dyDescent="0.2">
      <c r="A1386" s="35">
        <v>12</v>
      </c>
      <c r="B1386" s="35" t="s">
        <v>1531</v>
      </c>
      <c r="C1386" s="35" t="s">
        <v>1505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1867</v>
      </c>
    </row>
    <row r="1387" spans="1:25" x14ac:dyDescent="0.2">
      <c r="A1387" s="35">
        <v>13</v>
      </c>
      <c r="B1387" s="35" t="s">
        <v>1294</v>
      </c>
      <c r="C1387" s="35" t="s">
        <v>1505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1867</v>
      </c>
    </row>
    <row r="1388" spans="1:25" x14ac:dyDescent="0.2">
      <c r="A1388" s="35">
        <v>14</v>
      </c>
      <c r="B1388" s="35" t="s">
        <v>1295</v>
      </c>
      <c r="C1388" s="35" t="s">
        <v>1505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1867</v>
      </c>
    </row>
    <row r="1389" spans="1:25" x14ac:dyDescent="0.2">
      <c r="A1389" s="35">
        <v>15</v>
      </c>
      <c r="B1389" s="35" t="s">
        <v>1296</v>
      </c>
      <c r="C1389" s="35" t="s">
        <v>1505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1867</v>
      </c>
    </row>
    <row r="1390" spans="1:25" x14ac:dyDescent="0.2">
      <c r="A1390" s="35">
        <v>16</v>
      </c>
      <c r="B1390" s="35" t="s">
        <v>1297</v>
      </c>
      <c r="C1390" s="35" t="s">
        <v>1505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1867</v>
      </c>
    </row>
    <row r="1391" spans="1:25" x14ac:dyDescent="0.2">
      <c r="A1391" s="35">
        <v>17</v>
      </c>
      <c r="B1391" s="35" t="s">
        <v>1298</v>
      </c>
      <c r="C1391" s="35" t="s">
        <v>1505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1867</v>
      </c>
    </row>
    <row r="1392" spans="1:25" x14ac:dyDescent="0.2">
      <c r="A1392" s="35">
        <v>18</v>
      </c>
      <c r="B1392" s="35" t="s">
        <v>1299</v>
      </c>
      <c r="C1392" s="35" t="s">
        <v>1505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1867</v>
      </c>
    </row>
    <row r="1393" spans="1:25" x14ac:dyDescent="0.2">
      <c r="A1393" s="35">
        <v>19</v>
      </c>
      <c r="B1393" s="35" t="s">
        <v>914</v>
      </c>
      <c r="C1393" s="35" t="s">
        <v>1505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1867</v>
      </c>
    </row>
    <row r="1394" spans="1:25" x14ac:dyDescent="0.2">
      <c r="F1394" s="36"/>
    </row>
    <row r="1395" spans="1:25" x14ac:dyDescent="0.2">
      <c r="A1395" s="35">
        <v>20</v>
      </c>
      <c r="B1395" s="35" t="s">
        <v>915</v>
      </c>
      <c r="C1395" s="35" t="s">
        <v>1505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916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917</v>
      </c>
      <c r="F1402" s="36"/>
    </row>
    <row r="1403" spans="1:25" x14ac:dyDescent="0.2">
      <c r="A1403" s="35">
        <v>1</v>
      </c>
      <c r="B1403" s="35" t="s">
        <v>918</v>
      </c>
      <c r="C1403" s="35" t="s">
        <v>1994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1867</v>
      </c>
    </row>
    <row r="1404" spans="1:25" x14ac:dyDescent="0.2">
      <c r="A1404" s="35">
        <v>2</v>
      </c>
      <c r="B1404" s="35" t="s">
        <v>919</v>
      </c>
      <c r="C1404" s="35" t="s">
        <v>1994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1867</v>
      </c>
    </row>
    <row r="1405" spans="1:25" x14ac:dyDescent="0.2">
      <c r="A1405" s="35">
        <v>3</v>
      </c>
      <c r="B1405" s="35" t="s">
        <v>920</v>
      </c>
      <c r="C1405" s="35" t="s">
        <v>1994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1867</v>
      </c>
    </row>
    <row r="1406" spans="1:25" x14ac:dyDescent="0.2">
      <c r="A1406" s="35">
        <v>4</v>
      </c>
      <c r="B1406" s="35" t="s">
        <v>921</v>
      </c>
      <c r="C1406" s="35" t="s">
        <v>1994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1867</v>
      </c>
    </row>
    <row r="1407" spans="1:25" x14ac:dyDescent="0.2">
      <c r="A1407" s="35">
        <v>5</v>
      </c>
      <c r="B1407" s="35" t="s">
        <v>922</v>
      </c>
      <c r="C1407" s="35" t="s">
        <v>1994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1867</v>
      </c>
    </row>
    <row r="1408" spans="1:25" x14ac:dyDescent="0.2">
      <c r="F1408" s="36"/>
    </row>
    <row r="1409" spans="1:25" x14ac:dyDescent="0.2">
      <c r="A1409" s="35">
        <v>6</v>
      </c>
      <c r="B1409" s="35" t="s">
        <v>923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924</v>
      </c>
      <c r="F1411" s="36"/>
    </row>
    <row r="1412" spans="1:25" x14ac:dyDescent="0.2">
      <c r="A1412" s="35">
        <v>7</v>
      </c>
      <c r="B1412" s="35" t="s">
        <v>925</v>
      </c>
      <c r="C1412" s="35" t="s">
        <v>1995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1867</v>
      </c>
    </row>
    <row r="1413" spans="1:25" x14ac:dyDescent="0.2">
      <c r="A1413" s="35">
        <v>8</v>
      </c>
      <c r="B1413" s="35" t="s">
        <v>926</v>
      </c>
      <c r="C1413" s="35" t="s">
        <v>1995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1867</v>
      </c>
    </row>
    <row r="1414" spans="1:25" x14ac:dyDescent="0.2">
      <c r="A1414" s="35">
        <v>9</v>
      </c>
      <c r="B1414" s="35" t="s">
        <v>927</v>
      </c>
      <c r="C1414" s="35" t="s">
        <v>1995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1867</v>
      </c>
    </row>
    <row r="1415" spans="1:25" x14ac:dyDescent="0.2">
      <c r="A1415" s="35">
        <v>10</v>
      </c>
      <c r="B1415" s="35" t="s">
        <v>928</v>
      </c>
      <c r="C1415" s="35" t="s">
        <v>1995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1867</v>
      </c>
    </row>
    <row r="1416" spans="1:25" x14ac:dyDescent="0.2">
      <c r="A1416" s="35">
        <v>11</v>
      </c>
      <c r="B1416" s="35" t="s">
        <v>1075</v>
      </c>
      <c r="C1416" s="35" t="s">
        <v>1995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1867</v>
      </c>
    </row>
    <row r="1417" spans="1:25" x14ac:dyDescent="0.2">
      <c r="A1417" s="35">
        <v>12</v>
      </c>
      <c r="B1417" s="35" t="s">
        <v>1076</v>
      </c>
      <c r="C1417" s="35" t="s">
        <v>1995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1867</v>
      </c>
    </row>
    <row r="1418" spans="1:25" x14ac:dyDescent="0.2">
      <c r="A1418" s="35">
        <v>13</v>
      </c>
      <c r="B1418" s="35" t="s">
        <v>1077</v>
      </c>
      <c r="C1418" s="35" t="s">
        <v>1995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1867</v>
      </c>
    </row>
    <row r="1419" spans="1:25" x14ac:dyDescent="0.2">
      <c r="F1419" s="36"/>
    </row>
    <row r="1420" spans="1:25" x14ac:dyDescent="0.2">
      <c r="A1420" s="35">
        <v>14</v>
      </c>
      <c r="B1420" s="35" t="s">
        <v>1389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1390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1391</v>
      </c>
      <c r="F1424" s="36"/>
    </row>
    <row r="1425" spans="1:25" x14ac:dyDescent="0.2">
      <c r="A1425" s="35">
        <v>16</v>
      </c>
      <c r="B1425" s="35" t="s">
        <v>1392</v>
      </c>
      <c r="C1425" s="35" t="s">
        <v>1493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1867</v>
      </c>
    </row>
    <row r="1426" spans="1:25" x14ac:dyDescent="0.2">
      <c r="A1426" s="35">
        <v>17</v>
      </c>
      <c r="B1426" s="35" t="s">
        <v>1393</v>
      </c>
      <c r="C1426" s="35" t="s">
        <v>1493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1867</v>
      </c>
    </row>
    <row r="1427" spans="1:25" x14ac:dyDescent="0.2">
      <c r="A1427" s="35">
        <v>18</v>
      </c>
      <c r="B1427" s="35" t="s">
        <v>1394</v>
      </c>
      <c r="C1427" s="35" t="s">
        <v>1493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1867</v>
      </c>
    </row>
    <row r="1428" spans="1:25" x14ac:dyDescent="0.2">
      <c r="A1428" s="35">
        <v>19</v>
      </c>
      <c r="B1428" s="35" t="s">
        <v>1395</v>
      </c>
      <c r="C1428" s="35" t="s">
        <v>1493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1867</v>
      </c>
    </row>
    <row r="1429" spans="1:25" x14ac:dyDescent="0.2">
      <c r="A1429" s="35">
        <v>20</v>
      </c>
      <c r="B1429" s="35" t="s">
        <v>1396</v>
      </c>
      <c r="C1429" s="35" t="s">
        <v>1493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1867</v>
      </c>
    </row>
    <row r="1430" spans="1:25" x14ac:dyDescent="0.2">
      <c r="A1430" s="35">
        <v>21</v>
      </c>
      <c r="B1430" s="35" t="s">
        <v>1397</v>
      </c>
      <c r="C1430" s="35" t="s">
        <v>1493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1867</v>
      </c>
    </row>
    <row r="1431" spans="1:25" x14ac:dyDescent="0.2">
      <c r="A1431" s="35">
        <v>22</v>
      </c>
      <c r="B1431" s="35" t="s">
        <v>1398</v>
      </c>
      <c r="C1431" s="35" t="s">
        <v>1493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1867</v>
      </c>
    </row>
    <row r="1432" spans="1:25" x14ac:dyDescent="0.2">
      <c r="A1432" s="35">
        <v>23</v>
      </c>
      <c r="B1432" s="35" t="s">
        <v>1399</v>
      </c>
      <c r="C1432" s="35" t="s">
        <v>1493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1867</v>
      </c>
    </row>
    <row r="1433" spans="1:25" x14ac:dyDescent="0.2">
      <c r="A1433" s="35">
        <v>24</v>
      </c>
      <c r="B1433" s="35" t="s">
        <v>1400</v>
      </c>
      <c r="C1433" s="35" t="s">
        <v>1493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1867</v>
      </c>
    </row>
    <row r="1434" spans="1:25" x14ac:dyDescent="0.2">
      <c r="A1434" s="35">
        <v>25</v>
      </c>
      <c r="B1434" s="35" t="s">
        <v>1401</v>
      </c>
      <c r="C1434" s="35" t="s">
        <v>1493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1867</v>
      </c>
    </row>
    <row r="1435" spans="1:25" x14ac:dyDescent="0.2">
      <c r="A1435" s="35">
        <v>26</v>
      </c>
      <c r="B1435" s="35" t="s">
        <v>1402</v>
      </c>
      <c r="C1435" s="35" t="s">
        <v>1493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1867</v>
      </c>
    </row>
    <row r="1436" spans="1:25" x14ac:dyDescent="0.2">
      <c r="A1436" s="35">
        <v>27</v>
      </c>
      <c r="B1436" s="35" t="s">
        <v>1403</v>
      </c>
      <c r="C1436" s="35" t="s">
        <v>1493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1867</v>
      </c>
    </row>
    <row r="1437" spans="1:25" x14ac:dyDescent="0.2">
      <c r="F1437" s="36"/>
    </row>
    <row r="1438" spans="1:25" x14ac:dyDescent="0.2">
      <c r="A1438" s="35">
        <v>28</v>
      </c>
      <c r="B1438" s="35" t="s">
        <v>1404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1405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581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658" activePane="bottomRight" state="frozen"/>
      <selection pane="topRight" activeCell="G1" sqref="G1"/>
      <selection pane="bottomLeft" activeCell="A4" sqref="A4"/>
      <selection pane="bottomRight" activeCell="H146" sqref="H146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28515625" style="97" customWidth="1"/>
    <col min="11" max="11" width="18" style="97" customWidth="1"/>
    <col min="12" max="13" width="18.710937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336" t="s">
        <v>1688</v>
      </c>
      <c r="I2" s="337"/>
      <c r="J2" s="338"/>
      <c r="K2" s="336" t="s">
        <v>1689</v>
      </c>
      <c r="L2" s="337"/>
      <c r="M2" s="338"/>
      <c r="N2" s="86"/>
      <c r="O2" s="88" t="s">
        <v>970</v>
      </c>
      <c r="P2" s="310"/>
      <c r="Q2" s="310"/>
      <c r="R2" s="87"/>
      <c r="S2" s="88" t="s">
        <v>1693</v>
      </c>
      <c r="T2" s="88" t="s">
        <v>1694</v>
      </c>
      <c r="U2" s="336" t="s">
        <v>136</v>
      </c>
      <c r="V2" s="337"/>
      <c r="W2" s="338"/>
      <c r="X2" s="334" t="s">
        <v>135</v>
      </c>
      <c r="Y2" s="335"/>
      <c r="Z2" s="334" t="s">
        <v>137</v>
      </c>
      <c r="AA2" s="335"/>
      <c r="AB2" s="88" t="s">
        <v>134</v>
      </c>
      <c r="AC2" s="88" t="s">
        <v>133</v>
      </c>
      <c r="AD2" s="88" t="s">
        <v>1697</v>
      </c>
      <c r="AE2" s="89"/>
      <c r="AF2" s="88" t="s">
        <v>308</v>
      </c>
      <c r="AG2" s="29"/>
      <c r="AH2" s="88" t="s">
        <v>1696</v>
      </c>
      <c r="AI2" s="29"/>
      <c r="AJ2" s="88" t="s">
        <v>1695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912</v>
      </c>
      <c r="I3" s="22" t="s">
        <v>1690</v>
      </c>
      <c r="J3" s="22" t="s">
        <v>1691</v>
      </c>
      <c r="K3" s="22" t="s">
        <v>912</v>
      </c>
      <c r="L3" s="22" t="s">
        <v>1690</v>
      </c>
      <c r="M3" s="22" t="s">
        <v>1691</v>
      </c>
      <c r="N3" s="22"/>
      <c r="O3" s="189" t="s">
        <v>109</v>
      </c>
      <c r="P3" s="22"/>
      <c r="Q3" s="22"/>
      <c r="R3" s="22"/>
      <c r="S3" s="22" t="s">
        <v>1692</v>
      </c>
      <c r="T3" s="22" t="s">
        <v>1547</v>
      </c>
      <c r="U3" s="22" t="s">
        <v>1692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461</v>
      </c>
      <c r="AL7" s="98"/>
    </row>
    <row r="8" spans="1:38" x14ac:dyDescent="0.25">
      <c r="A8" s="99">
        <v>301</v>
      </c>
      <c r="B8" s="97" t="s">
        <v>464</v>
      </c>
      <c r="C8" s="97" t="s">
        <v>465</v>
      </c>
      <c r="D8" s="97" t="s">
        <v>492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463</v>
      </c>
      <c r="C9" s="97" t="s">
        <v>465</v>
      </c>
      <c r="D9" s="97" t="s">
        <v>492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1640</v>
      </c>
      <c r="C10" s="97" t="s">
        <v>466</v>
      </c>
      <c r="D10" s="97" t="s">
        <v>492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1536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1537</v>
      </c>
      <c r="C16" s="97" t="s">
        <v>1538</v>
      </c>
      <c r="D16" s="97" t="s">
        <v>731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1641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1642</v>
      </c>
      <c r="C20" s="97" t="s">
        <v>1643</v>
      </c>
      <c r="D20" s="97" t="s">
        <v>731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1539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1540</v>
      </c>
      <c r="C24" s="97" t="s">
        <v>1541</v>
      </c>
      <c r="D24" s="97" t="s">
        <v>731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1542</v>
      </c>
      <c r="C26" s="97" t="s">
        <v>1543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458</v>
      </c>
      <c r="Y28" s="97"/>
      <c r="AL28" s="98"/>
    </row>
    <row r="29" spans="1:38" x14ac:dyDescent="0.25">
      <c r="A29" s="103"/>
      <c r="B29" s="97" t="s">
        <v>1644</v>
      </c>
      <c r="C29" s="97" t="s">
        <v>459</v>
      </c>
      <c r="D29" s="97" t="s">
        <v>491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1645</v>
      </c>
      <c r="C30" s="97" t="s">
        <v>1356</v>
      </c>
      <c r="D30" s="97" t="s">
        <v>491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462</v>
      </c>
      <c r="C32" s="97" t="s">
        <v>490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1646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1647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1648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1649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1650</v>
      </c>
      <c r="C39" s="97" t="s">
        <v>1684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1651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1652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1653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1654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492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469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492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1544</v>
      </c>
      <c r="C59" s="97" t="s">
        <v>1545</v>
      </c>
      <c r="D59" s="97" t="s">
        <v>492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467</v>
      </c>
      <c r="C60" s="97" t="s">
        <v>468</v>
      </c>
      <c r="D60" s="97" t="s">
        <v>492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2324</v>
      </c>
      <c r="C61" s="97" t="s">
        <v>524</v>
      </c>
      <c r="D61" s="97" t="s">
        <v>1543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2325</v>
      </c>
      <c r="C62" s="97" t="s">
        <v>524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1357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 t="shared" ref="O66:Q66" si="36">O12+O16+O20+O24+O32+O45+O57+O59+O60+O61+O62+O64</f>
        <v>918203216.41785061</v>
      </c>
      <c r="P66" s="102">
        <f t="shared" si="36"/>
        <v>0</v>
      </c>
      <c r="Q66" s="102">
        <f t="shared" si="36"/>
        <v>0</v>
      </c>
      <c r="R66" s="102"/>
      <c r="S66" s="102">
        <f t="shared" ref="S66:AD66" si="37">S12+S16+S20+S24+S32+S45+S57+S59+S60+S61+S62+S64</f>
        <v>0</v>
      </c>
      <c r="T66" s="102">
        <f t="shared" si="37"/>
        <v>218458065.31363025</v>
      </c>
      <c r="U66" s="102">
        <f t="shared" si="37"/>
        <v>0</v>
      </c>
      <c r="V66" s="102">
        <f t="shared" si="37"/>
        <v>238051994.97158346</v>
      </c>
      <c r="W66" s="102">
        <f t="shared" si="37"/>
        <v>441445990.99558365</v>
      </c>
      <c r="X66" s="102">
        <f t="shared" si="37"/>
        <v>109588733.72137173</v>
      </c>
      <c r="Y66" s="102">
        <f t="shared" si="37"/>
        <v>167525133.16936862</v>
      </c>
      <c r="Z66" s="102">
        <f t="shared" si="37"/>
        <v>170119798.90670514</v>
      </c>
      <c r="AA66" s="102">
        <f t="shared" si="37"/>
        <v>151386107.93500358</v>
      </c>
      <c r="AB66" s="102">
        <f t="shared" si="37"/>
        <v>101348809.96222259</v>
      </c>
      <c r="AC66" s="102">
        <f t="shared" si="37"/>
        <v>86474242.07543017</v>
      </c>
      <c r="AD66" s="102">
        <f t="shared" si="37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1662</v>
      </c>
      <c r="C71" s="97" t="s">
        <v>1073</v>
      </c>
      <c r="D71" s="97" t="s">
        <v>731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1358</v>
      </c>
      <c r="C72" s="97" t="s">
        <v>1074</v>
      </c>
      <c r="D72" s="97" t="s">
        <v>491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1363</v>
      </c>
      <c r="C73" s="97" t="s">
        <v>509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1362</v>
      </c>
      <c r="C74" s="97" t="s">
        <v>510</v>
      </c>
      <c r="D74" s="97" t="s">
        <v>492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1364</v>
      </c>
      <c r="C75" s="97" t="s">
        <v>511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8">SUM(H71:H75)</f>
        <v>15439091.4716867</v>
      </c>
      <c r="I77" s="100">
        <f t="shared" si="38"/>
        <v>16173425.52342937</v>
      </c>
      <c r="J77" s="100">
        <f t="shared" si="38"/>
        <v>13294501.243134335</v>
      </c>
      <c r="K77" s="100">
        <f>SUM(K71:K75)</f>
        <v>0</v>
      </c>
      <c r="L77" s="100">
        <f t="shared" si="38"/>
        <v>0</v>
      </c>
      <c r="M77" s="100">
        <f t="shared" si="38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9">SUM(S71:S75)</f>
        <v>0</v>
      </c>
      <c r="T77" s="100">
        <f t="shared" si="39"/>
        <v>4841065.5026327893</v>
      </c>
      <c r="U77" s="100">
        <f t="shared" si="39"/>
        <v>0</v>
      </c>
      <c r="V77" s="100">
        <f t="shared" si="39"/>
        <v>5275270.1029159194</v>
      </c>
      <c r="W77" s="100">
        <f t="shared" si="39"/>
        <v>9782513.4321141783</v>
      </c>
      <c r="X77" s="100">
        <f t="shared" si="39"/>
        <v>2428503.7841660418</v>
      </c>
      <c r="Y77" s="100">
        <f t="shared" si="39"/>
        <v>3712383.6185488449</v>
      </c>
      <c r="Z77" s="100">
        <f t="shared" si="39"/>
        <v>3769881.8243205086</v>
      </c>
      <c r="AA77" s="100">
        <f t="shared" si="39"/>
        <v>3354740.2502619517</v>
      </c>
      <c r="AB77" s="100">
        <f t="shared" si="39"/>
        <v>2245905.7619896894</v>
      </c>
      <c r="AC77" s="100">
        <f t="shared" si="39"/>
        <v>1916282.9698078553</v>
      </c>
      <c r="AD77" s="100">
        <f t="shared" si="39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470</v>
      </c>
      <c r="F79" s="100">
        <f>F66+F77</f>
        <v>7089457179.404108</v>
      </c>
      <c r="G79" s="100"/>
      <c r="H79" s="100">
        <f t="shared" ref="H79:M79" si="40">H66+H77</f>
        <v>1475977336.280705</v>
      </c>
      <c r="I79" s="100">
        <f t="shared" si="40"/>
        <v>1546179680.7398345</v>
      </c>
      <c r="J79" s="100">
        <f t="shared" si="40"/>
        <v>1270954483.8183548</v>
      </c>
      <c r="K79" s="100">
        <f>K66+K77</f>
        <v>0</v>
      </c>
      <c r="L79" s="100">
        <f t="shared" si="40"/>
        <v>0</v>
      </c>
      <c r="M79" s="100">
        <f t="shared" si="40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1">S66+S77</f>
        <v>0</v>
      </c>
      <c r="T79" s="100">
        <f t="shared" si="41"/>
        <v>223299130.81626305</v>
      </c>
      <c r="U79" s="100">
        <f t="shared" si="41"/>
        <v>0</v>
      </c>
      <c r="V79" s="100">
        <f t="shared" si="41"/>
        <v>243327265.07449937</v>
      </c>
      <c r="W79" s="100">
        <f t="shared" si="41"/>
        <v>451228504.42769784</v>
      </c>
      <c r="X79" s="100">
        <f t="shared" si="41"/>
        <v>112017237.50553776</v>
      </c>
      <c r="Y79" s="100">
        <f t="shared" si="41"/>
        <v>171237516.78791746</v>
      </c>
      <c r="Z79" s="100">
        <f t="shared" si="41"/>
        <v>173889680.73102564</v>
      </c>
      <c r="AA79" s="100">
        <f t="shared" si="41"/>
        <v>154740848.18526554</v>
      </c>
      <c r="AB79" s="100">
        <f t="shared" si="41"/>
        <v>103594715.72421227</v>
      </c>
      <c r="AC79" s="100">
        <f t="shared" si="41"/>
        <v>88390525.045238018</v>
      </c>
      <c r="AD79" s="100">
        <f t="shared" si="41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2">H66</f>
        <v>1460538244.8090184</v>
      </c>
      <c r="I93" s="102">
        <f t="shared" si="42"/>
        <v>1530006255.2164052</v>
      </c>
      <c r="J93" s="102">
        <f t="shared" si="42"/>
        <v>1257659982.5752206</v>
      </c>
      <c r="K93" s="102">
        <f t="shared" si="42"/>
        <v>0</v>
      </c>
      <c r="L93" s="102">
        <f t="shared" si="42"/>
        <v>0</v>
      </c>
      <c r="M93" s="102">
        <f t="shared" si="42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3">S66</f>
        <v>0</v>
      </c>
      <c r="T93" s="102">
        <f t="shared" si="43"/>
        <v>218458065.31363025</v>
      </c>
      <c r="U93" s="102">
        <f t="shared" si="43"/>
        <v>0</v>
      </c>
      <c r="V93" s="102">
        <f t="shared" si="43"/>
        <v>238051994.97158346</v>
      </c>
      <c r="W93" s="102">
        <f t="shared" si="43"/>
        <v>441445990.99558365</v>
      </c>
      <c r="X93" s="102">
        <f t="shared" si="43"/>
        <v>109588733.72137173</v>
      </c>
      <c r="Y93" s="102">
        <f t="shared" si="43"/>
        <v>167525133.16936862</v>
      </c>
      <c r="Z93" s="102">
        <f t="shared" si="43"/>
        <v>170119798.90670514</v>
      </c>
      <c r="AA93" s="102">
        <f t="shared" si="43"/>
        <v>151386107.93500358</v>
      </c>
      <c r="AB93" s="102">
        <f t="shared" si="43"/>
        <v>101348809.96222259</v>
      </c>
      <c r="AC93" s="102">
        <f t="shared" si="43"/>
        <v>86474242.07543017</v>
      </c>
      <c r="AD93" s="102">
        <f t="shared" si="43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4">H77</f>
        <v>15439091.4716867</v>
      </c>
      <c r="I94" s="106">
        <f t="shared" si="44"/>
        <v>16173425.52342937</v>
      </c>
      <c r="J94" s="106">
        <f t="shared" si="44"/>
        <v>13294501.243134335</v>
      </c>
      <c r="K94" s="106">
        <f>K77</f>
        <v>0</v>
      </c>
      <c r="L94" s="106">
        <f t="shared" si="44"/>
        <v>0</v>
      </c>
      <c r="M94" s="106">
        <f t="shared" si="44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4"/>
        <v>0</v>
      </c>
      <c r="T94" s="106">
        <f>T77</f>
        <v>4841065.5026327893</v>
      </c>
      <c r="U94" s="106">
        <f t="shared" si="44"/>
        <v>0</v>
      </c>
      <c r="V94" s="106">
        <f t="shared" si="44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4"/>
        <v>3769881.8243205086</v>
      </c>
      <c r="AA94" s="106">
        <f t="shared" si="44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4"/>
        <v>2658037.1359213674</v>
      </c>
      <c r="AE94" s="106"/>
      <c r="AF94" s="106">
        <f t="shared" si="44"/>
        <v>0</v>
      </c>
      <c r="AG94" s="106"/>
      <c r="AH94" s="106">
        <f t="shared" si="44"/>
        <v>0</v>
      </c>
      <c r="AI94" s="106"/>
      <c r="AJ94" s="101">
        <f t="shared" si="44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5">H93+H94</f>
        <v>1475977336.280705</v>
      </c>
      <c r="I96" s="102">
        <f t="shared" si="45"/>
        <v>1546179680.7398345</v>
      </c>
      <c r="J96" s="102">
        <f t="shared" si="45"/>
        <v>1270954483.8183548</v>
      </c>
      <c r="K96" s="102">
        <f>K93+K94</f>
        <v>0</v>
      </c>
      <c r="L96" s="102">
        <f t="shared" si="45"/>
        <v>0</v>
      </c>
      <c r="M96" s="102">
        <f t="shared" si="45"/>
        <v>0</v>
      </c>
      <c r="N96" s="102"/>
      <c r="O96" s="102">
        <f t="shared" si="45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5"/>
        <v>0</v>
      </c>
      <c r="T96" s="102">
        <f>T93+T94</f>
        <v>223299130.81626305</v>
      </c>
      <c r="U96" s="102">
        <f t="shared" si="45"/>
        <v>0</v>
      </c>
      <c r="V96" s="102">
        <f t="shared" si="45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5"/>
        <v>173889680.73102564</v>
      </c>
      <c r="AA96" s="102">
        <f t="shared" si="45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5"/>
        <v>122604699.68972704</v>
      </c>
      <c r="AE96" s="102"/>
      <c r="AF96" s="102">
        <f t="shared" si="45"/>
        <v>0</v>
      </c>
      <c r="AG96" s="102"/>
      <c r="AH96" s="102">
        <f t="shared" si="45"/>
        <v>0</v>
      </c>
      <c r="AI96" s="102"/>
      <c r="AJ96" s="102">
        <f t="shared" si="45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1657</v>
      </c>
      <c r="C99" s="97" t="s">
        <v>493</v>
      </c>
      <c r="D99" s="97" t="s">
        <v>731</v>
      </c>
      <c r="F99" s="100">
        <f>'Jurisdictional Study'!F772-210209790</f>
        <v>1351527013.3723688</v>
      </c>
      <c r="H99" s="101">
        <f t="shared" ref="H99:H106" si="46">IF(VLOOKUP($D99,$C$5:$AJ$644,6,)=0,0,((VLOOKUP($D99,$C$5:$AJ$644,6,)/VLOOKUP($D99,$C$5:$AJ$644,4,))*$F99))</f>
        <v>464656750.87147576</v>
      </c>
      <c r="I99" s="101">
        <f t="shared" ref="I99:I106" si="47">IF(VLOOKUP($D99,$C$5:$AJ$644,7,)=0,0,((VLOOKUP($D99,$C$5:$AJ$644,7,)/VLOOKUP($D99,$C$5:$AJ$644,4,))*$F99))</f>
        <v>486757356.67219764</v>
      </c>
      <c r="J99" s="101">
        <f t="shared" ref="J99:J106" si="48">IF(VLOOKUP($D99,$C$5:$AJ$644,8,)=0,0,((VLOOKUP($D99,$C$5:$AJ$644,8,)/VLOOKUP($D99,$C$5:$AJ$644,4,))*$F99))</f>
        <v>400112905.82869542</v>
      </c>
      <c r="K99" s="101">
        <f t="shared" ref="K99:K106" si="49">IF(VLOOKUP($D99,$C$5:$AJ$644,9,)=0,0,((VLOOKUP($D99,$C$5:$AJ$644,9,)/VLOOKUP($D99,$C$5:$AJ$644,4,))*$F99))</f>
        <v>0</v>
      </c>
      <c r="L99" s="101">
        <f t="shared" ref="L99:L106" si="50">IF(VLOOKUP($D99,$C$5:$AJ$644,10,)=0,0,((VLOOKUP($D99,$C$5:$AJ$644,10,)/VLOOKUP($D99,$C$5:$AJ$644,4,))*$F99))</f>
        <v>0</v>
      </c>
      <c r="M99" s="101">
        <f t="shared" ref="M99:M106" si="51">IF(VLOOKUP($D99,$C$5:$AJ$644,11,)=0,0,((VLOOKUP($D99,$C$5:$AJ$644,11,)/VLOOKUP($D99,$C$5:$AJ$644,4,))*$F99))</f>
        <v>0</v>
      </c>
      <c r="N99" s="101"/>
      <c r="O99" s="101">
        <f t="shared" ref="O99:O106" si="52">IF(VLOOKUP($D99,$C$5:$AJ$644,13,)=0,0,((VLOOKUP($D99,$C$5:$AJ$644,13,)/VLOOKUP($D99,$C$5:$AJ$644,4,))*$F99))</f>
        <v>0</v>
      </c>
      <c r="P99" s="101">
        <f t="shared" ref="P99:P106" si="53">IF(VLOOKUP($D99,$C$5:$AJ$644,14,)=0,0,((VLOOKUP($D99,$C$5:$AJ$644,14,)/VLOOKUP($D99,$C$5:$AJ$644,4,))*$F99))</f>
        <v>0</v>
      </c>
      <c r="Q99" s="101">
        <f t="shared" ref="Q99:Q106" si="54">IF(VLOOKUP($D99,$C$5:$AJ$644,15,)=0,0,((VLOOKUP($D99,$C$5:$AJ$644,15,)/VLOOKUP($D99,$C$5:$AJ$644,4,))*$F99))</f>
        <v>0</v>
      </c>
      <c r="R99" s="101"/>
      <c r="S99" s="101">
        <f t="shared" ref="S99:S106" si="55">IF(VLOOKUP($D99,$C$5:$AJ$644,17,)=0,0,((VLOOKUP($D99,$C$5:$AJ$644,17,)/VLOOKUP($D99,$C$5:$AJ$644,4,))*$F99))</f>
        <v>0</v>
      </c>
      <c r="T99" s="101">
        <f t="shared" ref="T99:T106" si="56">IF(VLOOKUP($D99,$C$5:$AJ$644,18,)=0,0,((VLOOKUP($D99,$C$5:$AJ$644,18,)/VLOOKUP($D99,$C$5:$AJ$644,4,))*$F99))</f>
        <v>0</v>
      </c>
      <c r="U99" s="101">
        <f t="shared" ref="U99:U106" si="57">IF(VLOOKUP($D99,$C$5:$AJ$644,19,)=0,0,((VLOOKUP($D99,$C$5:$AJ$644,19,)/VLOOKUP($D99,$C$5:$AJ$644,4,))*$F99))</f>
        <v>0</v>
      </c>
      <c r="V99" s="101">
        <f t="shared" ref="V99:V106" si="58">IF(VLOOKUP($D99,$C$5:$AJ$644,20,)=0,0,((VLOOKUP($D99,$C$5:$AJ$644,20,)/VLOOKUP($D99,$C$5:$AJ$644,4,))*$F99))</f>
        <v>0</v>
      </c>
      <c r="W99" s="101">
        <f t="shared" ref="W99:W106" si="59">IF(VLOOKUP($D99,$C$5:$AJ$644,21,)=0,0,((VLOOKUP($D99,$C$5:$AJ$644,21,)/VLOOKUP($D99,$C$5:$AJ$644,4,))*$F99))</f>
        <v>0</v>
      </c>
      <c r="X99" s="101">
        <f t="shared" ref="X99:X106" si="60">IF(VLOOKUP($D99,$C$5:$AJ$644,22,)=0,0,((VLOOKUP($D99,$C$5:$AJ$644,22,)/VLOOKUP($D99,$C$5:$AJ$644,4,))*$F99))</f>
        <v>0</v>
      </c>
      <c r="Y99" s="101">
        <f t="shared" ref="Y99:Y106" si="61">IF(VLOOKUP($D99,$C$5:$AJ$644,23,)=0,0,((VLOOKUP($D99,$C$5:$AJ$644,23,)/VLOOKUP($D99,$C$5:$AJ$644,4,))*$F99))</f>
        <v>0</v>
      </c>
      <c r="Z99" s="101">
        <f t="shared" ref="Z99:Z106" si="62">IF(VLOOKUP($D99,$C$5:$AJ$644,24,)=0,0,((VLOOKUP($D99,$C$5:$AJ$644,24,)/VLOOKUP($D99,$C$5:$AJ$644,4,))*$F99))</f>
        <v>0</v>
      </c>
      <c r="AA99" s="101">
        <f t="shared" ref="AA99:AA106" si="63">IF(VLOOKUP($D99,$C$5:$AJ$644,25,)=0,0,((VLOOKUP($D99,$C$5:$AJ$644,25,)/VLOOKUP($D99,$C$5:$AJ$644,4,))*$F99))</f>
        <v>0</v>
      </c>
      <c r="AB99" s="101">
        <f t="shared" ref="AB99:AB106" si="64">IF(VLOOKUP($D99,$C$5:$AJ$644,26,)=0,0,((VLOOKUP($D99,$C$5:$AJ$644,26,)/VLOOKUP($D99,$C$5:$AJ$644,4,))*$F99))</f>
        <v>0</v>
      </c>
      <c r="AC99" s="101">
        <f t="shared" ref="AC99:AC106" si="65">IF(VLOOKUP($D99,$C$5:$AJ$644,27,)=0,0,((VLOOKUP($D99,$C$5:$AJ$644,27,)/VLOOKUP($D99,$C$5:$AJ$644,4,))*$F99))</f>
        <v>0</v>
      </c>
      <c r="AD99" s="101">
        <f t="shared" ref="AD99:AD106" si="66">IF(VLOOKUP($D99,$C$5:$AJ$644,28,)=0,0,((VLOOKUP($D99,$C$5:$AJ$644,28,)/VLOOKUP($D99,$C$5:$AJ$644,4,))*$F99))</f>
        <v>0</v>
      </c>
      <c r="AE99" s="101"/>
      <c r="AF99" s="101">
        <f t="shared" ref="AF99:AF106" si="67">IF(VLOOKUP($D99,$C$5:$AJ$644,30,)=0,0,((VLOOKUP($D99,$C$5:$AJ$644,30,)/VLOOKUP($D99,$C$5:$AJ$644,4,))*$F99))</f>
        <v>0</v>
      </c>
      <c r="AG99" s="101"/>
      <c r="AH99" s="101">
        <f t="shared" ref="AH99:AH106" si="68">IF(VLOOKUP($D99,$C$5:$AJ$644,32,)=0,0,((VLOOKUP($D99,$C$5:$AJ$644,32,)/VLOOKUP($D99,$C$5:$AJ$644,4,))*$F99))</f>
        <v>0</v>
      </c>
      <c r="AI99" s="101"/>
      <c r="AJ99" s="101">
        <f t="shared" ref="AJ99:AJ106" si="69">IF(VLOOKUP($D99,$C$5:$AJ$644,34,)=0,0,((VLOOKUP($D99,$C$5:$AJ$644,34,)/VLOOKUP($D99,$C$5:$AJ$644,4,))*$F99))</f>
        <v>0</v>
      </c>
      <c r="AK99" s="101">
        <f t="shared" ref="AK99:AK106" si="70">SUM(H99:AJ99)</f>
        <v>1351527013.3723688</v>
      </c>
      <c r="AL99" s="98" t="str">
        <f t="shared" ref="AL99:AL106" si="71">IF(ABS(AK99-F99)&lt;1,"ok","err")</f>
        <v>ok</v>
      </c>
    </row>
    <row r="100" spans="1:38" x14ac:dyDescent="0.25">
      <c r="A100" s="107" t="s">
        <v>1656</v>
      </c>
      <c r="C100" s="97" t="s">
        <v>494</v>
      </c>
      <c r="D100" s="97" t="s">
        <v>731</v>
      </c>
      <c r="F100" s="101">
        <f>'Jurisdictional Study'!F778-33409</f>
        <v>11357149.970204098</v>
      </c>
      <c r="H100" s="101">
        <f t="shared" si="46"/>
        <v>3904602.9802596048</v>
      </c>
      <c r="I100" s="101">
        <f t="shared" si="47"/>
        <v>4090318.7610229198</v>
      </c>
      <c r="J100" s="101">
        <f t="shared" si="48"/>
        <v>3362228.2289215731</v>
      </c>
      <c r="K100" s="101">
        <f t="shared" si="49"/>
        <v>0</v>
      </c>
      <c r="L100" s="101">
        <f t="shared" si="50"/>
        <v>0</v>
      </c>
      <c r="M100" s="101">
        <f t="shared" si="51"/>
        <v>0</v>
      </c>
      <c r="N100" s="101"/>
      <c r="O100" s="101">
        <f t="shared" si="52"/>
        <v>0</v>
      </c>
      <c r="P100" s="101">
        <f t="shared" si="53"/>
        <v>0</v>
      </c>
      <c r="Q100" s="101">
        <f t="shared" si="54"/>
        <v>0</v>
      </c>
      <c r="R100" s="101"/>
      <c r="S100" s="101">
        <f t="shared" si="55"/>
        <v>0</v>
      </c>
      <c r="T100" s="101">
        <f t="shared" si="56"/>
        <v>0</v>
      </c>
      <c r="U100" s="101">
        <f t="shared" si="57"/>
        <v>0</v>
      </c>
      <c r="V100" s="101">
        <f t="shared" si="58"/>
        <v>0</v>
      </c>
      <c r="W100" s="101">
        <f t="shared" si="59"/>
        <v>0</v>
      </c>
      <c r="X100" s="101">
        <f t="shared" si="60"/>
        <v>0</v>
      </c>
      <c r="Y100" s="101">
        <f t="shared" si="61"/>
        <v>0</v>
      </c>
      <c r="Z100" s="101">
        <f t="shared" si="62"/>
        <v>0</v>
      </c>
      <c r="AA100" s="101">
        <f t="shared" si="63"/>
        <v>0</v>
      </c>
      <c r="AB100" s="101">
        <f t="shared" si="64"/>
        <v>0</v>
      </c>
      <c r="AC100" s="101">
        <f t="shared" si="65"/>
        <v>0</v>
      </c>
      <c r="AD100" s="101">
        <f t="shared" si="66"/>
        <v>0</v>
      </c>
      <c r="AE100" s="101"/>
      <c r="AF100" s="101">
        <f t="shared" si="67"/>
        <v>0</v>
      </c>
      <c r="AG100" s="101"/>
      <c r="AH100" s="101">
        <f t="shared" si="68"/>
        <v>0</v>
      </c>
      <c r="AI100" s="101"/>
      <c r="AJ100" s="101">
        <f t="shared" si="69"/>
        <v>0</v>
      </c>
      <c r="AK100" s="101">
        <f t="shared" si="70"/>
        <v>11357149.970204098</v>
      </c>
      <c r="AL100" s="98" t="str">
        <f t="shared" si="71"/>
        <v>ok</v>
      </c>
    </row>
    <row r="101" spans="1:38" x14ac:dyDescent="0.25">
      <c r="A101" s="108" t="s">
        <v>1655</v>
      </c>
      <c r="D101" s="97" t="s">
        <v>731</v>
      </c>
      <c r="F101" s="101">
        <f>'Jurisdictional Study'!F784-46919</f>
        <v>279457486.12209612</v>
      </c>
      <c r="H101" s="101">
        <f t="shared" si="46"/>
        <v>96077848.40659143</v>
      </c>
      <c r="I101" s="101">
        <f t="shared" si="47"/>
        <v>100647627.38824432</v>
      </c>
      <c r="J101" s="101">
        <f t="shared" si="48"/>
        <v>82732010.32726039</v>
      </c>
      <c r="K101" s="101">
        <f t="shared" si="49"/>
        <v>0</v>
      </c>
      <c r="L101" s="101">
        <f t="shared" si="50"/>
        <v>0</v>
      </c>
      <c r="M101" s="101">
        <f t="shared" si="51"/>
        <v>0</v>
      </c>
      <c r="N101" s="101"/>
      <c r="O101" s="101">
        <f t="shared" si="52"/>
        <v>0</v>
      </c>
      <c r="P101" s="101">
        <f t="shared" si="53"/>
        <v>0</v>
      </c>
      <c r="Q101" s="101">
        <f t="shared" si="54"/>
        <v>0</v>
      </c>
      <c r="R101" s="101"/>
      <c r="S101" s="101">
        <f t="shared" si="55"/>
        <v>0</v>
      </c>
      <c r="T101" s="101">
        <f t="shared" si="56"/>
        <v>0</v>
      </c>
      <c r="U101" s="101">
        <f t="shared" si="57"/>
        <v>0</v>
      </c>
      <c r="V101" s="101">
        <f t="shared" si="58"/>
        <v>0</v>
      </c>
      <c r="W101" s="101">
        <f t="shared" si="59"/>
        <v>0</v>
      </c>
      <c r="X101" s="101">
        <f t="shared" si="60"/>
        <v>0</v>
      </c>
      <c r="Y101" s="101">
        <f t="shared" si="61"/>
        <v>0</v>
      </c>
      <c r="Z101" s="101">
        <f t="shared" si="62"/>
        <v>0</v>
      </c>
      <c r="AA101" s="101">
        <f t="shared" si="63"/>
        <v>0</v>
      </c>
      <c r="AB101" s="101">
        <f t="shared" si="64"/>
        <v>0</v>
      </c>
      <c r="AC101" s="101">
        <f t="shared" si="65"/>
        <v>0</v>
      </c>
      <c r="AD101" s="101">
        <f t="shared" si="66"/>
        <v>0</v>
      </c>
      <c r="AE101" s="101"/>
      <c r="AF101" s="101">
        <f t="shared" si="67"/>
        <v>0</v>
      </c>
      <c r="AG101" s="101"/>
      <c r="AH101" s="101">
        <f t="shared" si="68"/>
        <v>0</v>
      </c>
      <c r="AI101" s="101"/>
      <c r="AJ101" s="101">
        <f t="shared" si="69"/>
        <v>0</v>
      </c>
      <c r="AK101" s="101">
        <f>SUM(H101:AJ101)</f>
        <v>279457486.12209612</v>
      </c>
      <c r="AL101" s="98" t="str">
        <f t="shared" si="71"/>
        <v>ok</v>
      </c>
    </row>
    <row r="102" spans="1:38" x14ac:dyDescent="0.25">
      <c r="A102" s="97" t="s">
        <v>1658</v>
      </c>
      <c r="C102" s="97" t="s">
        <v>495</v>
      </c>
      <c r="D102" s="97" t="s">
        <v>490</v>
      </c>
      <c r="F102" s="101">
        <f>'Jurisdictional Study'!F789-52864</f>
        <v>303777627.18630236</v>
      </c>
      <c r="H102" s="101">
        <f t="shared" si="46"/>
        <v>0</v>
      </c>
      <c r="I102" s="101">
        <f t="shared" si="47"/>
        <v>0</v>
      </c>
      <c r="J102" s="101">
        <f t="shared" si="48"/>
        <v>0</v>
      </c>
      <c r="K102" s="101">
        <f t="shared" si="49"/>
        <v>0</v>
      </c>
      <c r="L102" s="101">
        <f t="shared" si="50"/>
        <v>0</v>
      </c>
      <c r="M102" s="101">
        <f t="shared" si="51"/>
        <v>0</v>
      </c>
      <c r="N102" s="101"/>
      <c r="O102" s="101">
        <f t="shared" si="52"/>
        <v>303777627.18630236</v>
      </c>
      <c r="P102" s="101">
        <f t="shared" si="53"/>
        <v>0</v>
      </c>
      <c r="Q102" s="101">
        <f t="shared" si="54"/>
        <v>0</v>
      </c>
      <c r="R102" s="101"/>
      <c r="S102" s="101">
        <f t="shared" si="55"/>
        <v>0</v>
      </c>
      <c r="T102" s="101">
        <f t="shared" si="56"/>
        <v>0</v>
      </c>
      <c r="U102" s="101">
        <f t="shared" si="57"/>
        <v>0</v>
      </c>
      <c r="V102" s="101">
        <f t="shared" si="58"/>
        <v>0</v>
      </c>
      <c r="W102" s="101">
        <f t="shared" si="59"/>
        <v>0</v>
      </c>
      <c r="X102" s="101">
        <f t="shared" si="60"/>
        <v>0</v>
      </c>
      <c r="Y102" s="101">
        <f t="shared" si="61"/>
        <v>0</v>
      </c>
      <c r="Z102" s="101">
        <f t="shared" si="62"/>
        <v>0</v>
      </c>
      <c r="AA102" s="101">
        <f t="shared" si="63"/>
        <v>0</v>
      </c>
      <c r="AB102" s="101">
        <f t="shared" si="64"/>
        <v>0</v>
      </c>
      <c r="AC102" s="101">
        <f t="shared" si="65"/>
        <v>0</v>
      </c>
      <c r="AD102" s="101">
        <f t="shared" si="66"/>
        <v>0</v>
      </c>
      <c r="AE102" s="101"/>
      <c r="AF102" s="101">
        <f t="shared" si="67"/>
        <v>0</v>
      </c>
      <c r="AG102" s="101"/>
      <c r="AH102" s="101">
        <f t="shared" si="68"/>
        <v>0</v>
      </c>
      <c r="AI102" s="101"/>
      <c r="AJ102" s="101">
        <f t="shared" si="69"/>
        <v>0</v>
      </c>
      <c r="AK102" s="101">
        <f t="shared" si="70"/>
        <v>303777627.18630236</v>
      </c>
      <c r="AL102" s="98" t="str">
        <f t="shared" si="71"/>
        <v>ok</v>
      </c>
    </row>
    <row r="103" spans="1:38" x14ac:dyDescent="0.25">
      <c r="A103" s="97" t="s">
        <v>1659</v>
      </c>
      <c r="C103" s="97" t="s">
        <v>1359</v>
      </c>
      <c r="D103" s="97" t="s">
        <v>490</v>
      </c>
      <c r="F103" s="101">
        <f>'Jurisdictional Study'!F790</f>
        <v>4014977.5835693018</v>
      </c>
      <c r="H103" s="101">
        <f t="shared" si="46"/>
        <v>0</v>
      </c>
      <c r="I103" s="101">
        <f t="shared" si="47"/>
        <v>0</v>
      </c>
      <c r="J103" s="101">
        <f t="shared" si="48"/>
        <v>0</v>
      </c>
      <c r="K103" s="101">
        <f t="shared" si="49"/>
        <v>0</v>
      </c>
      <c r="L103" s="101">
        <f t="shared" si="50"/>
        <v>0</v>
      </c>
      <c r="M103" s="101">
        <f t="shared" si="51"/>
        <v>0</v>
      </c>
      <c r="N103" s="101"/>
      <c r="O103" s="101">
        <f t="shared" si="52"/>
        <v>4014977.5835693018</v>
      </c>
      <c r="P103" s="101">
        <f t="shared" si="53"/>
        <v>0</v>
      </c>
      <c r="Q103" s="101">
        <f t="shared" si="54"/>
        <v>0</v>
      </c>
      <c r="R103" s="101"/>
      <c r="S103" s="101">
        <f t="shared" si="55"/>
        <v>0</v>
      </c>
      <c r="T103" s="101">
        <f t="shared" si="56"/>
        <v>0</v>
      </c>
      <c r="U103" s="101">
        <f t="shared" si="57"/>
        <v>0</v>
      </c>
      <c r="V103" s="101">
        <f t="shared" si="58"/>
        <v>0</v>
      </c>
      <c r="W103" s="101">
        <f t="shared" si="59"/>
        <v>0</v>
      </c>
      <c r="X103" s="101">
        <f t="shared" si="60"/>
        <v>0</v>
      </c>
      <c r="Y103" s="101">
        <f t="shared" si="61"/>
        <v>0</v>
      </c>
      <c r="Z103" s="101">
        <f t="shared" si="62"/>
        <v>0</v>
      </c>
      <c r="AA103" s="101">
        <f t="shared" si="63"/>
        <v>0</v>
      </c>
      <c r="AB103" s="101">
        <f t="shared" si="64"/>
        <v>0</v>
      </c>
      <c r="AC103" s="101">
        <f t="shared" si="65"/>
        <v>0</v>
      </c>
      <c r="AD103" s="101">
        <f t="shared" si="66"/>
        <v>0</v>
      </c>
      <c r="AE103" s="101"/>
      <c r="AF103" s="101">
        <f t="shared" si="67"/>
        <v>0</v>
      </c>
      <c r="AG103" s="101"/>
      <c r="AH103" s="101">
        <f t="shared" si="68"/>
        <v>0</v>
      </c>
      <c r="AI103" s="101"/>
      <c r="AJ103" s="101">
        <f t="shared" si="69"/>
        <v>0</v>
      </c>
      <c r="AK103" s="101">
        <f t="shared" si="70"/>
        <v>4014977.5835693018</v>
      </c>
      <c r="AL103" s="98" t="str">
        <f t="shared" si="71"/>
        <v>ok</v>
      </c>
    </row>
    <row r="104" spans="1:38" x14ac:dyDescent="0.25">
      <c r="A104" s="97" t="s">
        <v>1661</v>
      </c>
      <c r="C104" s="97" t="s">
        <v>1360</v>
      </c>
      <c r="D104" s="97" t="s">
        <v>115</v>
      </c>
      <c r="F104" s="101">
        <f>'Jurisdictional Study'!F797-264705</f>
        <v>637170341.02388442</v>
      </c>
      <c r="H104" s="101">
        <f t="shared" si="46"/>
        <v>0</v>
      </c>
      <c r="I104" s="101">
        <f t="shared" si="47"/>
        <v>0</v>
      </c>
      <c r="J104" s="101">
        <f t="shared" si="48"/>
        <v>0</v>
      </c>
      <c r="K104" s="101">
        <f t="shared" si="49"/>
        <v>0</v>
      </c>
      <c r="L104" s="101">
        <f t="shared" si="50"/>
        <v>0</v>
      </c>
      <c r="M104" s="101">
        <f t="shared" si="51"/>
        <v>0</v>
      </c>
      <c r="N104" s="101"/>
      <c r="O104" s="101">
        <f t="shared" si="52"/>
        <v>0</v>
      </c>
      <c r="P104" s="101">
        <f t="shared" si="53"/>
        <v>0</v>
      </c>
      <c r="Q104" s="101">
        <f t="shared" si="54"/>
        <v>0</v>
      </c>
      <c r="R104" s="101"/>
      <c r="S104" s="101">
        <f t="shared" si="55"/>
        <v>0</v>
      </c>
      <c r="T104" s="101">
        <f t="shared" si="56"/>
        <v>77144314.611600712</v>
      </c>
      <c r="U104" s="101">
        <f t="shared" si="57"/>
        <v>0</v>
      </c>
      <c r="V104" s="101">
        <f t="shared" si="58"/>
        <v>84063538.545222193</v>
      </c>
      <c r="W104" s="101">
        <f t="shared" si="59"/>
        <v>155888263.33558285</v>
      </c>
      <c r="X104" s="101">
        <f t="shared" si="60"/>
        <v>38699178.901686251</v>
      </c>
      <c r="Y104" s="101">
        <f t="shared" si="61"/>
        <v>59158317.455637276</v>
      </c>
      <c r="Z104" s="101">
        <f t="shared" si="62"/>
        <v>60074574.356775984</v>
      </c>
      <c r="AA104" s="101">
        <f t="shared" si="63"/>
        <v>53459127.368894614</v>
      </c>
      <c r="AB104" s="101">
        <f t="shared" si="64"/>
        <v>35789406.401692659</v>
      </c>
      <c r="AC104" s="101">
        <f t="shared" si="65"/>
        <v>30536735.399947166</v>
      </c>
      <c r="AD104" s="101">
        <f t="shared" si="66"/>
        <v>42356884.646844648</v>
      </c>
      <c r="AE104" s="101"/>
      <c r="AF104" s="101">
        <f t="shared" si="67"/>
        <v>0</v>
      </c>
      <c r="AG104" s="101"/>
      <c r="AH104" s="101">
        <f t="shared" si="68"/>
        <v>0</v>
      </c>
      <c r="AI104" s="101"/>
      <c r="AJ104" s="101">
        <f t="shared" si="69"/>
        <v>0</v>
      </c>
      <c r="AK104" s="101">
        <f t="shared" si="70"/>
        <v>637170341.02388442</v>
      </c>
      <c r="AL104" s="98" t="str">
        <f t="shared" si="71"/>
        <v>ok</v>
      </c>
    </row>
    <row r="105" spans="1:38" x14ac:dyDescent="0.25">
      <c r="A105" s="107" t="s">
        <v>198</v>
      </c>
      <c r="C105" s="97" t="s">
        <v>1361</v>
      </c>
      <c r="D105" s="97" t="s">
        <v>492</v>
      </c>
      <c r="F105" s="101">
        <f>'Jurisdictional Study'!F799-1909744</f>
        <v>60263983.794971846</v>
      </c>
      <c r="H105" s="101">
        <f t="shared" si="46"/>
        <v>12626626.469908219</v>
      </c>
      <c r="I105" s="101">
        <f t="shared" si="47"/>
        <v>13227190.420999052</v>
      </c>
      <c r="J105" s="101">
        <f t="shared" si="48"/>
        <v>10872705.923702175</v>
      </c>
      <c r="K105" s="101">
        <f t="shared" si="49"/>
        <v>0</v>
      </c>
      <c r="L105" s="101">
        <f t="shared" si="50"/>
        <v>0</v>
      </c>
      <c r="M105" s="101">
        <f t="shared" si="51"/>
        <v>0</v>
      </c>
      <c r="N105" s="101"/>
      <c r="O105" s="101">
        <f t="shared" si="52"/>
        <v>7938545.2290103128</v>
      </c>
      <c r="P105" s="101">
        <f t="shared" si="53"/>
        <v>0</v>
      </c>
      <c r="Q105" s="101">
        <f t="shared" si="54"/>
        <v>0</v>
      </c>
      <c r="R105" s="101"/>
      <c r="S105" s="101">
        <f t="shared" si="55"/>
        <v>0</v>
      </c>
      <c r="T105" s="101">
        <f t="shared" si="56"/>
        <v>1888612.1761230112</v>
      </c>
      <c r="U105" s="101">
        <f t="shared" si="57"/>
        <v>0</v>
      </c>
      <c r="V105" s="101">
        <f t="shared" si="58"/>
        <v>2058005.4831496081</v>
      </c>
      <c r="W105" s="101">
        <f t="shared" si="59"/>
        <v>3816385.8702035756</v>
      </c>
      <c r="X105" s="101">
        <f t="shared" si="60"/>
        <v>947415.77325125004</v>
      </c>
      <c r="Y105" s="101">
        <f t="shared" si="61"/>
        <v>1448287.138568548</v>
      </c>
      <c r="Z105" s="101">
        <f t="shared" si="62"/>
        <v>1470718.5251024701</v>
      </c>
      <c r="AA105" s="101">
        <f t="shared" si="63"/>
        <v>1308762.1476984737</v>
      </c>
      <c r="AB105" s="101">
        <f t="shared" si="64"/>
        <v>876180.040574076</v>
      </c>
      <c r="AC105" s="101">
        <f t="shared" si="65"/>
        <v>747586.52774023439</v>
      </c>
      <c r="AD105" s="101">
        <f t="shared" si="66"/>
        <v>1036962.068940841</v>
      </c>
      <c r="AE105" s="101"/>
      <c r="AF105" s="101">
        <f t="shared" si="67"/>
        <v>0</v>
      </c>
      <c r="AG105" s="101"/>
      <c r="AH105" s="101">
        <f t="shared" si="68"/>
        <v>0</v>
      </c>
      <c r="AI105" s="101"/>
      <c r="AJ105" s="101">
        <f t="shared" si="69"/>
        <v>0</v>
      </c>
      <c r="AK105" s="101">
        <f t="shared" si="70"/>
        <v>60263983.794971853</v>
      </c>
      <c r="AL105" s="98" t="str">
        <f t="shared" si="71"/>
        <v>ok</v>
      </c>
    </row>
    <row r="106" spans="1:38" x14ac:dyDescent="0.25">
      <c r="A106" s="107" t="s">
        <v>1660</v>
      </c>
      <c r="C106" s="97" t="s">
        <v>199</v>
      </c>
      <c r="D106" s="97" t="s">
        <v>492</v>
      </c>
      <c r="F106" s="101">
        <f>'Jurisdictional Study'!F801+'Jurisdictional Study'!F802</f>
        <v>51974185.381172702</v>
      </c>
      <c r="H106" s="101">
        <f t="shared" si="46"/>
        <v>10889731.869013732</v>
      </c>
      <c r="I106" s="101">
        <f t="shared" si="47"/>
        <v>11407683.390994741</v>
      </c>
      <c r="J106" s="101">
        <f t="shared" si="48"/>
        <v>9377077.2804538812</v>
      </c>
      <c r="K106" s="101">
        <f t="shared" si="49"/>
        <v>0</v>
      </c>
      <c r="L106" s="101">
        <f t="shared" si="50"/>
        <v>0</v>
      </c>
      <c r="M106" s="101">
        <f t="shared" si="51"/>
        <v>0</v>
      </c>
      <c r="N106" s="101"/>
      <c r="O106" s="101">
        <f t="shared" si="52"/>
        <v>6846534.1221572468</v>
      </c>
      <c r="P106" s="101">
        <f t="shared" si="53"/>
        <v>0</v>
      </c>
      <c r="Q106" s="101">
        <f t="shared" si="54"/>
        <v>0</v>
      </c>
      <c r="R106" s="101"/>
      <c r="S106" s="101">
        <f t="shared" si="55"/>
        <v>0</v>
      </c>
      <c r="T106" s="101">
        <f t="shared" si="56"/>
        <v>1628818.2953339259</v>
      </c>
      <c r="U106" s="101">
        <f t="shared" si="57"/>
        <v>0</v>
      </c>
      <c r="V106" s="101">
        <f t="shared" si="58"/>
        <v>1774910.182848087</v>
      </c>
      <c r="W106" s="101">
        <f t="shared" si="59"/>
        <v>3291411.1250739857</v>
      </c>
      <c r="X106" s="101">
        <f t="shared" si="60"/>
        <v>817091.07050629484</v>
      </c>
      <c r="Y106" s="101">
        <f t="shared" si="61"/>
        <v>1249063.5282463746</v>
      </c>
      <c r="Z106" s="101">
        <f t="shared" si="62"/>
        <v>1268409.2961271908</v>
      </c>
      <c r="AA106" s="101">
        <f t="shared" si="63"/>
        <v>1128731.3284127365</v>
      </c>
      <c r="AB106" s="101">
        <f t="shared" si="64"/>
        <v>755654.38904621487</v>
      </c>
      <c r="AC106" s="101">
        <f t="shared" si="65"/>
        <v>644749.95402610698</v>
      </c>
      <c r="AD106" s="101">
        <f t="shared" si="66"/>
        <v>894319.54893218388</v>
      </c>
      <c r="AE106" s="101"/>
      <c r="AF106" s="101">
        <f t="shared" si="67"/>
        <v>0</v>
      </c>
      <c r="AG106" s="101"/>
      <c r="AH106" s="101">
        <f t="shared" si="68"/>
        <v>0</v>
      </c>
      <c r="AI106" s="101"/>
      <c r="AJ106" s="101">
        <f t="shared" si="69"/>
        <v>0</v>
      </c>
      <c r="AK106" s="101">
        <f t="shared" si="70"/>
        <v>51974185.381172709</v>
      </c>
      <c r="AL106" s="98" t="str">
        <f t="shared" si="71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2">SUM(F99:F106)</f>
        <v>2699542764.4345698</v>
      </c>
      <c r="G108" s="102"/>
      <c r="H108" s="102">
        <f t="shared" si="72"/>
        <v>588155560.59724879</v>
      </c>
      <c r="I108" s="102">
        <f t="shared" si="72"/>
        <v>616130176.63345873</v>
      </c>
      <c r="J108" s="102">
        <f t="shared" si="72"/>
        <v>506456927.58903342</v>
      </c>
      <c r="K108" s="102">
        <f>SUM(K99:K106)</f>
        <v>0</v>
      </c>
      <c r="L108" s="102">
        <f t="shared" si="72"/>
        <v>0</v>
      </c>
      <c r="M108" s="102">
        <f t="shared" si="72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3">SUM(S99:S106)</f>
        <v>0</v>
      </c>
      <c r="T108" s="102">
        <f t="shared" si="73"/>
        <v>80661745.083057642</v>
      </c>
      <c r="U108" s="102">
        <f t="shared" si="73"/>
        <v>0</v>
      </c>
      <c r="V108" s="102">
        <f t="shared" si="73"/>
        <v>87896454.211219877</v>
      </c>
      <c r="W108" s="102">
        <f t="shared" si="73"/>
        <v>162996060.33086044</v>
      </c>
      <c r="X108" s="102">
        <f t="shared" si="73"/>
        <v>40463685.745443799</v>
      </c>
      <c r="Y108" s="102">
        <f t="shared" si="73"/>
        <v>61855668.122452199</v>
      </c>
      <c r="Z108" s="102">
        <f t="shared" si="73"/>
        <v>62813702.178005643</v>
      </c>
      <c r="AA108" s="102">
        <f t="shared" si="73"/>
        <v>55896620.845005825</v>
      </c>
      <c r="AB108" s="102">
        <f t="shared" si="73"/>
        <v>37421240.831312947</v>
      </c>
      <c r="AC108" s="102">
        <f t="shared" si="73"/>
        <v>31929071.881713506</v>
      </c>
      <c r="AD108" s="102">
        <f t="shared" si="73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4">H96-H108</f>
        <v>887821775.68345618</v>
      </c>
      <c r="I110" s="102">
        <f t="shared" si="74"/>
        <v>930049504.10637581</v>
      </c>
      <c r="J110" s="102">
        <f t="shared" si="74"/>
        <v>764497556.22932148</v>
      </c>
      <c r="K110" s="102">
        <f t="shared" si="74"/>
        <v>0</v>
      </c>
      <c r="L110" s="102">
        <f t="shared" si="74"/>
        <v>0</v>
      </c>
      <c r="M110" s="102">
        <f t="shared" si="74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5">S96-S108</f>
        <v>0</v>
      </c>
      <c r="T110" s="102">
        <f t="shared" si="75"/>
        <v>142637385.73320541</v>
      </c>
      <c r="U110" s="102">
        <f t="shared" si="75"/>
        <v>0</v>
      </c>
      <c r="V110" s="102">
        <f t="shared" si="75"/>
        <v>155430810.86327949</v>
      </c>
      <c r="W110" s="102">
        <f t="shared" si="75"/>
        <v>288232444.0968374</v>
      </c>
      <c r="X110" s="102">
        <f t="shared" si="75"/>
        <v>71553551.760093957</v>
      </c>
      <c r="Y110" s="102">
        <f t="shared" si="75"/>
        <v>109381848.66546527</v>
      </c>
      <c r="Z110" s="102">
        <f t="shared" si="75"/>
        <v>111075978.55302</v>
      </c>
      <c r="AA110" s="102">
        <f t="shared" si="75"/>
        <v>98844227.340259716</v>
      </c>
      <c r="AB110" s="102">
        <f t="shared" si="75"/>
        <v>66173474.892899327</v>
      </c>
      <c r="AC110" s="102">
        <f t="shared" si="75"/>
        <v>56461453.163524508</v>
      </c>
      <c r="AD110" s="102">
        <f t="shared" si="75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792</v>
      </c>
      <c r="Y112" s="97"/>
      <c r="AL112" s="98"/>
    </row>
    <row r="113" spans="1:39" x14ac:dyDescent="0.25">
      <c r="A113" s="97" t="s">
        <v>1353</v>
      </c>
      <c r="C113" s="97" t="s">
        <v>794</v>
      </c>
      <c r="D113" s="97" t="s">
        <v>795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894425.30967830331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1652866.4144849125</v>
      </c>
      <c r="W113" s="101">
        <f>IF(VLOOKUP($D113,$C$5:$AJ$644,21,)=0,0,((VLOOKUP($D113,$C$5:$AJ$644,21,)/VLOOKUP($D113,$C$5:$AJ$644,4,))*$F113))</f>
        <v>2645268.8327912558</v>
      </c>
      <c r="X113" s="101">
        <f>IF(VLOOKUP($D113,$C$5:$AJ$644,22,)=0,0,((VLOOKUP($D113,$C$5:$AJ$644,22,)/VLOOKUP($D113,$C$5:$AJ$644,4,))*$F113))</f>
        <v>836917.65393411287</v>
      </c>
      <c r="Y113" s="101">
        <f>IF(VLOOKUP($D113,$C$5:$AJ$644,23,)=0,0,((VLOOKUP($D113,$C$5:$AJ$644,23,)/VLOOKUP($D113,$C$5:$AJ$644,4,))*$F113))</f>
        <v>1235970.1875915499</v>
      </c>
      <c r="Z113" s="101">
        <f>IF(VLOOKUP($D113,$C$5:$AJ$644,24,)=0,0,((VLOOKUP($D113,$C$5:$AJ$644,24,)/VLOOKUP($D113,$C$5:$AJ$644,4,))*$F113))</f>
        <v>367120.83712704433</v>
      </c>
      <c r="AA113" s="101">
        <f>IF(VLOOKUP($D113,$C$5:$AJ$644,25,)=0,0,((VLOOKUP($D113,$C$5:$AJ$644,25,)/VLOOKUP($D113,$C$5:$AJ$644,4,))*$F113))</f>
        <v>326693.27751193976</v>
      </c>
      <c r="AB113" s="101">
        <f>IF(VLOOKUP($D113,$C$5:$AJ$644,26,)=0,0,((VLOOKUP($D113,$C$5:$AJ$644,26,)/VLOOKUP($D113,$C$5:$AJ$644,4,))*$F113))</f>
        <v>215039.88510754329</v>
      </c>
      <c r="AC113" s="101">
        <f>IF(VLOOKUP($D113,$C$5:$AJ$644,27,)=0,0,((VLOOKUP($D113,$C$5:$AJ$644,27,)/VLOOKUP($D113,$C$5:$AJ$644,4,))*$F113))</f>
        <v>1485822.6140968404</v>
      </c>
      <c r="AD113" s="101">
        <f>IF(VLOOKUP($D113,$C$5:$AJ$644,28,)=0,0,((VLOOKUP($D113,$C$5:$AJ$644,28,)/VLOOKUP($D113,$C$5:$AJ$644,4,))*$F113))</f>
        <v>237304.61681517592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496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796</v>
      </c>
      <c r="C115" s="97" t="s">
        <v>797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798</v>
      </c>
      <c r="C117" s="97" t="s">
        <v>799</v>
      </c>
      <c r="F117" s="102">
        <f>SUM(F113:F116)</f>
        <v>242328157.40202424</v>
      </c>
      <c r="G117" s="102"/>
      <c r="H117" s="102">
        <f t="shared" ref="H117:M117" si="76">SUM(H113:H116)</f>
        <v>32719816.794232357</v>
      </c>
      <c r="I117" s="102">
        <f t="shared" si="76"/>
        <v>33859001.929284982</v>
      </c>
      <c r="J117" s="102">
        <f t="shared" si="76"/>
        <v>28600477.908676904</v>
      </c>
      <c r="K117" s="102">
        <f t="shared" si="76"/>
        <v>71897457.403322741</v>
      </c>
      <c r="L117" s="102">
        <f t="shared" si="76"/>
        <v>0</v>
      </c>
      <c r="M117" s="102">
        <f t="shared" si="76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7">SUM(S113:S116)</f>
        <v>0</v>
      </c>
      <c r="T117" s="102">
        <f t="shared" si="77"/>
        <v>5155921.7024059407</v>
      </c>
      <c r="U117" s="102">
        <f t="shared" si="77"/>
        <v>0</v>
      </c>
      <c r="V117" s="102">
        <f t="shared" si="77"/>
        <v>6296584.7244342845</v>
      </c>
      <c r="W117" s="102">
        <f t="shared" si="77"/>
        <v>11256626.328386461</v>
      </c>
      <c r="X117" s="102">
        <f t="shared" si="77"/>
        <v>2974682.5964494986</v>
      </c>
      <c r="Y117" s="102">
        <f t="shared" si="77"/>
        <v>4503909.7331860634</v>
      </c>
      <c r="Z117" s="102">
        <f t="shared" si="77"/>
        <v>3685674.9419236607</v>
      </c>
      <c r="AA117" s="102">
        <f t="shared" si="77"/>
        <v>3279806.278617708</v>
      </c>
      <c r="AB117" s="102">
        <f t="shared" si="77"/>
        <v>2192067.3179981294</v>
      </c>
      <c r="AC117" s="102">
        <f t="shared" si="77"/>
        <v>3172689.4740557512</v>
      </c>
      <c r="AD117" s="102">
        <f t="shared" si="77"/>
        <v>2577123.3324067658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242328157.40202418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1825</v>
      </c>
      <c r="C119" s="97" t="s">
        <v>1826</v>
      </c>
      <c r="D119" s="97" t="s">
        <v>734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996</v>
      </c>
      <c r="Y121" s="97"/>
      <c r="AL121" s="98"/>
    </row>
    <row r="122" spans="1:39" x14ac:dyDescent="0.25">
      <c r="A122" s="97" t="s">
        <v>526</v>
      </c>
      <c r="C122" s="97" t="s">
        <v>527</v>
      </c>
      <c r="D122" s="97" t="s">
        <v>1052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708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709</v>
      </c>
      <c r="C124" s="97" t="s">
        <v>1827</v>
      </c>
      <c r="D124" s="97" t="s">
        <v>731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8">IF(ABS(AK124-F124)&lt;1,"ok","err")</f>
        <v>ok</v>
      </c>
    </row>
    <row r="125" spans="1:39" ht="15.75" x14ac:dyDescent="0.25">
      <c r="A125" s="33" t="s">
        <v>710</v>
      </c>
      <c r="C125" s="97" t="s">
        <v>1828</v>
      </c>
      <c r="D125" s="97" t="s">
        <v>491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8"/>
        <v>ok</v>
      </c>
    </row>
    <row r="126" spans="1:39" ht="15.75" x14ac:dyDescent="0.25">
      <c r="A126" s="33" t="s">
        <v>711</v>
      </c>
      <c r="C126" s="97" t="s">
        <v>706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8"/>
        <v>ok</v>
      </c>
    </row>
    <row r="127" spans="1:39" ht="15.75" x14ac:dyDescent="0.25">
      <c r="A127" s="33" t="s">
        <v>712</v>
      </c>
      <c r="C127" s="97" t="s">
        <v>707</v>
      </c>
      <c r="D127" s="97" t="s">
        <v>492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8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714</v>
      </c>
      <c r="C129" s="97" t="s">
        <v>713</v>
      </c>
      <c r="F129" s="101">
        <f>SUM(F124:F128)</f>
        <v>910427697.99599195</v>
      </c>
      <c r="H129" s="101">
        <f t="shared" ref="H129:M129" si="79">SUM(H124:H128)</f>
        <v>181491944.07953647</v>
      </c>
      <c r="I129" s="101">
        <f t="shared" si="79"/>
        <v>190124298.83298749</v>
      </c>
      <c r="J129" s="101">
        <f t="shared" si="79"/>
        <v>156281532.53765678</v>
      </c>
      <c r="K129" s="101">
        <f t="shared" si="79"/>
        <v>0</v>
      </c>
      <c r="L129" s="101">
        <f t="shared" si="79"/>
        <v>0</v>
      </c>
      <c r="M129" s="101">
        <f t="shared" si="79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80">SUM(S124:S128)</f>
        <v>0</v>
      </c>
      <c r="T129" s="101">
        <f t="shared" si="80"/>
        <v>30144998.456875868</v>
      </c>
      <c r="U129" s="101">
        <f t="shared" si="80"/>
        <v>0</v>
      </c>
      <c r="V129" s="101">
        <f t="shared" si="80"/>
        <v>32848762.121793214</v>
      </c>
      <c r="W129" s="101">
        <f t="shared" si="80"/>
        <v>60915071.724411249</v>
      </c>
      <c r="X129" s="101">
        <f t="shared" si="80"/>
        <v>15122134.328979671</v>
      </c>
      <c r="Y129" s="101">
        <f t="shared" si="80"/>
        <v>23116770.139058147</v>
      </c>
      <c r="Z129" s="101">
        <f t="shared" si="80"/>
        <v>23474807.708125807</v>
      </c>
      <c r="AA129" s="101">
        <f t="shared" si="80"/>
        <v>20889748.261486568</v>
      </c>
      <c r="AB129" s="101">
        <f t="shared" si="80"/>
        <v>13985108.380096896</v>
      </c>
      <c r="AC129" s="101">
        <f t="shared" si="80"/>
        <v>11932568.798414184</v>
      </c>
      <c r="AD129" s="101">
        <f t="shared" si="80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8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722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723</v>
      </c>
      <c r="C132" s="97" t="s">
        <v>715</v>
      </c>
      <c r="D132" s="97" t="s">
        <v>731</v>
      </c>
      <c r="F132" s="100">
        <f>'Jurisdictional Study'!F888</f>
        <v>81185411.398252815</v>
      </c>
      <c r="H132" s="101">
        <f t="shared" ref="H132:H137" si="81">IF(VLOOKUP($D132,$C$5:$AJ$644,6,)=0,0,((VLOOKUP($D132,$C$5:$AJ$644,6,)/VLOOKUP($D132,$C$5:$AJ$644,4,))*$F132))</f>
        <v>27911650.3815546</v>
      </c>
      <c r="I132" s="101">
        <f t="shared" ref="I132:I137" si="82">IF(VLOOKUP($D132,$C$5:$AJ$644,7,)=0,0,((VLOOKUP($D132,$C$5:$AJ$644,7,)/VLOOKUP($D132,$C$5:$AJ$644,4,))*$F132))</f>
        <v>29239220.423684325</v>
      </c>
      <c r="J132" s="101">
        <f t="shared" ref="J132:J137" si="83">IF(VLOOKUP($D132,$C$5:$AJ$644,8,)=0,0,((VLOOKUP($D132,$C$5:$AJ$644,8,)/VLOOKUP($D132,$C$5:$AJ$644,4,))*$F132))</f>
        <v>24034540.59301389</v>
      </c>
      <c r="K132" s="101">
        <f t="shared" ref="K132:K137" si="84">IF(VLOOKUP($D132,$C$5:$AJ$644,9,)=0,0,((VLOOKUP($D132,$C$5:$AJ$644,9,)/VLOOKUP($D132,$C$5:$AJ$644,4,))*$F132))</f>
        <v>0</v>
      </c>
      <c r="L132" s="101">
        <f t="shared" ref="L132:L137" si="85">IF(VLOOKUP($D132,$C$5:$AJ$644,10,)=0,0,((VLOOKUP($D132,$C$5:$AJ$644,10,)/VLOOKUP($D132,$C$5:$AJ$644,4,))*$F132))</f>
        <v>0</v>
      </c>
      <c r="M132" s="101">
        <f t="shared" ref="M132:M137" si="86">IF(VLOOKUP($D132,$C$5:$AJ$644,11,)=0,0,((VLOOKUP($D132,$C$5:$AJ$644,11,)/VLOOKUP($D132,$C$5:$AJ$644,4,))*$F132))</f>
        <v>0</v>
      </c>
      <c r="N132" s="101"/>
      <c r="O132" s="101">
        <f t="shared" ref="O132:O137" si="87">IF(VLOOKUP($D132,$C$5:$AJ$644,13,)=0,0,((VLOOKUP($D132,$C$5:$AJ$644,13,)/VLOOKUP($D132,$C$5:$AJ$644,4,))*$F132))</f>
        <v>0</v>
      </c>
      <c r="P132" s="101">
        <f t="shared" ref="P132:P137" si="88">IF(VLOOKUP($D132,$C$5:$AJ$644,14,)=0,0,((VLOOKUP($D132,$C$5:$AJ$644,14,)/VLOOKUP($D132,$C$5:$AJ$644,4,))*$F132))</f>
        <v>0</v>
      </c>
      <c r="Q132" s="101">
        <f t="shared" ref="Q132:Q137" si="89">IF(VLOOKUP($D132,$C$5:$AJ$644,15,)=0,0,((VLOOKUP($D132,$C$5:$AJ$644,15,)/VLOOKUP($D132,$C$5:$AJ$644,4,))*$F132))</f>
        <v>0</v>
      </c>
      <c r="R132" s="101"/>
      <c r="S132" s="101">
        <f t="shared" ref="S132:S137" si="90">IF(VLOOKUP($D132,$C$5:$AJ$644,17,)=0,0,((VLOOKUP($D132,$C$5:$AJ$644,17,)/VLOOKUP($D132,$C$5:$AJ$644,4,))*$F132))</f>
        <v>0</v>
      </c>
      <c r="T132" s="101">
        <f t="shared" ref="T132:T137" si="91">IF(VLOOKUP($D132,$C$5:$AJ$644,18,)=0,0,((VLOOKUP($D132,$C$5:$AJ$644,18,)/VLOOKUP($D132,$C$5:$AJ$644,4,))*$F132))</f>
        <v>0</v>
      </c>
      <c r="U132" s="101">
        <f t="shared" ref="U132:U137" si="92">IF(VLOOKUP($D132,$C$5:$AJ$644,19,)=0,0,((VLOOKUP($D132,$C$5:$AJ$644,19,)/VLOOKUP($D132,$C$5:$AJ$644,4,))*$F132))</f>
        <v>0</v>
      </c>
      <c r="V132" s="101">
        <f t="shared" ref="V132:V137" si="93">IF(VLOOKUP($D132,$C$5:$AJ$644,20,)=0,0,((VLOOKUP($D132,$C$5:$AJ$644,20,)/VLOOKUP($D132,$C$5:$AJ$644,4,))*$F132))</f>
        <v>0</v>
      </c>
      <c r="W132" s="101">
        <f t="shared" ref="W132:W137" si="94">IF(VLOOKUP($D132,$C$5:$AJ$644,21,)=0,0,((VLOOKUP($D132,$C$5:$AJ$644,21,)/VLOOKUP($D132,$C$5:$AJ$644,4,))*$F132))</f>
        <v>0</v>
      </c>
      <c r="X132" s="101">
        <f t="shared" ref="X132:X137" si="95">IF(VLOOKUP($D132,$C$5:$AJ$644,22,)=0,0,((VLOOKUP($D132,$C$5:$AJ$644,22,)/VLOOKUP($D132,$C$5:$AJ$644,4,))*$F132))</f>
        <v>0</v>
      </c>
      <c r="Y132" s="101">
        <f t="shared" ref="Y132:Y137" si="96">IF(VLOOKUP($D132,$C$5:$AJ$644,23,)=0,0,((VLOOKUP($D132,$C$5:$AJ$644,23,)/VLOOKUP($D132,$C$5:$AJ$644,4,))*$F132))</f>
        <v>0</v>
      </c>
      <c r="Z132" s="101">
        <f t="shared" ref="Z132:Z137" si="97">IF(VLOOKUP($D132,$C$5:$AJ$644,24,)=0,0,((VLOOKUP($D132,$C$5:$AJ$644,24,)/VLOOKUP($D132,$C$5:$AJ$644,4,))*$F132))</f>
        <v>0</v>
      </c>
      <c r="AA132" s="101">
        <f t="shared" ref="AA132:AA137" si="98">IF(VLOOKUP($D132,$C$5:$AJ$644,25,)=0,0,((VLOOKUP($D132,$C$5:$AJ$644,25,)/VLOOKUP($D132,$C$5:$AJ$644,4,))*$F132))</f>
        <v>0</v>
      </c>
      <c r="AB132" s="101">
        <f t="shared" ref="AB132:AB137" si="99">IF(VLOOKUP($D132,$C$5:$AJ$644,26,)=0,0,((VLOOKUP($D132,$C$5:$AJ$644,26,)/VLOOKUP($D132,$C$5:$AJ$644,4,))*$F132))</f>
        <v>0</v>
      </c>
      <c r="AC132" s="101">
        <f t="shared" ref="AC132:AC137" si="100">IF(VLOOKUP($D132,$C$5:$AJ$644,27,)=0,0,((VLOOKUP($D132,$C$5:$AJ$644,27,)/VLOOKUP($D132,$C$5:$AJ$644,4,))*$F132))</f>
        <v>0</v>
      </c>
      <c r="AD132" s="101">
        <f t="shared" ref="AD132:AD137" si="101">IF(VLOOKUP($D132,$C$5:$AJ$644,28,)=0,0,((VLOOKUP($D132,$C$5:$AJ$644,28,)/VLOOKUP($D132,$C$5:$AJ$644,4,))*$F132))</f>
        <v>0</v>
      </c>
      <c r="AE132" s="101"/>
      <c r="AF132" s="101">
        <f t="shared" ref="AF132:AF137" si="102">IF(VLOOKUP($D132,$C$5:$AJ$644,30,)=0,0,((VLOOKUP($D132,$C$5:$AJ$644,30,)/VLOOKUP($D132,$C$5:$AJ$644,4,))*$F132))</f>
        <v>0</v>
      </c>
      <c r="AG132" s="101"/>
      <c r="AH132" s="101">
        <f t="shared" ref="AH132:AH137" si="103">IF(VLOOKUP($D132,$C$5:$AJ$644,32,)=0,0,((VLOOKUP($D132,$C$5:$AJ$644,32,)/VLOOKUP($D132,$C$5:$AJ$644,4,))*$F132))</f>
        <v>0</v>
      </c>
      <c r="AI132" s="101"/>
      <c r="AJ132" s="101">
        <f t="shared" ref="AJ132:AJ137" si="104">IF(VLOOKUP($D132,$C$5:$AJ$644,34,)=0,0,((VLOOKUP($D132,$C$5:$AJ$644,34,)/VLOOKUP($D132,$C$5:$AJ$644,4,))*$F132))</f>
        <v>0</v>
      </c>
      <c r="AK132" s="101">
        <f t="shared" ref="AK132:AK137" si="105">SUM(H132:AJ132)</f>
        <v>81185411.398252815</v>
      </c>
      <c r="AL132" s="98" t="str">
        <f t="shared" ref="AL132:AL139" si="106">IF(ABS(AK132-F132)&lt;1,"ok","err")</f>
        <v>ok</v>
      </c>
    </row>
    <row r="133" spans="1:38" ht="15.75" x14ac:dyDescent="0.25">
      <c r="A133" s="33" t="s">
        <v>724</v>
      </c>
      <c r="C133" s="97" t="s">
        <v>720</v>
      </c>
      <c r="D133" s="97" t="s">
        <v>491</v>
      </c>
      <c r="F133" s="101">
        <f>'Jurisdictional Study'!F889</f>
        <v>0</v>
      </c>
      <c r="H133" s="101">
        <f t="shared" si="81"/>
        <v>0</v>
      </c>
      <c r="I133" s="101">
        <f t="shared" si="82"/>
        <v>0</v>
      </c>
      <c r="J133" s="101">
        <f t="shared" si="83"/>
        <v>0</v>
      </c>
      <c r="K133" s="101">
        <f t="shared" si="84"/>
        <v>0</v>
      </c>
      <c r="L133" s="101">
        <f t="shared" si="85"/>
        <v>0</v>
      </c>
      <c r="M133" s="101">
        <f t="shared" si="86"/>
        <v>0</v>
      </c>
      <c r="N133" s="101"/>
      <c r="O133" s="101">
        <f t="shared" si="87"/>
        <v>0</v>
      </c>
      <c r="P133" s="101">
        <f t="shared" si="88"/>
        <v>0</v>
      </c>
      <c r="Q133" s="101">
        <f t="shared" si="89"/>
        <v>0</v>
      </c>
      <c r="R133" s="101"/>
      <c r="S133" s="101">
        <f t="shared" si="90"/>
        <v>0</v>
      </c>
      <c r="T133" s="101">
        <f t="shared" si="91"/>
        <v>0</v>
      </c>
      <c r="U133" s="101">
        <f t="shared" si="92"/>
        <v>0</v>
      </c>
      <c r="V133" s="101">
        <f t="shared" si="93"/>
        <v>0</v>
      </c>
      <c r="W133" s="101">
        <f t="shared" si="94"/>
        <v>0</v>
      </c>
      <c r="X133" s="101">
        <f t="shared" si="95"/>
        <v>0</v>
      </c>
      <c r="Y133" s="101">
        <f t="shared" si="96"/>
        <v>0</v>
      </c>
      <c r="Z133" s="101">
        <f t="shared" si="97"/>
        <v>0</v>
      </c>
      <c r="AA133" s="101">
        <f t="shared" si="98"/>
        <v>0</v>
      </c>
      <c r="AB133" s="101">
        <f t="shared" si="99"/>
        <v>0</v>
      </c>
      <c r="AC133" s="101">
        <f t="shared" si="100"/>
        <v>0</v>
      </c>
      <c r="AD133" s="101">
        <f t="shared" si="101"/>
        <v>0</v>
      </c>
      <c r="AE133" s="101"/>
      <c r="AF133" s="101">
        <f t="shared" si="102"/>
        <v>0</v>
      </c>
      <c r="AG133" s="101"/>
      <c r="AH133" s="101">
        <f t="shared" si="103"/>
        <v>0</v>
      </c>
      <c r="AI133" s="101"/>
      <c r="AJ133" s="101">
        <f t="shared" si="104"/>
        <v>0</v>
      </c>
      <c r="AK133" s="101">
        <f t="shared" si="105"/>
        <v>0</v>
      </c>
      <c r="AL133" s="98" t="str">
        <f t="shared" si="106"/>
        <v>ok</v>
      </c>
    </row>
    <row r="134" spans="1:38" ht="15.75" x14ac:dyDescent="0.25">
      <c r="A134" s="33" t="s">
        <v>725</v>
      </c>
      <c r="C134" s="97" t="s">
        <v>721</v>
      </c>
      <c r="D134" s="97" t="s">
        <v>491</v>
      </c>
      <c r="F134" s="101">
        <f>'Jurisdictional Study'!F890</f>
        <v>0</v>
      </c>
      <c r="H134" s="101">
        <f t="shared" si="81"/>
        <v>0</v>
      </c>
      <c r="I134" s="101">
        <f t="shared" si="82"/>
        <v>0</v>
      </c>
      <c r="J134" s="101">
        <f t="shared" si="83"/>
        <v>0</v>
      </c>
      <c r="K134" s="101">
        <f t="shared" si="84"/>
        <v>0</v>
      </c>
      <c r="L134" s="101">
        <f t="shared" si="85"/>
        <v>0</v>
      </c>
      <c r="M134" s="101">
        <f t="shared" si="86"/>
        <v>0</v>
      </c>
      <c r="N134" s="101"/>
      <c r="O134" s="101">
        <f t="shared" si="87"/>
        <v>0</v>
      </c>
      <c r="P134" s="101">
        <f t="shared" si="88"/>
        <v>0</v>
      </c>
      <c r="Q134" s="101">
        <f t="shared" si="89"/>
        <v>0</v>
      </c>
      <c r="R134" s="101"/>
      <c r="S134" s="101">
        <f t="shared" si="90"/>
        <v>0</v>
      </c>
      <c r="T134" s="101">
        <f t="shared" si="91"/>
        <v>0</v>
      </c>
      <c r="U134" s="101">
        <f t="shared" si="92"/>
        <v>0</v>
      </c>
      <c r="V134" s="101">
        <f t="shared" si="93"/>
        <v>0</v>
      </c>
      <c r="W134" s="101">
        <f t="shared" si="94"/>
        <v>0</v>
      </c>
      <c r="X134" s="101">
        <f t="shared" si="95"/>
        <v>0</v>
      </c>
      <c r="Y134" s="101">
        <f t="shared" si="96"/>
        <v>0</v>
      </c>
      <c r="Z134" s="101">
        <f t="shared" si="97"/>
        <v>0</v>
      </c>
      <c r="AA134" s="101">
        <f t="shared" si="98"/>
        <v>0</v>
      </c>
      <c r="AB134" s="101">
        <f t="shared" si="99"/>
        <v>0</v>
      </c>
      <c r="AC134" s="101">
        <f t="shared" si="100"/>
        <v>0</v>
      </c>
      <c r="AD134" s="101">
        <f t="shared" si="101"/>
        <v>0</v>
      </c>
      <c r="AE134" s="101"/>
      <c r="AF134" s="101">
        <f t="shared" si="102"/>
        <v>0</v>
      </c>
      <c r="AG134" s="101"/>
      <c r="AH134" s="101">
        <f t="shared" si="103"/>
        <v>0</v>
      </c>
      <c r="AI134" s="101"/>
      <c r="AJ134" s="101">
        <f t="shared" si="104"/>
        <v>0</v>
      </c>
      <c r="AK134" s="101">
        <f t="shared" si="105"/>
        <v>0</v>
      </c>
      <c r="AL134" s="98" t="str">
        <f t="shared" si="106"/>
        <v>ok</v>
      </c>
    </row>
    <row r="135" spans="1:38" ht="15.75" x14ac:dyDescent="0.25">
      <c r="A135" s="33" t="s">
        <v>726</v>
      </c>
      <c r="C135" s="97" t="s">
        <v>719</v>
      </c>
      <c r="D135" s="97" t="s">
        <v>115</v>
      </c>
      <c r="F135" s="101">
        <f>'Jurisdictional Study'!F891</f>
        <v>0</v>
      </c>
      <c r="H135" s="101">
        <f t="shared" si="81"/>
        <v>0</v>
      </c>
      <c r="I135" s="101">
        <f t="shared" si="82"/>
        <v>0</v>
      </c>
      <c r="J135" s="101">
        <f t="shared" si="83"/>
        <v>0</v>
      </c>
      <c r="K135" s="101">
        <f t="shared" si="84"/>
        <v>0</v>
      </c>
      <c r="L135" s="101">
        <f t="shared" si="85"/>
        <v>0</v>
      </c>
      <c r="M135" s="101">
        <f t="shared" si="86"/>
        <v>0</v>
      </c>
      <c r="N135" s="101"/>
      <c r="O135" s="101">
        <f t="shared" si="87"/>
        <v>0</v>
      </c>
      <c r="P135" s="101">
        <f t="shared" si="88"/>
        <v>0</v>
      </c>
      <c r="Q135" s="101">
        <f t="shared" si="89"/>
        <v>0</v>
      </c>
      <c r="R135" s="101"/>
      <c r="S135" s="101">
        <f t="shared" si="90"/>
        <v>0</v>
      </c>
      <c r="T135" s="101">
        <f t="shared" si="91"/>
        <v>0</v>
      </c>
      <c r="U135" s="101">
        <f t="shared" si="92"/>
        <v>0</v>
      </c>
      <c r="V135" s="101">
        <f t="shared" si="93"/>
        <v>0</v>
      </c>
      <c r="W135" s="101">
        <f t="shared" si="94"/>
        <v>0</v>
      </c>
      <c r="X135" s="101">
        <f t="shared" si="95"/>
        <v>0</v>
      </c>
      <c r="Y135" s="101">
        <f t="shared" si="96"/>
        <v>0</v>
      </c>
      <c r="Z135" s="101">
        <f t="shared" si="97"/>
        <v>0</v>
      </c>
      <c r="AA135" s="101">
        <f t="shared" si="98"/>
        <v>0</v>
      </c>
      <c r="AB135" s="101">
        <f t="shared" si="99"/>
        <v>0</v>
      </c>
      <c r="AC135" s="101">
        <f t="shared" si="100"/>
        <v>0</v>
      </c>
      <c r="AD135" s="101">
        <f t="shared" si="101"/>
        <v>0</v>
      </c>
      <c r="AE135" s="101"/>
      <c r="AF135" s="101">
        <f t="shared" si="102"/>
        <v>0</v>
      </c>
      <c r="AG135" s="101"/>
      <c r="AH135" s="101">
        <f t="shared" si="103"/>
        <v>0</v>
      </c>
      <c r="AI135" s="101"/>
      <c r="AJ135" s="101">
        <f t="shared" si="104"/>
        <v>0</v>
      </c>
      <c r="AK135" s="101">
        <f t="shared" si="105"/>
        <v>0</v>
      </c>
      <c r="AL135" s="98" t="str">
        <f t="shared" si="106"/>
        <v>ok</v>
      </c>
    </row>
    <row r="136" spans="1:38" ht="15.75" x14ac:dyDescent="0.25">
      <c r="A136" s="33" t="s">
        <v>728</v>
      </c>
      <c r="C136" s="97" t="s">
        <v>718</v>
      </c>
      <c r="D136" s="97" t="s">
        <v>115</v>
      </c>
      <c r="F136" s="101">
        <f>'Jurisdictional Study'!F892</f>
        <v>0</v>
      </c>
      <c r="H136" s="101">
        <f t="shared" si="81"/>
        <v>0</v>
      </c>
      <c r="I136" s="101">
        <f t="shared" si="82"/>
        <v>0</v>
      </c>
      <c r="J136" s="101">
        <f t="shared" si="83"/>
        <v>0</v>
      </c>
      <c r="K136" s="101">
        <f t="shared" si="84"/>
        <v>0</v>
      </c>
      <c r="L136" s="101">
        <f t="shared" si="85"/>
        <v>0</v>
      </c>
      <c r="M136" s="101">
        <f t="shared" si="86"/>
        <v>0</v>
      </c>
      <c r="N136" s="101"/>
      <c r="O136" s="101">
        <f t="shared" si="87"/>
        <v>0</v>
      </c>
      <c r="P136" s="101">
        <f t="shared" si="88"/>
        <v>0</v>
      </c>
      <c r="Q136" s="101">
        <f t="shared" si="89"/>
        <v>0</v>
      </c>
      <c r="R136" s="101"/>
      <c r="S136" s="101">
        <f t="shared" si="90"/>
        <v>0</v>
      </c>
      <c r="T136" s="101">
        <f t="shared" si="91"/>
        <v>0</v>
      </c>
      <c r="U136" s="101">
        <f t="shared" si="92"/>
        <v>0</v>
      </c>
      <c r="V136" s="101">
        <f t="shared" si="93"/>
        <v>0</v>
      </c>
      <c r="W136" s="101">
        <f t="shared" si="94"/>
        <v>0</v>
      </c>
      <c r="X136" s="101">
        <f t="shared" si="95"/>
        <v>0</v>
      </c>
      <c r="Y136" s="101">
        <f t="shared" si="96"/>
        <v>0</v>
      </c>
      <c r="Z136" s="101">
        <f t="shared" si="97"/>
        <v>0</v>
      </c>
      <c r="AA136" s="101">
        <f t="shared" si="98"/>
        <v>0</v>
      </c>
      <c r="AB136" s="101">
        <f t="shared" si="99"/>
        <v>0</v>
      </c>
      <c r="AC136" s="101">
        <f t="shared" si="100"/>
        <v>0</v>
      </c>
      <c r="AD136" s="101">
        <f t="shared" si="101"/>
        <v>0</v>
      </c>
      <c r="AE136" s="101"/>
      <c r="AF136" s="101">
        <f t="shared" si="102"/>
        <v>0</v>
      </c>
      <c r="AG136" s="101"/>
      <c r="AH136" s="101">
        <f t="shared" si="103"/>
        <v>0</v>
      </c>
      <c r="AI136" s="101"/>
      <c r="AJ136" s="101">
        <f t="shared" si="104"/>
        <v>0</v>
      </c>
      <c r="AK136" s="101">
        <f t="shared" si="105"/>
        <v>0</v>
      </c>
      <c r="AL136" s="98" t="str">
        <f t="shared" si="106"/>
        <v>ok</v>
      </c>
    </row>
    <row r="137" spans="1:38" ht="15.75" x14ac:dyDescent="0.25">
      <c r="A137" s="33" t="s">
        <v>159</v>
      </c>
      <c r="C137" s="97" t="s">
        <v>717</v>
      </c>
      <c r="D137" s="97" t="s">
        <v>492</v>
      </c>
      <c r="F137" s="101">
        <f>'Jurisdictional Study'!F893</f>
        <v>0</v>
      </c>
      <c r="H137" s="101">
        <f t="shared" si="81"/>
        <v>0</v>
      </c>
      <c r="I137" s="101">
        <f t="shared" si="82"/>
        <v>0</v>
      </c>
      <c r="J137" s="101">
        <f t="shared" si="83"/>
        <v>0</v>
      </c>
      <c r="K137" s="101">
        <f t="shared" si="84"/>
        <v>0</v>
      </c>
      <c r="L137" s="101">
        <f t="shared" si="85"/>
        <v>0</v>
      </c>
      <c r="M137" s="101">
        <f t="shared" si="86"/>
        <v>0</v>
      </c>
      <c r="N137" s="101"/>
      <c r="O137" s="101">
        <f t="shared" si="87"/>
        <v>0</v>
      </c>
      <c r="P137" s="101">
        <f t="shared" si="88"/>
        <v>0</v>
      </c>
      <c r="Q137" s="101">
        <f t="shared" si="89"/>
        <v>0</v>
      </c>
      <c r="R137" s="101"/>
      <c r="S137" s="101">
        <f t="shared" si="90"/>
        <v>0</v>
      </c>
      <c r="T137" s="101">
        <f t="shared" si="91"/>
        <v>0</v>
      </c>
      <c r="U137" s="101">
        <f t="shared" si="92"/>
        <v>0</v>
      </c>
      <c r="V137" s="101">
        <f t="shared" si="93"/>
        <v>0</v>
      </c>
      <c r="W137" s="101">
        <f t="shared" si="94"/>
        <v>0</v>
      </c>
      <c r="X137" s="101">
        <f t="shared" si="95"/>
        <v>0</v>
      </c>
      <c r="Y137" s="101">
        <f t="shared" si="96"/>
        <v>0</v>
      </c>
      <c r="Z137" s="101">
        <f t="shared" si="97"/>
        <v>0</v>
      </c>
      <c r="AA137" s="101">
        <f t="shared" si="98"/>
        <v>0</v>
      </c>
      <c r="AB137" s="101">
        <f t="shared" si="99"/>
        <v>0</v>
      </c>
      <c r="AC137" s="101">
        <f t="shared" si="100"/>
        <v>0</v>
      </c>
      <c r="AD137" s="101">
        <f t="shared" si="101"/>
        <v>0</v>
      </c>
      <c r="AE137" s="101"/>
      <c r="AF137" s="101">
        <f t="shared" si="102"/>
        <v>0</v>
      </c>
      <c r="AG137" s="101"/>
      <c r="AH137" s="101">
        <f t="shared" si="103"/>
        <v>0</v>
      </c>
      <c r="AI137" s="101"/>
      <c r="AJ137" s="101">
        <f t="shared" si="104"/>
        <v>0</v>
      </c>
      <c r="AK137" s="101">
        <f t="shared" si="105"/>
        <v>0</v>
      </c>
      <c r="AL137" s="98" t="str">
        <f t="shared" si="106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727</v>
      </c>
      <c r="C139" s="97" t="s">
        <v>716</v>
      </c>
      <c r="F139" s="101">
        <f>SUM(F132:F138)</f>
        <v>81185411.398252815</v>
      </c>
      <c r="H139" s="101">
        <f t="shared" ref="H139:M139" si="107">SUM(H132:H138)</f>
        <v>27911650.3815546</v>
      </c>
      <c r="I139" s="101">
        <f t="shared" si="107"/>
        <v>29239220.423684325</v>
      </c>
      <c r="J139" s="101">
        <f t="shared" si="107"/>
        <v>24034540.59301389</v>
      </c>
      <c r="K139" s="101">
        <f t="shared" si="107"/>
        <v>0</v>
      </c>
      <c r="L139" s="101">
        <f t="shared" si="107"/>
        <v>0</v>
      </c>
      <c r="M139" s="101">
        <f t="shared" si="107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8">SUM(S132:S138)</f>
        <v>0</v>
      </c>
      <c r="T139" s="101">
        <f t="shared" si="108"/>
        <v>0</v>
      </c>
      <c r="U139" s="101">
        <f t="shared" si="108"/>
        <v>0</v>
      </c>
      <c r="V139" s="101">
        <f t="shared" si="108"/>
        <v>0</v>
      </c>
      <c r="W139" s="101">
        <f t="shared" si="108"/>
        <v>0</v>
      </c>
      <c r="X139" s="101">
        <f t="shared" si="108"/>
        <v>0</v>
      </c>
      <c r="Y139" s="101">
        <f t="shared" si="108"/>
        <v>0</v>
      </c>
      <c r="Z139" s="101">
        <f t="shared" si="108"/>
        <v>0</v>
      </c>
      <c r="AA139" s="101">
        <f t="shared" si="108"/>
        <v>0</v>
      </c>
      <c r="AB139" s="101">
        <f t="shared" si="108"/>
        <v>0</v>
      </c>
      <c r="AC139" s="101">
        <f t="shared" si="108"/>
        <v>0</v>
      </c>
      <c r="AD139" s="101">
        <f t="shared" si="108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6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471</v>
      </c>
      <c r="F141" s="102">
        <f>F129+F139</f>
        <v>991613109.39424479</v>
      </c>
      <c r="G141" s="102"/>
      <c r="H141" s="102">
        <f t="shared" ref="H141:M141" si="109">H129+H139</f>
        <v>209403594.46109107</v>
      </c>
      <c r="I141" s="102">
        <f t="shared" si="109"/>
        <v>219363519.25667182</v>
      </c>
      <c r="J141" s="102">
        <f t="shared" si="109"/>
        <v>180316073.13067067</v>
      </c>
      <c r="K141" s="102">
        <f t="shared" si="109"/>
        <v>0</v>
      </c>
      <c r="L141" s="102">
        <f t="shared" si="109"/>
        <v>0</v>
      </c>
      <c r="M141" s="102">
        <f t="shared" si="109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10">S129+S139</f>
        <v>0</v>
      </c>
      <c r="T141" s="102">
        <f t="shared" si="110"/>
        <v>30144998.456875868</v>
      </c>
      <c r="U141" s="102">
        <f t="shared" si="110"/>
        <v>0</v>
      </c>
      <c r="V141" s="102">
        <f t="shared" si="110"/>
        <v>32848762.121793214</v>
      </c>
      <c r="W141" s="102">
        <f t="shared" si="110"/>
        <v>60915071.724411249</v>
      </c>
      <c r="X141" s="102">
        <f t="shared" si="110"/>
        <v>15122134.328979671</v>
      </c>
      <c r="Y141" s="102">
        <f t="shared" si="110"/>
        <v>23116770.139058147</v>
      </c>
      <c r="Z141" s="102">
        <f t="shared" si="110"/>
        <v>23474807.708125807</v>
      </c>
      <c r="AA141" s="102">
        <f t="shared" si="110"/>
        <v>20889748.261486568</v>
      </c>
      <c r="AB141" s="102">
        <f t="shared" si="110"/>
        <v>13985108.380096896</v>
      </c>
      <c r="AC141" s="102">
        <f t="shared" si="110"/>
        <v>11932568.798414184</v>
      </c>
      <c r="AD141" s="102">
        <f t="shared" si="110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1300</v>
      </c>
      <c r="C142" s="97" t="s">
        <v>800</v>
      </c>
      <c r="D142" s="97" t="s">
        <v>572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1870</v>
      </c>
      <c r="D143" s="97" t="s">
        <v>731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801</v>
      </c>
      <c r="C145" s="97" t="s">
        <v>802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1">H96-H108+H117-H142+H119-H141-H143</f>
        <v>711137998.01659751</v>
      </c>
      <c r="I145" s="102">
        <f t="shared" si="111"/>
        <v>744544986.77898896</v>
      </c>
      <c r="J145" s="102">
        <f t="shared" si="111"/>
        <v>612781961.00732768</v>
      </c>
      <c r="K145" s="102">
        <f t="shared" si="111"/>
        <v>71897457.403322741</v>
      </c>
      <c r="L145" s="102">
        <f t="shared" si="111"/>
        <v>0</v>
      </c>
      <c r="M145" s="102">
        <f t="shared" si="111"/>
        <v>0</v>
      </c>
      <c r="N145" s="102">
        <f t="shared" si="111"/>
        <v>0</v>
      </c>
      <c r="O145" s="102">
        <f t="shared" si="111"/>
        <v>519102553.3642441</v>
      </c>
      <c r="P145" s="102">
        <f t="shared" si="111"/>
        <v>0</v>
      </c>
      <c r="Q145" s="102">
        <f t="shared" si="111"/>
        <v>0</v>
      </c>
      <c r="R145" s="102">
        <f t="shared" si="111"/>
        <v>0</v>
      </c>
      <c r="S145" s="102">
        <f t="shared" si="111"/>
        <v>0</v>
      </c>
      <c r="T145" s="102">
        <f t="shared" si="111"/>
        <v>117648308.97873548</v>
      </c>
      <c r="U145" s="102">
        <f t="shared" si="111"/>
        <v>0</v>
      </c>
      <c r="V145" s="102">
        <f t="shared" si="111"/>
        <v>128492991.12166929</v>
      </c>
      <c r="W145" s="102">
        <f t="shared" si="111"/>
        <v>237858859.69578904</v>
      </c>
      <c r="X145" s="102">
        <f t="shared" si="111"/>
        <v>59228567.147904932</v>
      </c>
      <c r="Y145" s="102">
        <f t="shared" si="111"/>
        <v>90497598.872227833</v>
      </c>
      <c r="Z145" s="102">
        <f t="shared" si="111"/>
        <v>91286845.786817849</v>
      </c>
      <c r="AA145" s="102">
        <f t="shared" si="111"/>
        <v>81234285.357390851</v>
      </c>
      <c r="AB145" s="102">
        <f t="shared" si="111"/>
        <v>54380433.830800563</v>
      </c>
      <c r="AC145" s="102">
        <f t="shared" si="111"/>
        <v>47701573.839166075</v>
      </c>
      <c r="AD145" s="102">
        <f t="shared" si="111"/>
        <v>64342233.250113457</v>
      </c>
      <c r="AE145" s="102">
        <f t="shared" si="111"/>
        <v>0</v>
      </c>
      <c r="AF145" s="102">
        <f t="shared" si="111"/>
        <v>6169535.4203289226</v>
      </c>
      <c r="AG145" s="102">
        <f t="shared" si="111"/>
        <v>0</v>
      </c>
      <c r="AH145" s="102">
        <f t="shared" si="111"/>
        <v>773569.48959236697</v>
      </c>
      <c r="AI145" s="102">
        <f t="shared" si="111"/>
        <v>0</v>
      </c>
      <c r="AJ145" s="102">
        <f t="shared" si="111"/>
        <v>0</v>
      </c>
      <c r="AK145" s="101">
        <f>SUM(H145:AJ145)</f>
        <v>3639079759.3610177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793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1559</v>
      </c>
      <c r="Y150" s="97"/>
      <c r="AL150" s="98"/>
    </row>
    <row r="151" spans="1:39" x14ac:dyDescent="0.25">
      <c r="A151" s="97">
        <v>500</v>
      </c>
      <c r="B151" s="97" t="s">
        <v>1551</v>
      </c>
      <c r="C151" s="97" t="s">
        <v>1552</v>
      </c>
      <c r="D151" s="97" t="s">
        <v>732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2">SUM(H151:AJ151)</f>
        <v>9442701.0434221905</v>
      </c>
      <c r="AL151" s="98" t="str">
        <f t="shared" ref="AL151:AL156" si="113">IF(ABS(AK151-F151)&lt;1,"ok","err")</f>
        <v>ok</v>
      </c>
    </row>
    <row r="152" spans="1:39" x14ac:dyDescent="0.25">
      <c r="A152" s="111">
        <v>501</v>
      </c>
      <c r="B152" s="97" t="s">
        <v>1553</v>
      </c>
      <c r="C152" s="97" t="s">
        <v>1554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2"/>
        <v>372621658.94834697</v>
      </c>
      <c r="AL152" s="98" t="str">
        <f t="shared" si="113"/>
        <v>ok</v>
      </c>
    </row>
    <row r="153" spans="1:39" x14ac:dyDescent="0.25">
      <c r="A153" s="97">
        <v>502</v>
      </c>
      <c r="B153" s="97" t="s">
        <v>1555</v>
      </c>
      <c r="C153" s="97" t="s">
        <v>1556</v>
      </c>
      <c r="F153" s="101">
        <f>'Jurisdictional Study'!F953-4793230</f>
        <v>15516428.646901891</v>
      </c>
      <c r="H153" s="101">
        <f t="shared" ref="H153:J154" si="114">H361</f>
        <v>2836708.4205598361</v>
      </c>
      <c r="I153" s="101">
        <f t="shared" si="114"/>
        <v>2674101.9074490941</v>
      </c>
      <c r="J153" s="101">
        <f t="shared" si="114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2"/>
        <v>15516428.646901891</v>
      </c>
      <c r="AL153" s="98" t="str">
        <f t="shared" si="113"/>
        <v>ok</v>
      </c>
    </row>
    <row r="154" spans="1:39" x14ac:dyDescent="0.25">
      <c r="A154" s="97">
        <v>505</v>
      </c>
      <c r="B154" s="97" t="s">
        <v>1557</v>
      </c>
      <c r="C154" s="97" t="s">
        <v>1558</v>
      </c>
      <c r="F154" s="101">
        <f>'Jurisdictional Study'!F955</f>
        <v>7214387.5946459835</v>
      </c>
      <c r="H154" s="101">
        <f t="shared" si="114"/>
        <v>2023579.3654843117</v>
      </c>
      <c r="I154" s="101">
        <f t="shared" si="114"/>
        <v>1907583.2404545445</v>
      </c>
      <c r="J154" s="101">
        <f t="shared" si="114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2"/>
        <v>7214387.5946459845</v>
      </c>
      <c r="AL154" s="98" t="str">
        <f t="shared" si="113"/>
        <v>ok</v>
      </c>
    </row>
    <row r="155" spans="1:39" x14ac:dyDescent="0.25">
      <c r="A155" s="97">
        <v>506</v>
      </c>
      <c r="B155" s="97" t="s">
        <v>1560</v>
      </c>
      <c r="C155" s="97" t="s">
        <v>1561</v>
      </c>
      <c r="D155" s="97" t="s">
        <v>734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2"/>
        <v>14444590.015824649</v>
      </c>
      <c r="AL155" s="98" t="str">
        <f t="shared" si="113"/>
        <v>ok</v>
      </c>
    </row>
    <row r="156" spans="1:39" x14ac:dyDescent="0.25">
      <c r="A156" s="97">
        <v>507</v>
      </c>
      <c r="B156" s="97" t="s">
        <v>372</v>
      </c>
      <c r="C156" s="97" t="s">
        <v>1686</v>
      </c>
      <c r="D156" s="97" t="s">
        <v>734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2"/>
        <v>0</v>
      </c>
      <c r="AL156" s="98" t="str">
        <f t="shared" si="113"/>
        <v>ok</v>
      </c>
    </row>
    <row r="157" spans="1:39" x14ac:dyDescent="0.25">
      <c r="A157" s="97">
        <v>509</v>
      </c>
      <c r="B157" s="97" t="s">
        <v>2327</v>
      </c>
      <c r="C157" s="97" t="s">
        <v>2326</v>
      </c>
      <c r="D157" s="97" t="s">
        <v>734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 t="shared" ref="AK157" si="115">SUM(H157:AJ157)</f>
        <v>0</v>
      </c>
      <c r="AL157" s="98" t="str">
        <f t="shared" ref="AL157" si="116"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1562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7">SUM(I151:I158)</f>
        <v>11898541.276501145</v>
      </c>
      <c r="J159" s="100">
        <f t="shared" si="117"/>
        <v>12219884.031343145</v>
      </c>
      <c r="K159" s="100">
        <f t="shared" si="117"/>
        <v>382499274.39349431</v>
      </c>
      <c r="L159" s="100">
        <f t="shared" si="117"/>
        <v>0</v>
      </c>
      <c r="M159" s="100">
        <f t="shared" si="117"/>
        <v>0</v>
      </c>
      <c r="O159" s="100">
        <f t="shared" si="117"/>
        <v>0</v>
      </c>
      <c r="P159" s="100">
        <f>SUM(P151:P158)</f>
        <v>0</v>
      </c>
      <c r="Q159" s="100">
        <f>SUM(Q151:Q158)</f>
        <v>0</v>
      </c>
      <c r="S159" s="100">
        <f t="shared" si="117"/>
        <v>0</v>
      </c>
      <c r="T159" s="100">
        <f t="shared" si="117"/>
        <v>0</v>
      </c>
      <c r="U159" s="100">
        <f t="shared" si="117"/>
        <v>0</v>
      </c>
      <c r="V159" s="100">
        <f t="shared" si="117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7"/>
        <v>0</v>
      </c>
      <c r="AA159" s="100">
        <f t="shared" si="117"/>
        <v>0</v>
      </c>
      <c r="AB159" s="100">
        <f>SUM(AB151:AB158)</f>
        <v>0</v>
      </c>
      <c r="AC159" s="100">
        <f>SUM(AC151:AC158)</f>
        <v>0</v>
      </c>
      <c r="AD159" s="100">
        <f t="shared" si="117"/>
        <v>0</v>
      </c>
      <c r="AF159" s="100">
        <f t="shared" si="117"/>
        <v>0</v>
      </c>
      <c r="AH159" s="100">
        <f t="shared" si="117"/>
        <v>0</v>
      </c>
      <c r="AJ159" s="100">
        <f t="shared" si="117"/>
        <v>0</v>
      </c>
      <c r="AK159" s="100">
        <f t="shared" si="117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1563</v>
      </c>
      <c r="F161" s="100"/>
      <c r="Y161" s="97"/>
      <c r="AL161" s="98"/>
    </row>
    <row r="162" spans="1:38" x14ac:dyDescent="0.25">
      <c r="A162" s="97">
        <v>510</v>
      </c>
      <c r="B162" s="97" t="s">
        <v>585</v>
      </c>
      <c r="C162" s="97" t="s">
        <v>1564</v>
      </c>
      <c r="D162" s="97" t="s">
        <v>1040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584</v>
      </c>
      <c r="C163" s="97" t="s">
        <v>1565</v>
      </c>
      <c r="D163" s="97" t="s">
        <v>734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1566</v>
      </c>
      <c r="C164" s="97" t="s">
        <v>1568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1567</v>
      </c>
      <c r="C165" s="97" t="s">
        <v>1569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1570</v>
      </c>
      <c r="C166" s="97" t="s">
        <v>1571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1572</v>
      </c>
      <c r="F168" s="100">
        <f>SUM(F162:F167)</f>
        <v>67117334.925788</v>
      </c>
      <c r="H168" s="100">
        <f t="shared" ref="H168:M168" si="118">SUM(H162:H167)</f>
        <v>2387583.6238140143</v>
      </c>
      <c r="I168" s="100">
        <f t="shared" si="118"/>
        <v>2250721.9551931387</v>
      </c>
      <c r="J168" s="100">
        <f t="shared" si="118"/>
        <v>2311506.9856147682</v>
      </c>
      <c r="K168" s="100">
        <f t="shared" si="118"/>
        <v>60167522.361166075</v>
      </c>
      <c r="L168" s="100">
        <f t="shared" si="118"/>
        <v>0</v>
      </c>
      <c r="M168" s="100">
        <f t="shared" si="118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9">SUM(S162:S167)</f>
        <v>0</v>
      </c>
      <c r="T168" s="100">
        <f t="shared" si="119"/>
        <v>0</v>
      </c>
      <c r="U168" s="100">
        <f t="shared" si="119"/>
        <v>0</v>
      </c>
      <c r="V168" s="100">
        <f t="shared" si="119"/>
        <v>0</v>
      </c>
      <c r="W168" s="100">
        <f t="shared" si="119"/>
        <v>0</v>
      </c>
      <c r="X168" s="100">
        <f t="shared" si="119"/>
        <v>0</v>
      </c>
      <c r="Y168" s="100">
        <f t="shared" si="119"/>
        <v>0</v>
      </c>
      <c r="Z168" s="100">
        <f t="shared" si="119"/>
        <v>0</v>
      </c>
      <c r="AA168" s="100">
        <f t="shared" si="119"/>
        <v>0</v>
      </c>
      <c r="AB168" s="100">
        <f t="shared" si="119"/>
        <v>0</v>
      </c>
      <c r="AC168" s="100">
        <f t="shared" si="119"/>
        <v>0</v>
      </c>
      <c r="AD168" s="100">
        <f t="shared" si="119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1573</v>
      </c>
      <c r="F170" s="100">
        <f>F159+F168</f>
        <v>486357101.17492968</v>
      </c>
      <c r="H170" s="100">
        <f t="shared" ref="H170:M170" si="120">H159+H168</f>
        <v>15009650.171617081</v>
      </c>
      <c r="I170" s="100">
        <f t="shared" si="120"/>
        <v>14149263.231694285</v>
      </c>
      <c r="J170" s="100">
        <f t="shared" si="120"/>
        <v>14531391.016957913</v>
      </c>
      <c r="K170" s="100">
        <f t="shared" si="120"/>
        <v>442666796.75466037</v>
      </c>
      <c r="L170" s="100">
        <f t="shared" si="120"/>
        <v>0</v>
      </c>
      <c r="M170" s="100">
        <f t="shared" si="120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21">S159+S168</f>
        <v>0</v>
      </c>
      <c r="T170" s="100">
        <f t="shared" si="121"/>
        <v>0</v>
      </c>
      <c r="U170" s="100">
        <f t="shared" si="121"/>
        <v>0</v>
      </c>
      <c r="V170" s="100">
        <f t="shared" si="121"/>
        <v>0</v>
      </c>
      <c r="W170" s="100">
        <f t="shared" si="121"/>
        <v>0</v>
      </c>
      <c r="X170" s="100">
        <f t="shared" si="121"/>
        <v>0</v>
      </c>
      <c r="Y170" s="100">
        <f t="shared" si="121"/>
        <v>0</v>
      </c>
      <c r="Z170" s="100">
        <f t="shared" si="121"/>
        <v>0</v>
      </c>
      <c r="AA170" s="100">
        <f t="shared" si="121"/>
        <v>0</v>
      </c>
      <c r="AB170" s="100">
        <f t="shared" si="121"/>
        <v>0</v>
      </c>
      <c r="AC170" s="100">
        <f t="shared" si="121"/>
        <v>0</v>
      </c>
      <c r="AD170" s="100">
        <f t="shared" si="121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1663</v>
      </c>
      <c r="Y172" s="97"/>
      <c r="AL172" s="98"/>
    </row>
    <row r="173" spans="1:38" x14ac:dyDescent="0.25">
      <c r="A173" s="112">
        <v>535</v>
      </c>
      <c r="B173" s="97" t="s">
        <v>1551</v>
      </c>
      <c r="C173" s="97" t="s">
        <v>1672</v>
      </c>
      <c r="D173" s="97" t="s">
        <v>735</v>
      </c>
      <c r="F173" s="100">
        <f>'Jurisdictional Study'!F970</f>
        <v>0</v>
      </c>
      <c r="H173" s="101">
        <f t="shared" ref="H173:H178" si="122">IF(VLOOKUP($D173,$C$5:$AJ$644,6,)=0,0,((VLOOKUP($D173,$C$5:$AJ$644,6,)/VLOOKUP($D173,$C$5:$AJ$644,4,))*$F173))</f>
        <v>0</v>
      </c>
      <c r="I173" s="101">
        <f t="shared" ref="I173:I178" si="123">IF(VLOOKUP($D173,$C$5:$AJ$644,7,)=0,0,((VLOOKUP($D173,$C$5:$AJ$644,7,)/VLOOKUP($D173,$C$5:$AJ$644,4,))*$F173))</f>
        <v>0</v>
      </c>
      <c r="J173" s="101">
        <f t="shared" ref="J173:J178" si="124">IF(VLOOKUP($D173,$C$5:$AJ$644,8,)=0,0,((VLOOKUP($D173,$C$5:$AJ$644,8,)/VLOOKUP($D173,$C$5:$AJ$644,4,))*$F173))</f>
        <v>0</v>
      </c>
      <c r="K173" s="101">
        <f t="shared" ref="K173:K178" si="125">IF(VLOOKUP($D173,$C$5:$AJ$644,9,)=0,0,((VLOOKUP($D173,$C$5:$AJ$644,9,)/VLOOKUP($D173,$C$5:$AJ$644,4,))*$F173))</f>
        <v>0</v>
      </c>
      <c r="L173" s="101">
        <f t="shared" ref="L173:L178" si="126">IF(VLOOKUP($D173,$C$5:$AJ$644,10,)=0,0,((VLOOKUP($D173,$C$5:$AJ$644,10,)/VLOOKUP($D173,$C$5:$AJ$644,4,))*$F173))</f>
        <v>0</v>
      </c>
      <c r="M173" s="101">
        <f t="shared" ref="M173:M178" si="127">IF(VLOOKUP($D173,$C$5:$AJ$644,11,)=0,0,((VLOOKUP($D173,$C$5:$AJ$644,11,)/VLOOKUP($D173,$C$5:$AJ$644,4,))*$F173))</f>
        <v>0</v>
      </c>
      <c r="N173" s="101"/>
      <c r="O173" s="101">
        <f t="shared" ref="O173:O178" si="128">IF(VLOOKUP($D173,$C$5:$AJ$644,13,)=0,0,((VLOOKUP($D173,$C$5:$AJ$644,13,)/VLOOKUP($D173,$C$5:$AJ$644,4,))*$F173))</f>
        <v>0</v>
      </c>
      <c r="P173" s="101">
        <f t="shared" ref="P173:P178" si="129">IF(VLOOKUP($D173,$C$5:$AJ$644,14,)=0,0,((VLOOKUP($D173,$C$5:$AJ$644,14,)/VLOOKUP($D173,$C$5:$AJ$644,4,))*$F173))</f>
        <v>0</v>
      </c>
      <c r="Q173" s="101">
        <f t="shared" ref="Q173:Q178" si="130">IF(VLOOKUP($D173,$C$5:$AJ$644,15,)=0,0,((VLOOKUP($D173,$C$5:$AJ$644,15,)/VLOOKUP($D173,$C$5:$AJ$644,4,))*$F173))</f>
        <v>0</v>
      </c>
      <c r="R173" s="101"/>
      <c r="S173" s="101">
        <f t="shared" ref="S173:S178" si="131">IF(VLOOKUP($D173,$C$5:$AJ$644,17,)=0,0,((VLOOKUP($D173,$C$5:$AJ$644,17,)/VLOOKUP($D173,$C$5:$AJ$644,4,))*$F173))</f>
        <v>0</v>
      </c>
      <c r="T173" s="101">
        <f t="shared" ref="T173:T178" si="132">IF(VLOOKUP($D173,$C$5:$AJ$644,18,)=0,0,((VLOOKUP($D173,$C$5:$AJ$644,18,)/VLOOKUP($D173,$C$5:$AJ$644,4,))*$F173))</f>
        <v>0</v>
      </c>
      <c r="U173" s="101">
        <f t="shared" ref="U173:U178" si="133">IF(VLOOKUP($D173,$C$5:$AJ$644,19,)=0,0,((VLOOKUP($D173,$C$5:$AJ$644,19,)/VLOOKUP($D173,$C$5:$AJ$644,4,))*$F173))</f>
        <v>0</v>
      </c>
      <c r="V173" s="101">
        <f t="shared" ref="V173:V178" si="134">IF(VLOOKUP($D173,$C$5:$AJ$644,20,)=0,0,((VLOOKUP($D173,$C$5:$AJ$644,20,)/VLOOKUP($D173,$C$5:$AJ$644,4,))*$F173))</f>
        <v>0</v>
      </c>
      <c r="W173" s="101">
        <f t="shared" ref="W173:W178" si="135">IF(VLOOKUP($D173,$C$5:$AJ$644,21,)=0,0,((VLOOKUP($D173,$C$5:$AJ$644,21,)/VLOOKUP($D173,$C$5:$AJ$644,4,))*$F173))</f>
        <v>0</v>
      </c>
      <c r="X173" s="101">
        <f t="shared" ref="X173:X178" si="136">IF(VLOOKUP($D173,$C$5:$AJ$644,22,)=0,0,((VLOOKUP($D173,$C$5:$AJ$644,22,)/VLOOKUP($D173,$C$5:$AJ$644,4,))*$F173))</f>
        <v>0</v>
      </c>
      <c r="Y173" s="101">
        <f t="shared" ref="Y173:Y178" si="137">IF(VLOOKUP($D173,$C$5:$AJ$644,23,)=0,0,((VLOOKUP($D173,$C$5:$AJ$644,23,)/VLOOKUP($D173,$C$5:$AJ$644,4,))*$F173))</f>
        <v>0</v>
      </c>
      <c r="Z173" s="101">
        <f t="shared" ref="Z173:Z178" si="138">IF(VLOOKUP($D173,$C$5:$AJ$644,24,)=0,0,((VLOOKUP($D173,$C$5:$AJ$644,24,)/VLOOKUP($D173,$C$5:$AJ$644,4,))*$F173))</f>
        <v>0</v>
      </c>
      <c r="AA173" s="101">
        <f t="shared" ref="AA173:AA178" si="139">IF(VLOOKUP($D173,$C$5:$AJ$644,25,)=0,0,((VLOOKUP($D173,$C$5:$AJ$644,25,)/VLOOKUP($D173,$C$5:$AJ$644,4,))*$F173))</f>
        <v>0</v>
      </c>
      <c r="AB173" s="101">
        <f t="shared" ref="AB173:AB178" si="140">IF(VLOOKUP($D173,$C$5:$AJ$644,26,)=0,0,((VLOOKUP($D173,$C$5:$AJ$644,26,)/VLOOKUP($D173,$C$5:$AJ$644,4,))*$F173))</f>
        <v>0</v>
      </c>
      <c r="AC173" s="101">
        <f t="shared" ref="AC173:AC178" si="141">IF(VLOOKUP($D173,$C$5:$AJ$644,27,)=0,0,((VLOOKUP($D173,$C$5:$AJ$644,27,)/VLOOKUP($D173,$C$5:$AJ$644,4,))*$F173))</f>
        <v>0</v>
      </c>
      <c r="AD173" s="101">
        <f t="shared" ref="AD173:AD178" si="142">IF(VLOOKUP($D173,$C$5:$AJ$644,28,)=0,0,((VLOOKUP($D173,$C$5:$AJ$644,28,)/VLOOKUP($D173,$C$5:$AJ$644,4,))*$F173))</f>
        <v>0</v>
      </c>
      <c r="AE173" s="101"/>
      <c r="AF173" s="101">
        <f t="shared" ref="AF173:AF178" si="143">IF(VLOOKUP($D173,$C$5:$AJ$644,30,)=0,0,((VLOOKUP($D173,$C$5:$AJ$644,30,)/VLOOKUP($D173,$C$5:$AJ$644,4,))*$F173))</f>
        <v>0</v>
      </c>
      <c r="AG173" s="101"/>
      <c r="AH173" s="101">
        <f t="shared" ref="AH173:AH178" si="144">IF(VLOOKUP($D173,$C$5:$AJ$644,32,)=0,0,((VLOOKUP($D173,$C$5:$AJ$644,32,)/VLOOKUP($D173,$C$5:$AJ$644,4,))*$F173))</f>
        <v>0</v>
      </c>
      <c r="AI173" s="101"/>
      <c r="AJ173" s="101">
        <f t="shared" ref="AJ173:AJ178" si="145">IF(VLOOKUP($D173,$C$5:$AJ$644,34,)=0,0,((VLOOKUP($D173,$C$5:$AJ$644,34,)/VLOOKUP($D173,$C$5:$AJ$644,4,))*$F173))</f>
        <v>0</v>
      </c>
      <c r="AK173" s="101">
        <f t="shared" ref="AK173:AK178" si="146">SUM(H173:AJ173)</f>
        <v>0</v>
      </c>
      <c r="AL173" s="98" t="str">
        <f t="shared" ref="AL173:AL178" si="147">IF(ABS(AK173-F173)&lt;1,"ok","err")</f>
        <v>ok</v>
      </c>
    </row>
    <row r="174" spans="1:38" x14ac:dyDescent="0.25">
      <c r="A174" s="113">
        <v>536</v>
      </c>
      <c r="B174" s="97" t="s">
        <v>1670</v>
      </c>
      <c r="C174" s="97" t="s">
        <v>1673</v>
      </c>
      <c r="D174" s="97" t="s">
        <v>734</v>
      </c>
      <c r="F174" s="101">
        <f>'Jurisdictional Study'!F971</f>
        <v>0</v>
      </c>
      <c r="H174" s="101">
        <f t="shared" si="122"/>
        <v>0</v>
      </c>
      <c r="I174" s="101">
        <f t="shared" si="123"/>
        <v>0</v>
      </c>
      <c r="J174" s="101">
        <f t="shared" si="124"/>
        <v>0</v>
      </c>
      <c r="K174" s="101">
        <f t="shared" si="125"/>
        <v>0</v>
      </c>
      <c r="L174" s="101">
        <f t="shared" si="126"/>
        <v>0</v>
      </c>
      <c r="M174" s="101">
        <f t="shared" si="127"/>
        <v>0</v>
      </c>
      <c r="N174" s="101"/>
      <c r="O174" s="101">
        <f t="shared" si="128"/>
        <v>0</v>
      </c>
      <c r="P174" s="101">
        <f t="shared" si="129"/>
        <v>0</v>
      </c>
      <c r="Q174" s="101">
        <f t="shared" si="130"/>
        <v>0</v>
      </c>
      <c r="R174" s="101"/>
      <c r="S174" s="101">
        <f t="shared" si="131"/>
        <v>0</v>
      </c>
      <c r="T174" s="101">
        <f t="shared" si="132"/>
        <v>0</v>
      </c>
      <c r="U174" s="101">
        <f t="shared" si="133"/>
        <v>0</v>
      </c>
      <c r="V174" s="101">
        <f t="shared" si="134"/>
        <v>0</v>
      </c>
      <c r="W174" s="101">
        <f t="shared" si="135"/>
        <v>0</v>
      </c>
      <c r="X174" s="101">
        <f t="shared" si="136"/>
        <v>0</v>
      </c>
      <c r="Y174" s="101">
        <f t="shared" si="137"/>
        <v>0</v>
      </c>
      <c r="Z174" s="101">
        <f t="shared" si="138"/>
        <v>0</v>
      </c>
      <c r="AA174" s="101">
        <f t="shared" si="139"/>
        <v>0</v>
      </c>
      <c r="AB174" s="101">
        <f t="shared" si="140"/>
        <v>0</v>
      </c>
      <c r="AC174" s="101">
        <f t="shared" si="141"/>
        <v>0</v>
      </c>
      <c r="AD174" s="101">
        <f t="shared" si="142"/>
        <v>0</v>
      </c>
      <c r="AE174" s="101"/>
      <c r="AF174" s="101">
        <f t="shared" si="143"/>
        <v>0</v>
      </c>
      <c r="AG174" s="101"/>
      <c r="AH174" s="101">
        <f t="shared" si="144"/>
        <v>0</v>
      </c>
      <c r="AI174" s="101"/>
      <c r="AJ174" s="101">
        <f t="shared" si="145"/>
        <v>0</v>
      </c>
      <c r="AK174" s="101">
        <f t="shared" si="146"/>
        <v>0</v>
      </c>
      <c r="AL174" s="98" t="str">
        <f t="shared" si="147"/>
        <v>ok</v>
      </c>
    </row>
    <row r="175" spans="1:38" x14ac:dyDescent="0.25">
      <c r="A175" s="97">
        <v>537</v>
      </c>
      <c r="B175" s="97" t="s">
        <v>1669</v>
      </c>
      <c r="C175" s="97" t="s">
        <v>1674</v>
      </c>
      <c r="D175" s="97" t="s">
        <v>734</v>
      </c>
      <c r="F175" s="101">
        <f>'Jurisdictional Study'!F972</f>
        <v>0</v>
      </c>
      <c r="H175" s="101">
        <f t="shared" si="122"/>
        <v>0</v>
      </c>
      <c r="I175" s="101">
        <f t="shared" si="123"/>
        <v>0</v>
      </c>
      <c r="J175" s="101">
        <f t="shared" si="124"/>
        <v>0</v>
      </c>
      <c r="K175" s="101">
        <f t="shared" si="125"/>
        <v>0</v>
      </c>
      <c r="L175" s="101">
        <f t="shared" si="126"/>
        <v>0</v>
      </c>
      <c r="M175" s="101">
        <f t="shared" si="127"/>
        <v>0</v>
      </c>
      <c r="N175" s="101"/>
      <c r="O175" s="101">
        <f t="shared" si="128"/>
        <v>0</v>
      </c>
      <c r="P175" s="101">
        <f t="shared" si="129"/>
        <v>0</v>
      </c>
      <c r="Q175" s="101">
        <f t="shared" si="130"/>
        <v>0</v>
      </c>
      <c r="R175" s="101"/>
      <c r="S175" s="101">
        <f t="shared" si="131"/>
        <v>0</v>
      </c>
      <c r="T175" s="101">
        <f t="shared" si="132"/>
        <v>0</v>
      </c>
      <c r="U175" s="101">
        <f t="shared" si="133"/>
        <v>0</v>
      </c>
      <c r="V175" s="101">
        <f t="shared" si="134"/>
        <v>0</v>
      </c>
      <c r="W175" s="101">
        <f t="shared" si="135"/>
        <v>0</v>
      </c>
      <c r="X175" s="101">
        <f t="shared" si="136"/>
        <v>0</v>
      </c>
      <c r="Y175" s="101">
        <f t="shared" si="137"/>
        <v>0</v>
      </c>
      <c r="Z175" s="101">
        <f t="shared" si="138"/>
        <v>0</v>
      </c>
      <c r="AA175" s="101">
        <f t="shared" si="139"/>
        <v>0</v>
      </c>
      <c r="AB175" s="101">
        <f t="shared" si="140"/>
        <v>0</v>
      </c>
      <c r="AC175" s="101">
        <f t="shared" si="141"/>
        <v>0</v>
      </c>
      <c r="AD175" s="101">
        <f t="shared" si="142"/>
        <v>0</v>
      </c>
      <c r="AE175" s="101"/>
      <c r="AF175" s="101">
        <f t="shared" si="143"/>
        <v>0</v>
      </c>
      <c r="AG175" s="101"/>
      <c r="AH175" s="101">
        <f t="shared" si="144"/>
        <v>0</v>
      </c>
      <c r="AI175" s="101"/>
      <c r="AJ175" s="101">
        <f t="shared" si="145"/>
        <v>0</v>
      </c>
      <c r="AK175" s="101">
        <f t="shared" si="146"/>
        <v>0</v>
      </c>
      <c r="AL175" s="98" t="str">
        <f t="shared" si="147"/>
        <v>ok</v>
      </c>
    </row>
    <row r="176" spans="1:38" x14ac:dyDescent="0.25">
      <c r="A176" s="111">
        <v>538</v>
      </c>
      <c r="B176" s="97" t="s">
        <v>1557</v>
      </c>
      <c r="C176" s="97" t="s">
        <v>1675</v>
      </c>
      <c r="D176" s="97" t="s">
        <v>734</v>
      </c>
      <c r="F176" s="101">
        <f>'Jurisdictional Study'!F973</f>
        <v>0</v>
      </c>
      <c r="H176" s="101">
        <f t="shared" si="122"/>
        <v>0</v>
      </c>
      <c r="I176" s="101">
        <f t="shared" si="123"/>
        <v>0</v>
      </c>
      <c r="J176" s="101">
        <f t="shared" si="124"/>
        <v>0</v>
      </c>
      <c r="K176" s="101">
        <f t="shared" si="125"/>
        <v>0</v>
      </c>
      <c r="L176" s="101">
        <f t="shared" si="126"/>
        <v>0</v>
      </c>
      <c r="M176" s="101">
        <f t="shared" si="127"/>
        <v>0</v>
      </c>
      <c r="N176" s="101"/>
      <c r="O176" s="101">
        <f t="shared" si="128"/>
        <v>0</v>
      </c>
      <c r="P176" s="101">
        <f t="shared" si="129"/>
        <v>0</v>
      </c>
      <c r="Q176" s="101">
        <f t="shared" si="130"/>
        <v>0</v>
      </c>
      <c r="R176" s="101"/>
      <c r="S176" s="101">
        <f t="shared" si="131"/>
        <v>0</v>
      </c>
      <c r="T176" s="101">
        <f t="shared" si="132"/>
        <v>0</v>
      </c>
      <c r="U176" s="101">
        <f t="shared" si="133"/>
        <v>0</v>
      </c>
      <c r="V176" s="101">
        <f t="shared" si="134"/>
        <v>0</v>
      </c>
      <c r="W176" s="101">
        <f t="shared" si="135"/>
        <v>0</v>
      </c>
      <c r="X176" s="101">
        <f t="shared" si="136"/>
        <v>0</v>
      </c>
      <c r="Y176" s="101">
        <f t="shared" si="137"/>
        <v>0</v>
      </c>
      <c r="Z176" s="101">
        <f t="shared" si="138"/>
        <v>0</v>
      </c>
      <c r="AA176" s="101">
        <f t="shared" si="139"/>
        <v>0</v>
      </c>
      <c r="AB176" s="101">
        <f t="shared" si="140"/>
        <v>0</v>
      </c>
      <c r="AC176" s="101">
        <f t="shared" si="141"/>
        <v>0</v>
      </c>
      <c r="AD176" s="101">
        <f t="shared" si="142"/>
        <v>0</v>
      </c>
      <c r="AE176" s="101"/>
      <c r="AF176" s="101">
        <f t="shared" si="143"/>
        <v>0</v>
      </c>
      <c r="AG176" s="101"/>
      <c r="AH176" s="101">
        <f t="shared" si="144"/>
        <v>0</v>
      </c>
      <c r="AI176" s="101"/>
      <c r="AJ176" s="101">
        <f t="shared" si="145"/>
        <v>0</v>
      </c>
      <c r="AK176" s="101">
        <f t="shared" ref="AK176" si="148">SUM(H176:AJ176)</f>
        <v>0</v>
      </c>
      <c r="AL176" s="98" t="str">
        <f t="shared" ref="AL176" si="149">IF(ABS(AK176-F176)&lt;1,"ok","err")</f>
        <v>ok</v>
      </c>
    </row>
    <row r="177" spans="1:38" x14ac:dyDescent="0.25">
      <c r="A177" s="97">
        <v>539</v>
      </c>
      <c r="B177" s="97" t="s">
        <v>674</v>
      </c>
      <c r="C177" s="97" t="s">
        <v>1676</v>
      </c>
      <c r="D177" s="97" t="s">
        <v>734</v>
      </c>
      <c r="F177" s="101">
        <f>'Jurisdictional Study'!F974</f>
        <v>8522.7845649540959</v>
      </c>
      <c r="H177" s="101">
        <f t="shared" si="122"/>
        <v>2927.9726132709379</v>
      </c>
      <c r="I177" s="101">
        <f t="shared" si="123"/>
        <v>2760.1346311656876</v>
      </c>
      <c r="J177" s="101">
        <f t="shared" si="124"/>
        <v>2834.6773205174704</v>
      </c>
      <c r="K177" s="101">
        <f t="shared" si="125"/>
        <v>0</v>
      </c>
      <c r="L177" s="101">
        <f t="shared" si="126"/>
        <v>0</v>
      </c>
      <c r="M177" s="101">
        <f t="shared" si="127"/>
        <v>0</v>
      </c>
      <c r="N177" s="101"/>
      <c r="O177" s="101">
        <f t="shared" si="128"/>
        <v>0</v>
      </c>
      <c r="P177" s="101">
        <f t="shared" si="129"/>
        <v>0</v>
      </c>
      <c r="Q177" s="101">
        <f t="shared" si="130"/>
        <v>0</v>
      </c>
      <c r="R177" s="101"/>
      <c r="S177" s="101">
        <f t="shared" si="131"/>
        <v>0</v>
      </c>
      <c r="T177" s="101">
        <f t="shared" si="132"/>
        <v>0</v>
      </c>
      <c r="U177" s="101">
        <f t="shared" si="133"/>
        <v>0</v>
      </c>
      <c r="V177" s="101">
        <f t="shared" si="134"/>
        <v>0</v>
      </c>
      <c r="W177" s="101">
        <f t="shared" si="135"/>
        <v>0</v>
      </c>
      <c r="X177" s="101">
        <f t="shared" si="136"/>
        <v>0</v>
      </c>
      <c r="Y177" s="101">
        <f t="shared" si="137"/>
        <v>0</v>
      </c>
      <c r="Z177" s="101">
        <f t="shared" si="138"/>
        <v>0</v>
      </c>
      <c r="AA177" s="101">
        <f t="shared" si="139"/>
        <v>0</v>
      </c>
      <c r="AB177" s="101">
        <f t="shared" si="140"/>
        <v>0</v>
      </c>
      <c r="AC177" s="101">
        <f t="shared" si="141"/>
        <v>0</v>
      </c>
      <c r="AD177" s="101">
        <f t="shared" si="142"/>
        <v>0</v>
      </c>
      <c r="AE177" s="101"/>
      <c r="AF177" s="101">
        <f t="shared" si="143"/>
        <v>0</v>
      </c>
      <c r="AG177" s="101"/>
      <c r="AH177" s="101">
        <f t="shared" si="144"/>
        <v>0</v>
      </c>
      <c r="AI177" s="101"/>
      <c r="AJ177" s="101">
        <f t="shared" si="145"/>
        <v>0</v>
      </c>
      <c r="AK177" s="101">
        <f t="shared" si="146"/>
        <v>8522.7845649540959</v>
      </c>
      <c r="AL177" s="98" t="str">
        <f t="shared" si="147"/>
        <v>ok</v>
      </c>
    </row>
    <row r="178" spans="1:38" x14ac:dyDescent="0.25">
      <c r="A178" s="111">
        <v>540</v>
      </c>
      <c r="B178" s="97" t="s">
        <v>372</v>
      </c>
      <c r="D178" s="97" t="s">
        <v>734</v>
      </c>
      <c r="F178" s="101">
        <f>'Jurisdictional Study'!F975</f>
        <v>0</v>
      </c>
      <c r="H178" s="101">
        <f t="shared" si="122"/>
        <v>0</v>
      </c>
      <c r="I178" s="101">
        <f t="shared" si="123"/>
        <v>0</v>
      </c>
      <c r="J178" s="101">
        <f t="shared" si="124"/>
        <v>0</v>
      </c>
      <c r="K178" s="101">
        <f t="shared" si="125"/>
        <v>0</v>
      </c>
      <c r="L178" s="101">
        <f t="shared" si="126"/>
        <v>0</v>
      </c>
      <c r="M178" s="101">
        <f t="shared" si="127"/>
        <v>0</v>
      </c>
      <c r="N178" s="101"/>
      <c r="O178" s="101">
        <f t="shared" si="128"/>
        <v>0</v>
      </c>
      <c r="P178" s="101">
        <f t="shared" si="129"/>
        <v>0</v>
      </c>
      <c r="Q178" s="101">
        <f t="shared" si="130"/>
        <v>0</v>
      </c>
      <c r="R178" s="101"/>
      <c r="S178" s="101">
        <f t="shared" si="131"/>
        <v>0</v>
      </c>
      <c r="T178" s="101">
        <f t="shared" si="132"/>
        <v>0</v>
      </c>
      <c r="U178" s="101">
        <f t="shared" si="133"/>
        <v>0</v>
      </c>
      <c r="V178" s="101">
        <f t="shared" si="134"/>
        <v>0</v>
      </c>
      <c r="W178" s="101">
        <f t="shared" si="135"/>
        <v>0</v>
      </c>
      <c r="X178" s="101">
        <f t="shared" si="136"/>
        <v>0</v>
      </c>
      <c r="Y178" s="101">
        <f t="shared" si="137"/>
        <v>0</v>
      </c>
      <c r="Z178" s="101">
        <f t="shared" si="138"/>
        <v>0</v>
      </c>
      <c r="AA178" s="101">
        <f t="shared" si="139"/>
        <v>0</v>
      </c>
      <c r="AB178" s="101">
        <f t="shared" si="140"/>
        <v>0</v>
      </c>
      <c r="AC178" s="101">
        <f t="shared" si="141"/>
        <v>0</v>
      </c>
      <c r="AD178" s="101">
        <f t="shared" si="142"/>
        <v>0</v>
      </c>
      <c r="AE178" s="101"/>
      <c r="AF178" s="101">
        <f t="shared" si="143"/>
        <v>0</v>
      </c>
      <c r="AG178" s="101"/>
      <c r="AH178" s="101">
        <f t="shared" si="144"/>
        <v>0</v>
      </c>
      <c r="AI178" s="101"/>
      <c r="AJ178" s="101">
        <f t="shared" si="145"/>
        <v>0</v>
      </c>
      <c r="AK178" s="101">
        <f t="shared" si="146"/>
        <v>0</v>
      </c>
      <c r="AL178" s="98" t="str">
        <f t="shared" si="147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1666</v>
      </c>
      <c r="F180" s="100">
        <f>SUM(F173:F179)</f>
        <v>8522.7845649540959</v>
      </c>
      <c r="H180" s="100">
        <f t="shared" ref="H180:M180" si="150">SUM(H173:H179)</f>
        <v>2927.9726132709379</v>
      </c>
      <c r="I180" s="100">
        <f t="shared" si="150"/>
        <v>2760.1346311656876</v>
      </c>
      <c r="J180" s="100">
        <f t="shared" si="150"/>
        <v>2834.6773205174704</v>
      </c>
      <c r="K180" s="100">
        <f t="shared" si="150"/>
        <v>0</v>
      </c>
      <c r="L180" s="100">
        <f t="shared" si="150"/>
        <v>0</v>
      </c>
      <c r="M180" s="100">
        <f t="shared" si="150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51">SUM(S173:S179)</f>
        <v>0</v>
      </c>
      <c r="T180" s="100">
        <f t="shared" si="151"/>
        <v>0</v>
      </c>
      <c r="U180" s="100">
        <f t="shared" si="151"/>
        <v>0</v>
      </c>
      <c r="V180" s="100">
        <f t="shared" si="151"/>
        <v>0</v>
      </c>
      <c r="W180" s="100">
        <f t="shared" si="151"/>
        <v>0</v>
      </c>
      <c r="X180" s="100">
        <f t="shared" si="151"/>
        <v>0</v>
      </c>
      <c r="Y180" s="100">
        <f t="shared" si="151"/>
        <v>0</v>
      </c>
      <c r="Z180" s="100">
        <f t="shared" si="151"/>
        <v>0</v>
      </c>
      <c r="AA180" s="100">
        <f t="shared" si="151"/>
        <v>0</v>
      </c>
      <c r="AB180" s="100">
        <f t="shared" si="151"/>
        <v>0</v>
      </c>
      <c r="AC180" s="100">
        <f t="shared" si="151"/>
        <v>0</v>
      </c>
      <c r="AD180" s="100">
        <f t="shared" si="151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1664</v>
      </c>
      <c r="F182" s="100"/>
      <c r="Y182" s="97"/>
      <c r="AL182" s="98"/>
    </row>
    <row r="183" spans="1:38" x14ac:dyDescent="0.25">
      <c r="A183" s="112">
        <v>541</v>
      </c>
      <c r="B183" s="97" t="s">
        <v>585</v>
      </c>
      <c r="C183" s="97" t="s">
        <v>1677</v>
      </c>
      <c r="D183" s="97" t="s">
        <v>736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584</v>
      </c>
      <c r="C184" s="97" t="s">
        <v>1678</v>
      </c>
      <c r="D184" s="97" t="s">
        <v>734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1665</v>
      </c>
      <c r="C185" s="97" t="s">
        <v>1679</v>
      </c>
      <c r="D185" s="97" t="s">
        <v>734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1567</v>
      </c>
      <c r="C186" s="97" t="s">
        <v>1680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1671</v>
      </c>
      <c r="C187" s="97" t="s">
        <v>1681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1668</v>
      </c>
      <c r="F189" s="100">
        <f>SUM(F183:F188)</f>
        <v>368513.34612494806</v>
      </c>
      <c r="H189" s="100">
        <f t="shared" ref="H189:M189" si="152">SUM(H183:H188)</f>
        <v>111958.9380343259</v>
      </c>
      <c r="I189" s="100">
        <f t="shared" si="152"/>
        <v>105541.19964662426</v>
      </c>
      <c r="J189" s="100">
        <f t="shared" si="152"/>
        <v>108391.54063008208</v>
      </c>
      <c r="K189" s="100">
        <f t="shared" si="152"/>
        <v>42621.667813915803</v>
      </c>
      <c r="L189" s="100">
        <f t="shared" si="152"/>
        <v>0</v>
      </c>
      <c r="M189" s="100">
        <f t="shared" si="152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53">SUM(S183:S188)</f>
        <v>0</v>
      </c>
      <c r="T189" s="100">
        <f t="shared" si="153"/>
        <v>0</v>
      </c>
      <c r="U189" s="100">
        <f t="shared" si="153"/>
        <v>0</v>
      </c>
      <c r="V189" s="100">
        <f t="shared" si="153"/>
        <v>0</v>
      </c>
      <c r="W189" s="100">
        <f t="shared" si="153"/>
        <v>0</v>
      </c>
      <c r="X189" s="100">
        <f t="shared" si="153"/>
        <v>0</v>
      </c>
      <c r="Y189" s="100">
        <f t="shared" si="153"/>
        <v>0</v>
      </c>
      <c r="Z189" s="100">
        <f t="shared" si="153"/>
        <v>0</v>
      </c>
      <c r="AA189" s="100">
        <f t="shared" si="153"/>
        <v>0</v>
      </c>
      <c r="AB189" s="100">
        <f t="shared" si="153"/>
        <v>0</v>
      </c>
      <c r="AC189" s="100">
        <f t="shared" si="153"/>
        <v>0</v>
      </c>
      <c r="AD189" s="100">
        <f t="shared" si="153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1667</v>
      </c>
      <c r="F191" s="100">
        <f>F180+F189</f>
        <v>377036.13068990217</v>
      </c>
      <c r="H191" s="100">
        <f t="shared" ref="H191:M191" si="154">H180+H189</f>
        <v>114886.91064759683</v>
      </c>
      <c r="I191" s="100">
        <f t="shared" si="154"/>
        <v>108301.33427778994</v>
      </c>
      <c r="J191" s="100">
        <f t="shared" si="154"/>
        <v>111226.21795059954</v>
      </c>
      <c r="K191" s="100">
        <f t="shared" si="154"/>
        <v>42621.667813915803</v>
      </c>
      <c r="L191" s="100">
        <f t="shared" si="154"/>
        <v>0</v>
      </c>
      <c r="M191" s="100">
        <f t="shared" si="154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5">S180+S189</f>
        <v>0</v>
      </c>
      <c r="T191" s="100">
        <f t="shared" si="155"/>
        <v>0</v>
      </c>
      <c r="U191" s="100">
        <f t="shared" si="155"/>
        <v>0</v>
      </c>
      <c r="V191" s="100">
        <f t="shared" si="155"/>
        <v>0</v>
      </c>
      <c r="W191" s="100">
        <f t="shared" si="155"/>
        <v>0</v>
      </c>
      <c r="X191" s="100">
        <f t="shared" si="155"/>
        <v>0</v>
      </c>
      <c r="Y191" s="100">
        <f t="shared" si="155"/>
        <v>0</v>
      </c>
      <c r="Z191" s="100">
        <f t="shared" si="155"/>
        <v>0</v>
      </c>
      <c r="AA191" s="100">
        <f t="shared" si="155"/>
        <v>0</v>
      </c>
      <c r="AB191" s="100">
        <f t="shared" si="155"/>
        <v>0</v>
      </c>
      <c r="AC191" s="100">
        <f t="shared" si="155"/>
        <v>0</v>
      </c>
      <c r="AD191" s="100">
        <f t="shared" si="155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1574</v>
      </c>
      <c r="F193" s="100"/>
      <c r="Y193" s="97"/>
      <c r="AL193" s="98"/>
    </row>
    <row r="194" spans="1:38" x14ac:dyDescent="0.25">
      <c r="A194" s="97">
        <v>546</v>
      </c>
      <c r="B194" s="97" t="s">
        <v>1551</v>
      </c>
      <c r="C194" s="97" t="s">
        <v>1575</v>
      </c>
      <c r="D194" s="97" t="s">
        <v>737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1553</v>
      </c>
      <c r="C195" s="97" t="s">
        <v>1576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1577</v>
      </c>
      <c r="C196" s="97" t="s">
        <v>1578</v>
      </c>
      <c r="D196" s="97" t="s">
        <v>734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1579</v>
      </c>
      <c r="C197" s="97" t="s">
        <v>1580</v>
      </c>
      <c r="D197" s="97" t="s">
        <v>734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372</v>
      </c>
      <c r="C198" s="97" t="s">
        <v>1581</v>
      </c>
      <c r="D198" s="97" t="s">
        <v>734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1582</v>
      </c>
      <c r="F200" s="100">
        <f>SUM(F194:F199)</f>
        <v>136095816.07976642</v>
      </c>
      <c r="H200" s="100">
        <f t="shared" ref="H200:M200" si="156">SUM(H194:H199)</f>
        <v>1829788.515439146</v>
      </c>
      <c r="I200" s="100">
        <f t="shared" si="156"/>
        <v>1724900.9182264153</v>
      </c>
      <c r="J200" s="100">
        <f t="shared" si="156"/>
        <v>1771485.1506975878</v>
      </c>
      <c r="K200" s="100">
        <f t="shared" si="156"/>
        <v>130769641.49540326</v>
      </c>
      <c r="L200" s="100">
        <f t="shared" si="156"/>
        <v>0</v>
      </c>
      <c r="M200" s="100">
        <f t="shared" si="156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7">SUM(S194:S199)</f>
        <v>0</v>
      </c>
      <c r="T200" s="100">
        <f t="shared" si="157"/>
        <v>0</v>
      </c>
      <c r="U200" s="100">
        <f t="shared" si="157"/>
        <v>0</v>
      </c>
      <c r="V200" s="100">
        <f t="shared" si="157"/>
        <v>0</v>
      </c>
      <c r="W200" s="100">
        <f t="shared" si="157"/>
        <v>0</v>
      </c>
      <c r="X200" s="100">
        <f t="shared" si="157"/>
        <v>0</v>
      </c>
      <c r="Y200" s="100">
        <f t="shared" si="157"/>
        <v>0</v>
      </c>
      <c r="Z200" s="100">
        <f t="shared" si="157"/>
        <v>0</v>
      </c>
      <c r="AA200" s="100">
        <f t="shared" si="157"/>
        <v>0</v>
      </c>
      <c r="AB200" s="100">
        <f t="shared" si="157"/>
        <v>0</v>
      </c>
      <c r="AC200" s="100">
        <f t="shared" si="157"/>
        <v>0</v>
      </c>
      <c r="AD200" s="100">
        <f t="shared" si="157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1583</v>
      </c>
      <c r="F202" s="100"/>
      <c r="Y202" s="97"/>
      <c r="AL202" s="98"/>
    </row>
    <row r="203" spans="1:38" x14ac:dyDescent="0.25">
      <c r="A203" s="97">
        <v>551</v>
      </c>
      <c r="B203" s="97" t="s">
        <v>585</v>
      </c>
      <c r="C203" s="97" t="s">
        <v>1584</v>
      </c>
      <c r="D203" s="97" t="s">
        <v>734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584</v>
      </c>
      <c r="C204" s="97" t="s">
        <v>1585</v>
      </c>
      <c r="D204" s="97" t="s">
        <v>734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1586</v>
      </c>
      <c r="C205" s="97" t="s">
        <v>1587</v>
      </c>
      <c r="D205" s="97" t="s">
        <v>734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1588</v>
      </c>
      <c r="C206" s="97" t="s">
        <v>1589</v>
      </c>
      <c r="D206" s="97" t="s">
        <v>734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1591</v>
      </c>
      <c r="F208" s="100">
        <f>SUM(F203:F207)</f>
        <v>11972530.282583334</v>
      </c>
      <c r="H208" s="100">
        <f t="shared" ref="H208:M208" si="158">SUM(H203:H207)</f>
        <v>4113120.6018170393</v>
      </c>
      <c r="I208" s="100">
        <f t="shared" si="158"/>
        <v>3877347.2688167337</v>
      </c>
      <c r="J208" s="100">
        <f t="shared" si="158"/>
        <v>3982062.411949561</v>
      </c>
      <c r="K208" s="100">
        <f t="shared" si="158"/>
        <v>0</v>
      </c>
      <c r="L208" s="100">
        <f t="shared" si="158"/>
        <v>0</v>
      </c>
      <c r="M208" s="100">
        <f t="shared" si="158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9">SUM(S203:S207)</f>
        <v>0</v>
      </c>
      <c r="T208" s="100">
        <f t="shared" si="159"/>
        <v>0</v>
      </c>
      <c r="U208" s="100">
        <f t="shared" si="159"/>
        <v>0</v>
      </c>
      <c r="V208" s="100">
        <f t="shared" si="159"/>
        <v>0</v>
      </c>
      <c r="W208" s="100">
        <f t="shared" si="159"/>
        <v>0</v>
      </c>
      <c r="X208" s="100">
        <f t="shared" si="159"/>
        <v>0</v>
      </c>
      <c r="Y208" s="100">
        <f t="shared" si="159"/>
        <v>0</v>
      </c>
      <c r="Z208" s="100">
        <f t="shared" si="159"/>
        <v>0</v>
      </c>
      <c r="AA208" s="100">
        <f t="shared" si="159"/>
        <v>0</v>
      </c>
      <c r="AB208" s="100">
        <f t="shared" si="159"/>
        <v>0</v>
      </c>
      <c r="AC208" s="100">
        <f t="shared" si="159"/>
        <v>0</v>
      </c>
      <c r="AD208" s="100">
        <f t="shared" si="159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1590</v>
      </c>
      <c r="F210" s="100">
        <f>F200+F208</f>
        <v>148068346.36234975</v>
      </c>
      <c r="H210" s="100">
        <f t="shared" ref="H210:M210" si="160">H200+H208</f>
        <v>5942909.117256185</v>
      </c>
      <c r="I210" s="100">
        <f t="shared" si="160"/>
        <v>5602248.187043149</v>
      </c>
      <c r="J210" s="100">
        <f t="shared" si="160"/>
        <v>5753547.562647149</v>
      </c>
      <c r="K210" s="100">
        <f t="shared" si="160"/>
        <v>130769641.49540326</v>
      </c>
      <c r="L210" s="100">
        <f t="shared" si="160"/>
        <v>0</v>
      </c>
      <c r="M210" s="100">
        <f t="shared" si="160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61">S200+S208</f>
        <v>0</v>
      </c>
      <c r="T210" s="100">
        <f t="shared" si="161"/>
        <v>0</v>
      </c>
      <c r="U210" s="100">
        <f t="shared" si="161"/>
        <v>0</v>
      </c>
      <c r="V210" s="100">
        <f t="shared" si="161"/>
        <v>0</v>
      </c>
      <c r="W210" s="100">
        <f t="shared" si="161"/>
        <v>0</v>
      </c>
      <c r="X210" s="100">
        <f t="shared" si="161"/>
        <v>0</v>
      </c>
      <c r="Y210" s="100">
        <f t="shared" si="161"/>
        <v>0</v>
      </c>
      <c r="Z210" s="100">
        <f t="shared" si="161"/>
        <v>0</v>
      </c>
      <c r="AA210" s="100">
        <f t="shared" si="161"/>
        <v>0</v>
      </c>
      <c r="AB210" s="100">
        <f t="shared" si="161"/>
        <v>0</v>
      </c>
      <c r="AC210" s="100">
        <f t="shared" si="161"/>
        <v>0</v>
      </c>
      <c r="AD210" s="100">
        <f t="shared" si="161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1592</v>
      </c>
      <c r="F212" s="100">
        <f>F170+F191+F210</f>
        <v>634802483.66796935</v>
      </c>
      <c r="H212" s="100">
        <f t="shared" ref="H212:M212" si="162">H170+H191+H210</f>
        <v>21067446.199520864</v>
      </c>
      <c r="I212" s="100">
        <f t="shared" si="162"/>
        <v>19859812.753015224</v>
      </c>
      <c r="J212" s="100">
        <f t="shared" si="162"/>
        <v>20396164.797555663</v>
      </c>
      <c r="K212" s="100">
        <f t="shared" si="162"/>
        <v>573479059.91787755</v>
      </c>
      <c r="L212" s="100">
        <f t="shared" si="162"/>
        <v>0</v>
      </c>
      <c r="M212" s="100">
        <f t="shared" si="162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63">S170+S191+S210</f>
        <v>0</v>
      </c>
      <c r="T212" s="100">
        <f t="shared" si="163"/>
        <v>0</v>
      </c>
      <c r="U212" s="100">
        <f t="shared" si="163"/>
        <v>0</v>
      </c>
      <c r="V212" s="100">
        <f t="shared" si="163"/>
        <v>0</v>
      </c>
      <c r="W212" s="100">
        <f t="shared" si="163"/>
        <v>0</v>
      </c>
      <c r="X212" s="100">
        <f t="shared" si="163"/>
        <v>0</v>
      </c>
      <c r="Y212" s="100">
        <f t="shared" si="163"/>
        <v>0</v>
      </c>
      <c r="Z212" s="100">
        <f t="shared" si="163"/>
        <v>0</v>
      </c>
      <c r="AA212" s="100">
        <f t="shared" si="163"/>
        <v>0</v>
      </c>
      <c r="AB212" s="100">
        <f t="shared" si="163"/>
        <v>0</v>
      </c>
      <c r="AC212" s="100">
        <f t="shared" si="163"/>
        <v>0</v>
      </c>
      <c r="AD212" s="100">
        <f t="shared" si="163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1593</v>
      </c>
      <c r="Y214" s="97"/>
      <c r="AL214" s="98"/>
    </row>
    <row r="215" spans="1:38" x14ac:dyDescent="0.25">
      <c r="A215" s="97">
        <v>555</v>
      </c>
      <c r="B215" s="97" t="s">
        <v>480</v>
      </c>
      <c r="C215" s="97" t="s">
        <v>497</v>
      </c>
      <c r="D215" s="97" t="s">
        <v>804</v>
      </c>
      <c r="F215" s="100">
        <f>'Jurisdictional Study'!F1006-134032</f>
        <v>50619306.665578231</v>
      </c>
      <c r="G215" s="100"/>
      <c r="H215" s="101">
        <f t="shared" ref="H215:H220" si="164">IF(VLOOKUP($D215,$C$5:$AJ$644,6,)=0,0,((VLOOKUP($D215,$C$5:$AJ$644,6,)/VLOOKUP($D215,$C$5:$AJ$644,4,))*$F215))</f>
        <v>2507313.8524240828</v>
      </c>
      <c r="I215" s="101">
        <f t="shared" ref="I215:I220" si="165">IF(VLOOKUP($D215,$C$5:$AJ$644,7,)=0,0,((VLOOKUP($D215,$C$5:$AJ$644,7,)/VLOOKUP($D215,$C$5:$AJ$644,4,))*$F215))</f>
        <v>2626569.959146271</v>
      </c>
      <c r="J215" s="101">
        <f t="shared" ref="J215:J220" si="166">IF(VLOOKUP($D215,$C$5:$AJ$644,8,)=0,0,((VLOOKUP($D215,$C$5:$AJ$644,8,)/VLOOKUP($D215,$C$5:$AJ$644,4,))*$F215))</f>
        <v>2159031.6495701326</v>
      </c>
      <c r="K215" s="101">
        <f t="shared" ref="K215:K220" si="167">IF(VLOOKUP($D215,$C$5:$AJ$644,9,)=0,0,((VLOOKUP($D215,$C$5:$AJ$644,9,)/VLOOKUP($D215,$C$5:$AJ$644,4,))*$F215))</f>
        <v>43326391.204437748</v>
      </c>
      <c r="L215" s="101">
        <f t="shared" ref="L215:L220" si="168">IF(VLOOKUP($D215,$C$5:$AJ$644,10,)=0,0,((VLOOKUP($D215,$C$5:$AJ$644,10,)/VLOOKUP($D215,$C$5:$AJ$644,4,))*$F215))</f>
        <v>0</v>
      </c>
      <c r="M215" s="101">
        <f t="shared" ref="M215:M220" si="169">IF(VLOOKUP($D215,$C$5:$AJ$644,11,)=0,0,((VLOOKUP($D215,$C$5:$AJ$644,11,)/VLOOKUP($D215,$C$5:$AJ$644,4,))*$F215))</f>
        <v>0</v>
      </c>
      <c r="N215" s="101"/>
      <c r="O215" s="101">
        <f t="shared" ref="O215:O220" si="170">IF(VLOOKUP($D215,$C$5:$AJ$644,13,)=0,0,((VLOOKUP($D215,$C$5:$AJ$644,13,)/VLOOKUP($D215,$C$5:$AJ$644,4,))*$F215))</f>
        <v>0</v>
      </c>
      <c r="P215" s="101">
        <f t="shared" ref="P215:P220" si="171">IF(VLOOKUP($D215,$C$5:$AJ$644,14,)=0,0,((VLOOKUP($D215,$C$5:$AJ$644,14,)/VLOOKUP($D215,$C$5:$AJ$644,4,))*$F215))</f>
        <v>0</v>
      </c>
      <c r="Q215" s="101">
        <f t="shared" ref="Q215:Q220" si="172">IF(VLOOKUP($D215,$C$5:$AJ$644,15,)=0,0,((VLOOKUP($D215,$C$5:$AJ$644,15,)/VLOOKUP($D215,$C$5:$AJ$644,4,))*$F215))</f>
        <v>0</v>
      </c>
      <c r="R215" s="101"/>
      <c r="S215" s="101">
        <f t="shared" ref="S215:S220" si="173">IF(VLOOKUP($D215,$C$5:$AJ$644,17,)=0,0,((VLOOKUP($D215,$C$5:$AJ$644,17,)/VLOOKUP($D215,$C$5:$AJ$644,4,))*$F215))</f>
        <v>0</v>
      </c>
      <c r="T215" s="101">
        <f t="shared" ref="T215:T220" si="174">IF(VLOOKUP($D215,$C$5:$AJ$644,18,)=0,0,((VLOOKUP($D215,$C$5:$AJ$644,18,)/VLOOKUP($D215,$C$5:$AJ$644,4,))*$F215))</f>
        <v>0</v>
      </c>
      <c r="U215" s="101">
        <f t="shared" ref="U215:U220" si="175">IF(VLOOKUP($D215,$C$5:$AJ$644,19,)=0,0,((VLOOKUP($D215,$C$5:$AJ$644,19,)/VLOOKUP($D215,$C$5:$AJ$644,4,))*$F215))</f>
        <v>0</v>
      </c>
      <c r="V215" s="101">
        <f t="shared" ref="V215:V220" si="176">IF(VLOOKUP($D215,$C$5:$AJ$644,20,)=0,0,((VLOOKUP($D215,$C$5:$AJ$644,20,)/VLOOKUP($D215,$C$5:$AJ$644,4,))*$F215))</f>
        <v>0</v>
      </c>
      <c r="W215" s="101">
        <f t="shared" ref="W215:W220" si="177">IF(VLOOKUP($D215,$C$5:$AJ$644,21,)=0,0,((VLOOKUP($D215,$C$5:$AJ$644,21,)/VLOOKUP($D215,$C$5:$AJ$644,4,))*$F215))</f>
        <v>0</v>
      </c>
      <c r="X215" s="101">
        <f t="shared" ref="X215:X220" si="178">IF(VLOOKUP($D215,$C$5:$AJ$644,22,)=0,0,((VLOOKUP($D215,$C$5:$AJ$644,22,)/VLOOKUP($D215,$C$5:$AJ$644,4,))*$F215))</f>
        <v>0</v>
      </c>
      <c r="Y215" s="101">
        <f t="shared" ref="Y215:Y220" si="179">IF(VLOOKUP($D215,$C$5:$AJ$644,23,)=0,0,((VLOOKUP($D215,$C$5:$AJ$644,23,)/VLOOKUP($D215,$C$5:$AJ$644,4,))*$F215))</f>
        <v>0</v>
      </c>
      <c r="Z215" s="101">
        <f t="shared" ref="Z215:Z220" si="180">IF(VLOOKUP($D215,$C$5:$AJ$644,24,)=0,0,((VLOOKUP($D215,$C$5:$AJ$644,24,)/VLOOKUP($D215,$C$5:$AJ$644,4,))*$F215))</f>
        <v>0</v>
      </c>
      <c r="AA215" s="101">
        <f t="shared" ref="AA215:AA220" si="181">IF(VLOOKUP($D215,$C$5:$AJ$644,25,)=0,0,((VLOOKUP($D215,$C$5:$AJ$644,25,)/VLOOKUP($D215,$C$5:$AJ$644,4,))*$F215))</f>
        <v>0</v>
      </c>
      <c r="AB215" s="101">
        <f t="shared" ref="AB215:AB220" si="182">IF(VLOOKUP($D215,$C$5:$AJ$644,26,)=0,0,((VLOOKUP($D215,$C$5:$AJ$644,26,)/VLOOKUP($D215,$C$5:$AJ$644,4,))*$F215))</f>
        <v>0</v>
      </c>
      <c r="AC215" s="101">
        <f t="shared" ref="AC215:AC220" si="183">IF(VLOOKUP($D215,$C$5:$AJ$644,27,)=0,0,((VLOOKUP($D215,$C$5:$AJ$644,27,)/VLOOKUP($D215,$C$5:$AJ$644,4,))*$F215))</f>
        <v>0</v>
      </c>
      <c r="AD215" s="101">
        <f t="shared" ref="AD215:AD220" si="184">IF(VLOOKUP($D215,$C$5:$AJ$644,28,)=0,0,((VLOOKUP($D215,$C$5:$AJ$644,28,)/VLOOKUP($D215,$C$5:$AJ$644,4,))*$F215))</f>
        <v>0</v>
      </c>
      <c r="AE215" s="101"/>
      <c r="AF215" s="101">
        <f t="shared" ref="AF215:AF220" si="185">IF(VLOOKUP($D215,$C$5:$AJ$644,30,)=0,0,((VLOOKUP($D215,$C$5:$AJ$644,30,)/VLOOKUP($D215,$C$5:$AJ$644,4,))*$F215))</f>
        <v>0</v>
      </c>
      <c r="AG215" s="101"/>
      <c r="AH215" s="101">
        <f t="shared" ref="AH215:AH220" si="186">IF(VLOOKUP($D215,$C$5:$AJ$644,32,)=0,0,((VLOOKUP($D215,$C$5:$AJ$644,32,)/VLOOKUP($D215,$C$5:$AJ$644,4,))*$F215))</f>
        <v>0</v>
      </c>
      <c r="AI215" s="101"/>
      <c r="AJ215" s="101">
        <f t="shared" ref="AJ215:AJ220" si="187">IF(VLOOKUP($D215,$C$5:$AJ$644,34,)=0,0,((VLOOKUP($D215,$C$5:$AJ$644,34,)/VLOOKUP($D215,$C$5:$AJ$644,4,))*$F215))</f>
        <v>0</v>
      </c>
      <c r="AK215" s="101">
        <f t="shared" ref="AK215:AK220" si="188">SUM(H215:AJ215)</f>
        <v>50619306.665578231</v>
      </c>
      <c r="AL215" s="98" t="str">
        <f t="shared" ref="AL215:AL220" si="189">IF(ABS(AK215-F215)&lt;1,"ok","err")</f>
        <v>ok</v>
      </c>
    </row>
    <row r="216" spans="1:38" x14ac:dyDescent="0.25">
      <c r="A216" s="97">
        <v>555</v>
      </c>
      <c r="B216" s="97" t="s">
        <v>1594</v>
      </c>
      <c r="C216" s="97" t="s">
        <v>1595</v>
      </c>
      <c r="D216" s="97" t="s">
        <v>804</v>
      </c>
      <c r="F216" s="101"/>
      <c r="G216" s="100"/>
      <c r="H216" s="101">
        <f t="shared" si="164"/>
        <v>0</v>
      </c>
      <c r="I216" s="101">
        <f t="shared" si="165"/>
        <v>0</v>
      </c>
      <c r="J216" s="101">
        <f t="shared" si="166"/>
        <v>0</v>
      </c>
      <c r="K216" s="101">
        <f t="shared" si="167"/>
        <v>0</v>
      </c>
      <c r="L216" s="101">
        <f t="shared" si="168"/>
        <v>0</v>
      </c>
      <c r="M216" s="101">
        <f t="shared" si="169"/>
        <v>0</v>
      </c>
      <c r="N216" s="101"/>
      <c r="O216" s="101">
        <f t="shared" si="170"/>
        <v>0</v>
      </c>
      <c r="P216" s="101">
        <f t="shared" si="171"/>
        <v>0</v>
      </c>
      <c r="Q216" s="101">
        <f t="shared" si="172"/>
        <v>0</v>
      </c>
      <c r="R216" s="101"/>
      <c r="S216" s="101">
        <f t="shared" si="173"/>
        <v>0</v>
      </c>
      <c r="T216" s="101">
        <f t="shared" si="174"/>
        <v>0</v>
      </c>
      <c r="U216" s="101">
        <f t="shared" si="175"/>
        <v>0</v>
      </c>
      <c r="V216" s="101">
        <f t="shared" si="176"/>
        <v>0</v>
      </c>
      <c r="W216" s="101">
        <f t="shared" si="177"/>
        <v>0</v>
      </c>
      <c r="X216" s="101">
        <f t="shared" si="178"/>
        <v>0</v>
      </c>
      <c r="Y216" s="101">
        <f t="shared" si="179"/>
        <v>0</v>
      </c>
      <c r="Z216" s="101">
        <f t="shared" si="180"/>
        <v>0</v>
      </c>
      <c r="AA216" s="101">
        <f t="shared" si="181"/>
        <v>0</v>
      </c>
      <c r="AB216" s="101">
        <f t="shared" si="182"/>
        <v>0</v>
      </c>
      <c r="AC216" s="101">
        <f t="shared" si="183"/>
        <v>0</v>
      </c>
      <c r="AD216" s="101">
        <f t="shared" si="184"/>
        <v>0</v>
      </c>
      <c r="AE216" s="101"/>
      <c r="AF216" s="101">
        <f t="shared" si="185"/>
        <v>0</v>
      </c>
      <c r="AG216" s="101"/>
      <c r="AH216" s="101">
        <f t="shared" si="186"/>
        <v>0</v>
      </c>
      <c r="AI216" s="101"/>
      <c r="AJ216" s="101">
        <f t="shared" si="187"/>
        <v>0</v>
      </c>
      <c r="AK216" s="101">
        <f t="shared" si="188"/>
        <v>0</v>
      </c>
      <c r="AL216" s="98" t="str">
        <f t="shared" si="189"/>
        <v>ok</v>
      </c>
    </row>
    <row r="217" spans="1:38" x14ac:dyDescent="0.25">
      <c r="A217" s="97">
        <v>555</v>
      </c>
      <c r="B217" s="97" t="s">
        <v>1596</v>
      </c>
      <c r="C217" s="97" t="s">
        <v>1597</v>
      </c>
      <c r="D217" s="97" t="s">
        <v>804</v>
      </c>
      <c r="F217" s="101"/>
      <c r="G217" s="100"/>
      <c r="H217" s="101">
        <f t="shared" si="164"/>
        <v>0</v>
      </c>
      <c r="I217" s="101">
        <f t="shared" si="165"/>
        <v>0</v>
      </c>
      <c r="J217" s="101">
        <f t="shared" si="166"/>
        <v>0</v>
      </c>
      <c r="K217" s="101">
        <f t="shared" si="167"/>
        <v>0</v>
      </c>
      <c r="L217" s="101">
        <f t="shared" si="168"/>
        <v>0</v>
      </c>
      <c r="M217" s="101">
        <f t="shared" si="169"/>
        <v>0</v>
      </c>
      <c r="N217" s="101"/>
      <c r="O217" s="101">
        <f t="shared" si="170"/>
        <v>0</v>
      </c>
      <c r="P217" s="101">
        <f t="shared" si="171"/>
        <v>0</v>
      </c>
      <c r="Q217" s="101">
        <f t="shared" si="172"/>
        <v>0</v>
      </c>
      <c r="R217" s="101"/>
      <c r="S217" s="101">
        <f t="shared" si="173"/>
        <v>0</v>
      </c>
      <c r="T217" s="101">
        <f t="shared" si="174"/>
        <v>0</v>
      </c>
      <c r="U217" s="101">
        <f t="shared" si="175"/>
        <v>0</v>
      </c>
      <c r="V217" s="101">
        <f t="shared" si="176"/>
        <v>0</v>
      </c>
      <c r="W217" s="101">
        <f t="shared" si="177"/>
        <v>0</v>
      </c>
      <c r="X217" s="101">
        <f t="shared" si="178"/>
        <v>0</v>
      </c>
      <c r="Y217" s="101">
        <f t="shared" si="179"/>
        <v>0</v>
      </c>
      <c r="Z217" s="101">
        <f t="shared" si="180"/>
        <v>0</v>
      </c>
      <c r="AA217" s="101">
        <f t="shared" si="181"/>
        <v>0</v>
      </c>
      <c r="AB217" s="101">
        <f t="shared" si="182"/>
        <v>0</v>
      </c>
      <c r="AC217" s="101">
        <f t="shared" si="183"/>
        <v>0</v>
      </c>
      <c r="AD217" s="101">
        <f t="shared" si="184"/>
        <v>0</v>
      </c>
      <c r="AE217" s="101"/>
      <c r="AF217" s="101">
        <f t="shared" si="185"/>
        <v>0</v>
      </c>
      <c r="AG217" s="101"/>
      <c r="AH217" s="101">
        <f t="shared" si="186"/>
        <v>0</v>
      </c>
      <c r="AI217" s="101"/>
      <c r="AJ217" s="101">
        <f t="shared" si="187"/>
        <v>0</v>
      </c>
      <c r="AK217" s="101">
        <f t="shared" si="188"/>
        <v>0</v>
      </c>
      <c r="AL217" s="98" t="str">
        <f t="shared" si="189"/>
        <v>ok</v>
      </c>
    </row>
    <row r="218" spans="1:38" x14ac:dyDescent="0.25">
      <c r="A218" s="97">
        <v>555</v>
      </c>
      <c r="B218" s="97" t="s">
        <v>1598</v>
      </c>
      <c r="C218" s="97" t="s">
        <v>1599</v>
      </c>
      <c r="D218" s="97" t="s">
        <v>804</v>
      </c>
      <c r="F218" s="101"/>
      <c r="G218" s="100"/>
      <c r="H218" s="101">
        <f t="shared" si="164"/>
        <v>0</v>
      </c>
      <c r="I218" s="101">
        <f t="shared" si="165"/>
        <v>0</v>
      </c>
      <c r="J218" s="101">
        <f t="shared" si="166"/>
        <v>0</v>
      </c>
      <c r="K218" s="101">
        <f t="shared" si="167"/>
        <v>0</v>
      </c>
      <c r="L218" s="101">
        <f t="shared" si="168"/>
        <v>0</v>
      </c>
      <c r="M218" s="101">
        <f t="shared" si="169"/>
        <v>0</v>
      </c>
      <c r="N218" s="101"/>
      <c r="O218" s="101">
        <f t="shared" si="170"/>
        <v>0</v>
      </c>
      <c r="P218" s="101">
        <f t="shared" si="171"/>
        <v>0</v>
      </c>
      <c r="Q218" s="101">
        <f t="shared" si="172"/>
        <v>0</v>
      </c>
      <c r="R218" s="101"/>
      <c r="S218" s="101">
        <f t="shared" si="173"/>
        <v>0</v>
      </c>
      <c r="T218" s="101">
        <f t="shared" si="174"/>
        <v>0</v>
      </c>
      <c r="U218" s="101">
        <f t="shared" si="175"/>
        <v>0</v>
      </c>
      <c r="V218" s="101">
        <f t="shared" si="176"/>
        <v>0</v>
      </c>
      <c r="W218" s="101">
        <f t="shared" si="177"/>
        <v>0</v>
      </c>
      <c r="X218" s="101">
        <f t="shared" si="178"/>
        <v>0</v>
      </c>
      <c r="Y218" s="101">
        <f t="shared" si="179"/>
        <v>0</v>
      </c>
      <c r="Z218" s="101">
        <f t="shared" si="180"/>
        <v>0</v>
      </c>
      <c r="AA218" s="101">
        <f t="shared" si="181"/>
        <v>0</v>
      </c>
      <c r="AB218" s="101">
        <f t="shared" si="182"/>
        <v>0</v>
      </c>
      <c r="AC218" s="101">
        <f t="shared" si="183"/>
        <v>0</v>
      </c>
      <c r="AD218" s="101">
        <f t="shared" si="184"/>
        <v>0</v>
      </c>
      <c r="AE218" s="101"/>
      <c r="AF218" s="101">
        <f t="shared" si="185"/>
        <v>0</v>
      </c>
      <c r="AG218" s="101"/>
      <c r="AH218" s="101">
        <f t="shared" si="186"/>
        <v>0</v>
      </c>
      <c r="AI218" s="101"/>
      <c r="AJ218" s="101">
        <f t="shared" si="187"/>
        <v>0</v>
      </c>
      <c r="AK218" s="101">
        <f t="shared" si="188"/>
        <v>0</v>
      </c>
      <c r="AL218" s="98" t="str">
        <f t="shared" si="189"/>
        <v>ok</v>
      </c>
    </row>
    <row r="219" spans="1:38" x14ac:dyDescent="0.25">
      <c r="A219" s="97">
        <v>556</v>
      </c>
      <c r="B219" s="97" t="s">
        <v>1600</v>
      </c>
      <c r="C219" s="97" t="s">
        <v>1601</v>
      </c>
      <c r="D219" s="97" t="s">
        <v>734</v>
      </c>
      <c r="F219" s="101">
        <f>'Jurisdictional Study'!F1008</f>
        <v>1864717.1978980682</v>
      </c>
      <c r="G219" s="100"/>
      <c r="H219" s="101">
        <f t="shared" si="164"/>
        <v>640617.0243222937</v>
      </c>
      <c r="I219" s="101">
        <f t="shared" si="165"/>
        <v>603895.41423031618</v>
      </c>
      <c r="J219" s="101">
        <f t="shared" si="166"/>
        <v>620204.75934545835</v>
      </c>
      <c r="K219" s="101">
        <f t="shared" si="167"/>
        <v>0</v>
      </c>
      <c r="L219" s="101">
        <f t="shared" si="168"/>
        <v>0</v>
      </c>
      <c r="M219" s="101">
        <f t="shared" si="169"/>
        <v>0</v>
      </c>
      <c r="N219" s="101"/>
      <c r="O219" s="101">
        <f t="shared" si="170"/>
        <v>0</v>
      </c>
      <c r="P219" s="101">
        <f t="shared" si="171"/>
        <v>0</v>
      </c>
      <c r="Q219" s="101">
        <f t="shared" si="172"/>
        <v>0</v>
      </c>
      <c r="R219" s="101"/>
      <c r="S219" s="101">
        <f t="shared" si="173"/>
        <v>0</v>
      </c>
      <c r="T219" s="101">
        <f t="shared" si="174"/>
        <v>0</v>
      </c>
      <c r="U219" s="101">
        <f t="shared" si="175"/>
        <v>0</v>
      </c>
      <c r="V219" s="101">
        <f t="shared" si="176"/>
        <v>0</v>
      </c>
      <c r="W219" s="101">
        <f t="shared" si="177"/>
        <v>0</v>
      </c>
      <c r="X219" s="101">
        <f t="shared" si="178"/>
        <v>0</v>
      </c>
      <c r="Y219" s="101">
        <f t="shared" si="179"/>
        <v>0</v>
      </c>
      <c r="Z219" s="101">
        <f t="shared" si="180"/>
        <v>0</v>
      </c>
      <c r="AA219" s="101">
        <f t="shared" si="181"/>
        <v>0</v>
      </c>
      <c r="AB219" s="101">
        <f t="shared" si="182"/>
        <v>0</v>
      </c>
      <c r="AC219" s="101">
        <f t="shared" si="183"/>
        <v>0</v>
      </c>
      <c r="AD219" s="101">
        <f t="shared" si="184"/>
        <v>0</v>
      </c>
      <c r="AE219" s="101"/>
      <c r="AF219" s="101">
        <f t="shared" si="185"/>
        <v>0</v>
      </c>
      <c r="AG219" s="101"/>
      <c r="AH219" s="101">
        <f t="shared" si="186"/>
        <v>0</v>
      </c>
      <c r="AI219" s="101"/>
      <c r="AJ219" s="101">
        <f t="shared" si="187"/>
        <v>0</v>
      </c>
      <c r="AK219" s="101">
        <f t="shared" si="188"/>
        <v>1864717.1978980682</v>
      </c>
      <c r="AL219" s="98" t="str">
        <f t="shared" si="189"/>
        <v>ok</v>
      </c>
    </row>
    <row r="220" spans="1:38" x14ac:dyDescent="0.25">
      <c r="A220" s="97">
        <v>557</v>
      </c>
      <c r="B220" s="97" t="s">
        <v>498</v>
      </c>
      <c r="C220" s="97" t="s">
        <v>499</v>
      </c>
      <c r="D220" s="97" t="s">
        <v>734</v>
      </c>
      <c r="F220" s="101">
        <f>'Jurisdictional Study'!F1009-29755</f>
        <v>10368.893324844234</v>
      </c>
      <c r="G220" s="100"/>
      <c r="H220" s="101">
        <f t="shared" si="164"/>
        <v>3562.1967742693109</v>
      </c>
      <c r="I220" s="101">
        <f t="shared" si="165"/>
        <v>3358.0036353904302</v>
      </c>
      <c r="J220" s="101">
        <f t="shared" si="166"/>
        <v>3448.6929151844924</v>
      </c>
      <c r="K220" s="101">
        <f t="shared" si="167"/>
        <v>0</v>
      </c>
      <c r="L220" s="101">
        <f t="shared" si="168"/>
        <v>0</v>
      </c>
      <c r="M220" s="101">
        <f t="shared" si="169"/>
        <v>0</v>
      </c>
      <c r="N220" s="101"/>
      <c r="O220" s="101">
        <f t="shared" si="170"/>
        <v>0</v>
      </c>
      <c r="P220" s="101">
        <f t="shared" si="171"/>
        <v>0</v>
      </c>
      <c r="Q220" s="101">
        <f t="shared" si="172"/>
        <v>0</v>
      </c>
      <c r="R220" s="101"/>
      <c r="S220" s="101">
        <f t="shared" si="173"/>
        <v>0</v>
      </c>
      <c r="T220" s="101">
        <f t="shared" si="174"/>
        <v>0</v>
      </c>
      <c r="U220" s="101">
        <f t="shared" si="175"/>
        <v>0</v>
      </c>
      <c r="V220" s="101">
        <f t="shared" si="176"/>
        <v>0</v>
      </c>
      <c r="W220" s="101">
        <f t="shared" si="177"/>
        <v>0</v>
      </c>
      <c r="X220" s="101">
        <f t="shared" si="178"/>
        <v>0</v>
      </c>
      <c r="Y220" s="101">
        <f t="shared" si="179"/>
        <v>0</v>
      </c>
      <c r="Z220" s="101">
        <f t="shared" si="180"/>
        <v>0</v>
      </c>
      <c r="AA220" s="101">
        <f t="shared" si="181"/>
        <v>0</v>
      </c>
      <c r="AB220" s="101">
        <f t="shared" si="182"/>
        <v>0</v>
      </c>
      <c r="AC220" s="101">
        <f t="shared" si="183"/>
        <v>0</v>
      </c>
      <c r="AD220" s="101">
        <f t="shared" si="184"/>
        <v>0</v>
      </c>
      <c r="AE220" s="101"/>
      <c r="AF220" s="101">
        <f t="shared" si="185"/>
        <v>0</v>
      </c>
      <c r="AG220" s="101"/>
      <c r="AH220" s="101">
        <f t="shared" si="186"/>
        <v>0</v>
      </c>
      <c r="AI220" s="101"/>
      <c r="AJ220" s="101">
        <f t="shared" si="187"/>
        <v>0</v>
      </c>
      <c r="AK220" s="101">
        <f t="shared" si="188"/>
        <v>10368.893324844234</v>
      </c>
      <c r="AL220" s="98" t="str">
        <f t="shared" si="189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1615</v>
      </c>
      <c r="C222" s="97" t="s">
        <v>500</v>
      </c>
      <c r="F222" s="100">
        <f>SUM(F215:F221)</f>
        <v>52494392.756801143</v>
      </c>
      <c r="G222" s="100"/>
      <c r="H222" s="100">
        <f t="shared" ref="H222:M222" si="190">SUM(H215:H221)</f>
        <v>3151493.073520646</v>
      </c>
      <c r="I222" s="100">
        <f t="shared" si="190"/>
        <v>3233823.3770119781</v>
      </c>
      <c r="J222" s="100">
        <f t="shared" si="190"/>
        <v>2782685.1018307754</v>
      </c>
      <c r="K222" s="100">
        <f t="shared" si="190"/>
        <v>43326391.204437748</v>
      </c>
      <c r="L222" s="100">
        <f t="shared" si="190"/>
        <v>0</v>
      </c>
      <c r="M222" s="100">
        <f t="shared" si="190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91">SUM(S215:S221)</f>
        <v>0</v>
      </c>
      <c r="T222" s="100">
        <f t="shared" si="191"/>
        <v>0</v>
      </c>
      <c r="U222" s="100">
        <f t="shared" si="191"/>
        <v>0</v>
      </c>
      <c r="V222" s="100">
        <f t="shared" si="191"/>
        <v>0</v>
      </c>
      <c r="W222" s="100">
        <f t="shared" si="191"/>
        <v>0</v>
      </c>
      <c r="X222" s="100">
        <f t="shared" si="191"/>
        <v>0</v>
      </c>
      <c r="Y222" s="100">
        <f t="shared" si="191"/>
        <v>0</v>
      </c>
      <c r="Z222" s="100">
        <f t="shared" si="191"/>
        <v>0</v>
      </c>
      <c r="AA222" s="100">
        <f t="shared" si="191"/>
        <v>0</v>
      </c>
      <c r="AB222" s="100">
        <f t="shared" si="191"/>
        <v>0</v>
      </c>
      <c r="AC222" s="100">
        <f t="shared" si="191"/>
        <v>0</v>
      </c>
      <c r="AD222" s="100">
        <f t="shared" si="191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1602</v>
      </c>
      <c r="F224" s="100">
        <f>F212+F222</f>
        <v>687296876.42477047</v>
      </c>
      <c r="G224" s="100"/>
      <c r="H224" s="100">
        <f t="shared" ref="H224:M224" si="192">H212+H222</f>
        <v>24218939.273041509</v>
      </c>
      <c r="I224" s="100">
        <f t="shared" si="192"/>
        <v>23093636.130027201</v>
      </c>
      <c r="J224" s="100">
        <f t="shared" si="192"/>
        <v>23178849.899386439</v>
      </c>
      <c r="K224" s="100">
        <f t="shared" si="192"/>
        <v>616805451.12231529</v>
      </c>
      <c r="L224" s="100">
        <f t="shared" si="192"/>
        <v>0</v>
      </c>
      <c r="M224" s="100">
        <f t="shared" si="192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93">S212+S222</f>
        <v>0</v>
      </c>
      <c r="T224" s="100">
        <f t="shared" si="193"/>
        <v>0</v>
      </c>
      <c r="U224" s="100">
        <f t="shared" si="193"/>
        <v>0</v>
      </c>
      <c r="V224" s="100">
        <f t="shared" si="193"/>
        <v>0</v>
      </c>
      <c r="W224" s="100">
        <f t="shared" si="193"/>
        <v>0</v>
      </c>
      <c r="X224" s="100">
        <f t="shared" si="193"/>
        <v>0</v>
      </c>
      <c r="Y224" s="100">
        <f t="shared" si="193"/>
        <v>0</v>
      </c>
      <c r="Z224" s="100">
        <f t="shared" si="193"/>
        <v>0</v>
      </c>
      <c r="AA224" s="100">
        <f t="shared" si="193"/>
        <v>0</v>
      </c>
      <c r="AB224" s="100">
        <f t="shared" si="193"/>
        <v>0</v>
      </c>
      <c r="AC224" s="100">
        <f t="shared" si="193"/>
        <v>0</v>
      </c>
      <c r="AD224" s="100">
        <f t="shared" si="193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472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475</v>
      </c>
      <c r="C227" s="97" t="s">
        <v>502</v>
      </c>
      <c r="D227" s="97" t="s">
        <v>738</v>
      </c>
      <c r="F227" s="100">
        <f>'Jurisdictional Study'!F1016</f>
        <v>1804304.989136664</v>
      </c>
      <c r="G227" s="100"/>
      <c r="H227" s="101">
        <f t="shared" ref="H227:H240" si="194">IF(VLOOKUP($D227,$C$5:$AJ$644,6,)=0,0,((VLOOKUP($D227,$C$5:$AJ$644,6,)/VLOOKUP($D227,$C$5:$AJ$644,4,))*$F227))</f>
        <v>0</v>
      </c>
      <c r="I227" s="101">
        <f t="shared" ref="I227:I240" si="195">IF(VLOOKUP($D227,$C$5:$AJ$644,7,)=0,0,((VLOOKUP($D227,$C$5:$AJ$644,7,)/VLOOKUP($D227,$C$5:$AJ$644,4,))*$F227))</f>
        <v>0</v>
      </c>
      <c r="J227" s="101">
        <f t="shared" ref="J227:J240" si="196">IF(VLOOKUP($D227,$C$5:$AJ$644,8,)=0,0,((VLOOKUP($D227,$C$5:$AJ$644,8,)/VLOOKUP($D227,$C$5:$AJ$644,4,))*$F227))</f>
        <v>0</v>
      </c>
      <c r="K227" s="101">
        <f t="shared" ref="K227:K240" si="197">IF(VLOOKUP($D227,$C$5:$AJ$644,9,)=0,0,((VLOOKUP($D227,$C$5:$AJ$644,9,)/VLOOKUP($D227,$C$5:$AJ$644,4,))*$F227))</f>
        <v>0</v>
      </c>
      <c r="L227" s="101">
        <f t="shared" ref="L227:L240" si="198">IF(VLOOKUP($D227,$C$5:$AJ$644,10,)=0,0,((VLOOKUP($D227,$C$5:$AJ$644,10,)/VLOOKUP($D227,$C$5:$AJ$644,4,))*$F227))</f>
        <v>0</v>
      </c>
      <c r="M227" s="101">
        <f t="shared" ref="M227:M240" si="199">IF(VLOOKUP($D227,$C$5:$AJ$644,11,)=0,0,((VLOOKUP($D227,$C$5:$AJ$644,11,)/VLOOKUP($D227,$C$5:$AJ$644,4,))*$F227))</f>
        <v>0</v>
      </c>
      <c r="N227" s="101"/>
      <c r="O227" s="101">
        <f t="shared" ref="O227:O240" si="200">IF(VLOOKUP($D227,$C$5:$AJ$644,13,)=0,0,((VLOOKUP($D227,$C$5:$AJ$644,13,)/VLOOKUP($D227,$C$5:$AJ$644,4,))*$F227))</f>
        <v>1804304.989136664</v>
      </c>
      <c r="P227" s="101">
        <f t="shared" ref="P227:P240" si="201">IF(VLOOKUP($D227,$C$5:$AJ$644,14,)=0,0,((VLOOKUP($D227,$C$5:$AJ$644,14,)/VLOOKUP($D227,$C$5:$AJ$644,4,))*$F227))</f>
        <v>0</v>
      </c>
      <c r="Q227" s="101">
        <f t="shared" ref="Q227:Q240" si="202">IF(VLOOKUP($D227,$C$5:$AJ$644,15,)=0,0,((VLOOKUP($D227,$C$5:$AJ$644,15,)/VLOOKUP($D227,$C$5:$AJ$644,4,))*$F227))</f>
        <v>0</v>
      </c>
      <c r="R227" s="101"/>
      <c r="S227" s="101">
        <f t="shared" ref="S227:S240" si="203">IF(VLOOKUP($D227,$C$5:$AJ$644,17,)=0,0,((VLOOKUP($D227,$C$5:$AJ$644,17,)/VLOOKUP($D227,$C$5:$AJ$644,4,))*$F227))</f>
        <v>0</v>
      </c>
      <c r="T227" s="101">
        <f t="shared" ref="T227:T240" si="204">IF(VLOOKUP($D227,$C$5:$AJ$644,18,)=0,0,((VLOOKUP($D227,$C$5:$AJ$644,18,)/VLOOKUP($D227,$C$5:$AJ$644,4,))*$F227))</f>
        <v>0</v>
      </c>
      <c r="U227" s="101">
        <f t="shared" ref="U227:U240" si="205">IF(VLOOKUP($D227,$C$5:$AJ$644,19,)=0,0,((VLOOKUP($D227,$C$5:$AJ$644,19,)/VLOOKUP($D227,$C$5:$AJ$644,4,))*$F227))</f>
        <v>0</v>
      </c>
      <c r="V227" s="101">
        <f t="shared" ref="V227:V240" si="206">IF(VLOOKUP($D227,$C$5:$AJ$644,20,)=0,0,((VLOOKUP($D227,$C$5:$AJ$644,20,)/VLOOKUP($D227,$C$5:$AJ$644,4,))*$F227))</f>
        <v>0</v>
      </c>
      <c r="W227" s="101">
        <f t="shared" ref="W227:W240" si="207">IF(VLOOKUP($D227,$C$5:$AJ$644,21,)=0,0,((VLOOKUP($D227,$C$5:$AJ$644,21,)/VLOOKUP($D227,$C$5:$AJ$644,4,))*$F227))</f>
        <v>0</v>
      </c>
      <c r="X227" s="101">
        <f t="shared" ref="X227:X240" si="208">IF(VLOOKUP($D227,$C$5:$AJ$644,22,)=0,0,((VLOOKUP($D227,$C$5:$AJ$644,22,)/VLOOKUP($D227,$C$5:$AJ$644,4,))*$F227))</f>
        <v>0</v>
      </c>
      <c r="Y227" s="101">
        <f t="shared" ref="Y227:Y240" si="209">IF(VLOOKUP($D227,$C$5:$AJ$644,23,)=0,0,((VLOOKUP($D227,$C$5:$AJ$644,23,)/VLOOKUP($D227,$C$5:$AJ$644,4,))*$F227))</f>
        <v>0</v>
      </c>
      <c r="Z227" s="101">
        <f t="shared" ref="Z227:Z240" si="210">IF(VLOOKUP($D227,$C$5:$AJ$644,24,)=0,0,((VLOOKUP($D227,$C$5:$AJ$644,24,)/VLOOKUP($D227,$C$5:$AJ$644,4,))*$F227))</f>
        <v>0</v>
      </c>
      <c r="AA227" s="101">
        <f t="shared" ref="AA227:AA240" si="211">IF(VLOOKUP($D227,$C$5:$AJ$644,25,)=0,0,((VLOOKUP($D227,$C$5:$AJ$644,25,)/VLOOKUP($D227,$C$5:$AJ$644,4,))*$F227))</f>
        <v>0</v>
      </c>
      <c r="AB227" s="101">
        <f t="shared" ref="AB227:AB240" si="212">IF(VLOOKUP($D227,$C$5:$AJ$644,26,)=0,0,((VLOOKUP($D227,$C$5:$AJ$644,26,)/VLOOKUP($D227,$C$5:$AJ$644,4,))*$F227))</f>
        <v>0</v>
      </c>
      <c r="AC227" s="101">
        <f t="shared" ref="AC227:AC240" si="213">IF(VLOOKUP($D227,$C$5:$AJ$644,27,)=0,0,((VLOOKUP($D227,$C$5:$AJ$644,27,)/VLOOKUP($D227,$C$5:$AJ$644,4,))*$F227))</f>
        <v>0</v>
      </c>
      <c r="AD227" s="101">
        <f t="shared" ref="AD227:AD240" si="214">IF(VLOOKUP($D227,$C$5:$AJ$644,28,)=0,0,((VLOOKUP($D227,$C$5:$AJ$644,28,)/VLOOKUP($D227,$C$5:$AJ$644,4,))*$F227))</f>
        <v>0</v>
      </c>
      <c r="AE227" s="101"/>
      <c r="AF227" s="101">
        <f t="shared" ref="AF227:AF240" si="215">IF(VLOOKUP($D227,$C$5:$AJ$644,30,)=0,0,((VLOOKUP($D227,$C$5:$AJ$644,30,)/VLOOKUP($D227,$C$5:$AJ$644,4,))*$F227))</f>
        <v>0</v>
      </c>
      <c r="AG227" s="101"/>
      <c r="AH227" s="101">
        <f t="shared" ref="AH227:AH240" si="216">IF(VLOOKUP($D227,$C$5:$AJ$644,32,)=0,0,((VLOOKUP($D227,$C$5:$AJ$644,32,)/VLOOKUP($D227,$C$5:$AJ$644,4,))*$F227))</f>
        <v>0</v>
      </c>
      <c r="AI227" s="101"/>
      <c r="AJ227" s="101">
        <f t="shared" ref="AJ227:AJ240" si="217">IF(VLOOKUP($D227,$C$5:$AJ$644,34,)=0,0,((VLOOKUP($D227,$C$5:$AJ$644,34,)/VLOOKUP($D227,$C$5:$AJ$644,4,))*$F227))</f>
        <v>0</v>
      </c>
      <c r="AK227" s="101">
        <f t="shared" ref="AK227:AK232" si="218">SUM(H227:AJ227)</f>
        <v>1804304.989136664</v>
      </c>
      <c r="AL227" s="98" t="str">
        <f t="shared" ref="AL227:AL239" si="219">IF(ABS(AK227-F227)&lt;1,"ok","err")</f>
        <v>ok</v>
      </c>
    </row>
    <row r="228" spans="1:38" x14ac:dyDescent="0.25">
      <c r="A228" s="97">
        <v>561</v>
      </c>
      <c r="B228" s="97" t="s">
        <v>808</v>
      </c>
      <c r="C228" s="97" t="s">
        <v>503</v>
      </c>
      <c r="D228" s="97" t="s">
        <v>738</v>
      </c>
      <c r="F228" s="101">
        <f>'Jurisdictional Study'!F1017</f>
        <v>3644051.6512189247</v>
      </c>
      <c r="G228" s="100"/>
      <c r="H228" s="101">
        <f t="shared" si="194"/>
        <v>0</v>
      </c>
      <c r="I228" s="101">
        <f t="shared" si="195"/>
        <v>0</v>
      </c>
      <c r="J228" s="101">
        <f t="shared" si="196"/>
        <v>0</v>
      </c>
      <c r="K228" s="101">
        <f t="shared" si="197"/>
        <v>0</v>
      </c>
      <c r="L228" s="101">
        <f t="shared" si="198"/>
        <v>0</v>
      </c>
      <c r="M228" s="101">
        <f t="shared" si="199"/>
        <v>0</v>
      </c>
      <c r="N228" s="101"/>
      <c r="O228" s="101">
        <f t="shared" si="200"/>
        <v>3644051.6512189247</v>
      </c>
      <c r="P228" s="101">
        <f t="shared" si="201"/>
        <v>0</v>
      </c>
      <c r="Q228" s="101">
        <f t="shared" si="202"/>
        <v>0</v>
      </c>
      <c r="R228" s="101"/>
      <c r="S228" s="101">
        <f t="shared" si="203"/>
        <v>0</v>
      </c>
      <c r="T228" s="101">
        <f t="shared" si="204"/>
        <v>0</v>
      </c>
      <c r="U228" s="101">
        <f t="shared" si="205"/>
        <v>0</v>
      </c>
      <c r="V228" s="101">
        <f t="shared" si="206"/>
        <v>0</v>
      </c>
      <c r="W228" s="101">
        <f t="shared" si="207"/>
        <v>0</v>
      </c>
      <c r="X228" s="101">
        <f t="shared" si="208"/>
        <v>0</v>
      </c>
      <c r="Y228" s="101">
        <f t="shared" si="209"/>
        <v>0</v>
      </c>
      <c r="Z228" s="101">
        <f t="shared" si="210"/>
        <v>0</v>
      </c>
      <c r="AA228" s="101">
        <f t="shared" si="211"/>
        <v>0</v>
      </c>
      <c r="AB228" s="101">
        <f t="shared" si="212"/>
        <v>0</v>
      </c>
      <c r="AC228" s="101">
        <f t="shared" si="213"/>
        <v>0</v>
      </c>
      <c r="AD228" s="101">
        <f t="shared" si="214"/>
        <v>0</v>
      </c>
      <c r="AE228" s="101"/>
      <c r="AF228" s="101">
        <f t="shared" si="215"/>
        <v>0</v>
      </c>
      <c r="AG228" s="101"/>
      <c r="AH228" s="101">
        <f t="shared" si="216"/>
        <v>0</v>
      </c>
      <c r="AI228" s="101"/>
      <c r="AJ228" s="101">
        <f t="shared" si="217"/>
        <v>0</v>
      </c>
      <c r="AK228" s="101">
        <f t="shared" si="218"/>
        <v>3644051.6512189247</v>
      </c>
      <c r="AL228" s="98" t="str">
        <f t="shared" si="219"/>
        <v>ok</v>
      </c>
    </row>
    <row r="229" spans="1:38" x14ac:dyDescent="0.25">
      <c r="A229" s="97">
        <v>562</v>
      </c>
      <c r="B229" s="97" t="s">
        <v>473</v>
      </c>
      <c r="C229" s="97" t="s">
        <v>504</v>
      </c>
      <c r="D229" s="97" t="s">
        <v>738</v>
      </c>
      <c r="F229" s="101">
        <f>'Jurisdictional Study'!F1018</f>
        <v>1303298.2836528139</v>
      </c>
      <c r="G229" s="100"/>
      <c r="H229" s="101">
        <f t="shared" si="194"/>
        <v>0</v>
      </c>
      <c r="I229" s="101">
        <f t="shared" si="195"/>
        <v>0</v>
      </c>
      <c r="J229" s="101">
        <f t="shared" si="196"/>
        <v>0</v>
      </c>
      <c r="K229" s="101">
        <f t="shared" si="197"/>
        <v>0</v>
      </c>
      <c r="L229" s="101">
        <f t="shared" si="198"/>
        <v>0</v>
      </c>
      <c r="M229" s="101">
        <f t="shared" si="199"/>
        <v>0</v>
      </c>
      <c r="N229" s="101"/>
      <c r="O229" s="101">
        <f t="shared" si="200"/>
        <v>1303298.2836528139</v>
      </c>
      <c r="P229" s="101">
        <f t="shared" si="201"/>
        <v>0</v>
      </c>
      <c r="Q229" s="101">
        <f t="shared" si="202"/>
        <v>0</v>
      </c>
      <c r="R229" s="101"/>
      <c r="S229" s="101">
        <f t="shared" si="203"/>
        <v>0</v>
      </c>
      <c r="T229" s="101">
        <f t="shared" si="204"/>
        <v>0</v>
      </c>
      <c r="U229" s="101">
        <f t="shared" si="205"/>
        <v>0</v>
      </c>
      <c r="V229" s="101">
        <f t="shared" si="206"/>
        <v>0</v>
      </c>
      <c r="W229" s="101">
        <f t="shared" si="207"/>
        <v>0</v>
      </c>
      <c r="X229" s="101">
        <f t="shared" si="208"/>
        <v>0</v>
      </c>
      <c r="Y229" s="101">
        <f t="shared" si="209"/>
        <v>0</v>
      </c>
      <c r="Z229" s="101">
        <f t="shared" si="210"/>
        <v>0</v>
      </c>
      <c r="AA229" s="101">
        <f t="shared" si="211"/>
        <v>0</v>
      </c>
      <c r="AB229" s="101">
        <f t="shared" si="212"/>
        <v>0</v>
      </c>
      <c r="AC229" s="101">
        <f t="shared" si="213"/>
        <v>0</v>
      </c>
      <c r="AD229" s="101">
        <f t="shared" si="214"/>
        <v>0</v>
      </c>
      <c r="AE229" s="101"/>
      <c r="AF229" s="101">
        <f t="shared" si="215"/>
        <v>0</v>
      </c>
      <c r="AG229" s="101"/>
      <c r="AH229" s="101">
        <f t="shared" si="216"/>
        <v>0</v>
      </c>
      <c r="AI229" s="101"/>
      <c r="AJ229" s="101">
        <f t="shared" si="217"/>
        <v>0</v>
      </c>
      <c r="AK229" s="101">
        <f t="shared" si="218"/>
        <v>1303298.2836528139</v>
      </c>
      <c r="AL229" s="98" t="str">
        <f t="shared" si="219"/>
        <v>ok</v>
      </c>
    </row>
    <row r="230" spans="1:38" x14ac:dyDescent="0.25">
      <c r="A230" s="97">
        <v>563</v>
      </c>
      <c r="B230" s="97" t="s">
        <v>810</v>
      </c>
      <c r="C230" s="97" t="s">
        <v>505</v>
      </c>
      <c r="D230" s="97" t="s">
        <v>738</v>
      </c>
      <c r="F230" s="101">
        <f>'Jurisdictional Study'!F1019</f>
        <v>1058993.0765534656</v>
      </c>
      <c r="G230" s="100"/>
      <c r="H230" s="101">
        <f t="shared" si="194"/>
        <v>0</v>
      </c>
      <c r="I230" s="101">
        <f t="shared" si="195"/>
        <v>0</v>
      </c>
      <c r="J230" s="101">
        <f t="shared" si="196"/>
        <v>0</v>
      </c>
      <c r="K230" s="101">
        <f t="shared" si="197"/>
        <v>0</v>
      </c>
      <c r="L230" s="101">
        <f t="shared" si="198"/>
        <v>0</v>
      </c>
      <c r="M230" s="101">
        <f t="shared" si="199"/>
        <v>0</v>
      </c>
      <c r="N230" s="101"/>
      <c r="O230" s="101">
        <f t="shared" si="200"/>
        <v>1058993.0765534656</v>
      </c>
      <c r="P230" s="101">
        <f t="shared" si="201"/>
        <v>0</v>
      </c>
      <c r="Q230" s="101">
        <f t="shared" si="202"/>
        <v>0</v>
      </c>
      <c r="R230" s="101"/>
      <c r="S230" s="101">
        <f t="shared" si="203"/>
        <v>0</v>
      </c>
      <c r="T230" s="101">
        <f t="shared" si="204"/>
        <v>0</v>
      </c>
      <c r="U230" s="101">
        <f t="shared" si="205"/>
        <v>0</v>
      </c>
      <c r="V230" s="101">
        <f t="shared" si="206"/>
        <v>0</v>
      </c>
      <c r="W230" s="101">
        <f t="shared" si="207"/>
        <v>0</v>
      </c>
      <c r="X230" s="101">
        <f t="shared" si="208"/>
        <v>0</v>
      </c>
      <c r="Y230" s="101">
        <f t="shared" si="209"/>
        <v>0</v>
      </c>
      <c r="Z230" s="101">
        <f t="shared" si="210"/>
        <v>0</v>
      </c>
      <c r="AA230" s="101">
        <f t="shared" si="211"/>
        <v>0</v>
      </c>
      <c r="AB230" s="101">
        <f t="shared" si="212"/>
        <v>0</v>
      </c>
      <c r="AC230" s="101">
        <f t="shared" si="213"/>
        <v>0</v>
      </c>
      <c r="AD230" s="101">
        <f t="shared" si="214"/>
        <v>0</v>
      </c>
      <c r="AE230" s="101"/>
      <c r="AF230" s="101">
        <f t="shared" si="215"/>
        <v>0</v>
      </c>
      <c r="AG230" s="101"/>
      <c r="AH230" s="101">
        <f t="shared" si="216"/>
        <v>0</v>
      </c>
      <c r="AI230" s="101"/>
      <c r="AJ230" s="101">
        <f t="shared" si="217"/>
        <v>0</v>
      </c>
      <c r="AK230" s="101">
        <f t="shared" si="218"/>
        <v>1058993.0765534656</v>
      </c>
      <c r="AL230" s="98" t="str">
        <f t="shared" si="219"/>
        <v>ok</v>
      </c>
    </row>
    <row r="231" spans="1:38" x14ac:dyDescent="0.25">
      <c r="A231" s="97">
        <v>565</v>
      </c>
      <c r="B231" s="97" t="s">
        <v>1603</v>
      </c>
      <c r="C231" s="97" t="s">
        <v>1604</v>
      </c>
      <c r="D231" s="97" t="s">
        <v>738</v>
      </c>
      <c r="F231" s="101">
        <f>'Jurisdictional Study'!F1021-218085</f>
        <v>2940449.4497765368</v>
      </c>
      <c r="G231" s="100"/>
      <c r="H231" s="101">
        <f t="shared" si="194"/>
        <v>0</v>
      </c>
      <c r="I231" s="101">
        <f t="shared" si="195"/>
        <v>0</v>
      </c>
      <c r="J231" s="101">
        <f t="shared" si="196"/>
        <v>0</v>
      </c>
      <c r="K231" s="101">
        <f t="shared" si="197"/>
        <v>0</v>
      </c>
      <c r="L231" s="101">
        <f t="shared" si="198"/>
        <v>0</v>
      </c>
      <c r="M231" s="101">
        <f t="shared" si="199"/>
        <v>0</v>
      </c>
      <c r="N231" s="101"/>
      <c r="O231" s="101">
        <f t="shared" si="200"/>
        <v>2940449.4497765368</v>
      </c>
      <c r="P231" s="101">
        <f t="shared" si="201"/>
        <v>0</v>
      </c>
      <c r="Q231" s="101">
        <f t="shared" si="202"/>
        <v>0</v>
      </c>
      <c r="R231" s="101"/>
      <c r="S231" s="101">
        <f t="shared" si="203"/>
        <v>0</v>
      </c>
      <c r="T231" s="101">
        <f t="shared" si="204"/>
        <v>0</v>
      </c>
      <c r="U231" s="101">
        <f t="shared" si="205"/>
        <v>0</v>
      </c>
      <c r="V231" s="101">
        <f t="shared" si="206"/>
        <v>0</v>
      </c>
      <c r="W231" s="101">
        <f t="shared" si="207"/>
        <v>0</v>
      </c>
      <c r="X231" s="101">
        <f t="shared" si="208"/>
        <v>0</v>
      </c>
      <c r="Y231" s="101">
        <f t="shared" si="209"/>
        <v>0</v>
      </c>
      <c r="Z231" s="101">
        <f t="shared" si="210"/>
        <v>0</v>
      </c>
      <c r="AA231" s="101">
        <f t="shared" si="211"/>
        <v>0</v>
      </c>
      <c r="AB231" s="101">
        <f t="shared" si="212"/>
        <v>0</v>
      </c>
      <c r="AC231" s="101">
        <f t="shared" si="213"/>
        <v>0</v>
      </c>
      <c r="AD231" s="101">
        <f t="shared" si="214"/>
        <v>0</v>
      </c>
      <c r="AE231" s="101"/>
      <c r="AF231" s="101">
        <f t="shared" si="215"/>
        <v>0</v>
      </c>
      <c r="AG231" s="101"/>
      <c r="AH231" s="101">
        <f t="shared" si="216"/>
        <v>0</v>
      </c>
      <c r="AI231" s="101"/>
      <c r="AJ231" s="101">
        <f t="shared" si="217"/>
        <v>0</v>
      </c>
      <c r="AK231" s="101">
        <f t="shared" si="218"/>
        <v>2940449.4497765368</v>
      </c>
      <c r="AL231" s="98" t="str">
        <f t="shared" si="219"/>
        <v>ok</v>
      </c>
    </row>
    <row r="232" spans="1:38" x14ac:dyDescent="0.25">
      <c r="A232" s="97">
        <v>566</v>
      </c>
      <c r="B232" s="97" t="s">
        <v>874</v>
      </c>
      <c r="C232" s="97" t="s">
        <v>875</v>
      </c>
      <c r="D232" s="97" t="s">
        <v>490</v>
      </c>
      <c r="F232" s="101">
        <f>'Jurisdictional Study'!F1022</f>
        <v>11948571.502775138</v>
      </c>
      <c r="G232" s="100"/>
      <c r="H232" s="101">
        <f t="shared" si="194"/>
        <v>0</v>
      </c>
      <c r="I232" s="101">
        <f t="shared" si="195"/>
        <v>0</v>
      </c>
      <c r="J232" s="101">
        <f t="shared" si="196"/>
        <v>0</v>
      </c>
      <c r="K232" s="101">
        <f t="shared" si="197"/>
        <v>0</v>
      </c>
      <c r="L232" s="101">
        <f t="shared" si="198"/>
        <v>0</v>
      </c>
      <c r="M232" s="101">
        <f t="shared" si="199"/>
        <v>0</v>
      </c>
      <c r="N232" s="101"/>
      <c r="O232" s="101">
        <f t="shared" si="200"/>
        <v>11948571.502775138</v>
      </c>
      <c r="P232" s="101">
        <f t="shared" si="201"/>
        <v>0</v>
      </c>
      <c r="Q232" s="101">
        <f t="shared" si="202"/>
        <v>0</v>
      </c>
      <c r="R232" s="101"/>
      <c r="S232" s="101">
        <f t="shared" si="203"/>
        <v>0</v>
      </c>
      <c r="T232" s="101">
        <f t="shared" si="204"/>
        <v>0</v>
      </c>
      <c r="U232" s="101">
        <f t="shared" si="205"/>
        <v>0</v>
      </c>
      <c r="V232" s="101">
        <f t="shared" si="206"/>
        <v>0</v>
      </c>
      <c r="W232" s="101">
        <f t="shared" si="207"/>
        <v>0</v>
      </c>
      <c r="X232" s="101">
        <f t="shared" si="208"/>
        <v>0</v>
      </c>
      <c r="Y232" s="101">
        <f t="shared" si="209"/>
        <v>0</v>
      </c>
      <c r="Z232" s="101">
        <f t="shared" si="210"/>
        <v>0</v>
      </c>
      <c r="AA232" s="101">
        <f t="shared" si="211"/>
        <v>0</v>
      </c>
      <c r="AB232" s="101">
        <f t="shared" si="212"/>
        <v>0</v>
      </c>
      <c r="AC232" s="101">
        <f t="shared" si="213"/>
        <v>0</v>
      </c>
      <c r="AD232" s="101">
        <f t="shared" si="214"/>
        <v>0</v>
      </c>
      <c r="AE232" s="101"/>
      <c r="AF232" s="101">
        <f t="shared" si="215"/>
        <v>0</v>
      </c>
      <c r="AG232" s="101"/>
      <c r="AH232" s="101">
        <f t="shared" si="216"/>
        <v>0</v>
      </c>
      <c r="AI232" s="101"/>
      <c r="AJ232" s="101">
        <f t="shared" si="217"/>
        <v>0</v>
      </c>
      <c r="AK232" s="101">
        <f t="shared" si="218"/>
        <v>11948571.502775138</v>
      </c>
      <c r="AL232" s="98" t="str">
        <f t="shared" si="219"/>
        <v>ok</v>
      </c>
    </row>
    <row r="233" spans="1:38" x14ac:dyDescent="0.25">
      <c r="A233" s="97">
        <v>567</v>
      </c>
      <c r="B233" s="97" t="s">
        <v>372</v>
      </c>
      <c r="C233" s="97" t="s">
        <v>1605</v>
      </c>
      <c r="D233" s="97" t="s">
        <v>490</v>
      </c>
      <c r="F233" s="101">
        <f>'Jurisdictional Study'!F1023</f>
        <v>112004.77411653323</v>
      </c>
      <c r="G233" s="100"/>
      <c r="H233" s="101">
        <f t="shared" si="194"/>
        <v>0</v>
      </c>
      <c r="I233" s="101">
        <f t="shared" si="195"/>
        <v>0</v>
      </c>
      <c r="J233" s="101">
        <f t="shared" si="196"/>
        <v>0</v>
      </c>
      <c r="K233" s="101">
        <f t="shared" si="197"/>
        <v>0</v>
      </c>
      <c r="L233" s="101">
        <f t="shared" si="198"/>
        <v>0</v>
      </c>
      <c r="M233" s="101">
        <f t="shared" si="199"/>
        <v>0</v>
      </c>
      <c r="N233" s="101"/>
      <c r="O233" s="101">
        <f t="shared" si="200"/>
        <v>112004.77411653323</v>
      </c>
      <c r="P233" s="101">
        <f t="shared" si="201"/>
        <v>0</v>
      </c>
      <c r="Q233" s="101">
        <f t="shared" si="202"/>
        <v>0</v>
      </c>
      <c r="R233" s="101"/>
      <c r="S233" s="101">
        <f t="shared" si="203"/>
        <v>0</v>
      </c>
      <c r="T233" s="101">
        <f t="shared" si="204"/>
        <v>0</v>
      </c>
      <c r="U233" s="101">
        <f t="shared" si="205"/>
        <v>0</v>
      </c>
      <c r="V233" s="101">
        <f t="shared" si="206"/>
        <v>0</v>
      </c>
      <c r="W233" s="101">
        <f t="shared" si="207"/>
        <v>0</v>
      </c>
      <c r="X233" s="101">
        <f t="shared" si="208"/>
        <v>0</v>
      </c>
      <c r="Y233" s="101">
        <f t="shared" si="209"/>
        <v>0</v>
      </c>
      <c r="Z233" s="101">
        <f t="shared" si="210"/>
        <v>0</v>
      </c>
      <c r="AA233" s="101">
        <f t="shared" si="211"/>
        <v>0</v>
      </c>
      <c r="AB233" s="101">
        <f t="shared" si="212"/>
        <v>0</v>
      </c>
      <c r="AC233" s="101">
        <f t="shared" si="213"/>
        <v>0</v>
      </c>
      <c r="AD233" s="101">
        <f t="shared" si="214"/>
        <v>0</v>
      </c>
      <c r="AE233" s="101"/>
      <c r="AF233" s="101">
        <f t="shared" si="215"/>
        <v>0</v>
      </c>
      <c r="AG233" s="101"/>
      <c r="AH233" s="101">
        <f t="shared" si="216"/>
        <v>0</v>
      </c>
      <c r="AI233" s="101"/>
      <c r="AJ233" s="101">
        <f t="shared" si="217"/>
        <v>0</v>
      </c>
      <c r="AK233" s="101">
        <f t="shared" ref="AK233:AK239" si="220">SUM(H233:AJ233)</f>
        <v>112004.77411653323</v>
      </c>
      <c r="AL233" s="98" t="str">
        <f t="shared" si="219"/>
        <v>ok</v>
      </c>
    </row>
    <row r="234" spans="1:38" x14ac:dyDescent="0.25">
      <c r="A234" s="97">
        <v>568</v>
      </c>
      <c r="B234" s="97" t="s">
        <v>474</v>
      </c>
      <c r="C234" s="97" t="s">
        <v>1348</v>
      </c>
      <c r="D234" s="97" t="s">
        <v>738</v>
      </c>
      <c r="F234" s="101">
        <f>'Jurisdictional Study'!F1026</f>
        <v>0</v>
      </c>
      <c r="G234" s="100"/>
      <c r="H234" s="101">
        <f t="shared" si="194"/>
        <v>0</v>
      </c>
      <c r="I234" s="101">
        <f t="shared" si="195"/>
        <v>0</v>
      </c>
      <c r="J234" s="101">
        <f t="shared" si="196"/>
        <v>0</v>
      </c>
      <c r="K234" s="101">
        <f t="shared" si="197"/>
        <v>0</v>
      </c>
      <c r="L234" s="101">
        <f t="shared" si="198"/>
        <v>0</v>
      </c>
      <c r="M234" s="101">
        <f t="shared" si="199"/>
        <v>0</v>
      </c>
      <c r="N234" s="101"/>
      <c r="O234" s="101">
        <f t="shared" si="200"/>
        <v>0</v>
      </c>
      <c r="P234" s="101">
        <f t="shared" si="201"/>
        <v>0</v>
      </c>
      <c r="Q234" s="101">
        <f t="shared" si="202"/>
        <v>0</v>
      </c>
      <c r="R234" s="101"/>
      <c r="S234" s="101">
        <f t="shared" si="203"/>
        <v>0</v>
      </c>
      <c r="T234" s="101">
        <f t="shared" si="204"/>
        <v>0</v>
      </c>
      <c r="U234" s="101">
        <f t="shared" si="205"/>
        <v>0</v>
      </c>
      <c r="V234" s="101">
        <f t="shared" si="206"/>
        <v>0</v>
      </c>
      <c r="W234" s="101">
        <f t="shared" si="207"/>
        <v>0</v>
      </c>
      <c r="X234" s="101">
        <f t="shared" si="208"/>
        <v>0</v>
      </c>
      <c r="Y234" s="101">
        <f t="shared" si="209"/>
        <v>0</v>
      </c>
      <c r="Z234" s="101">
        <f t="shared" si="210"/>
        <v>0</v>
      </c>
      <c r="AA234" s="101">
        <f t="shared" si="211"/>
        <v>0</v>
      </c>
      <c r="AB234" s="101">
        <f t="shared" si="212"/>
        <v>0</v>
      </c>
      <c r="AC234" s="101">
        <f t="shared" si="213"/>
        <v>0</v>
      </c>
      <c r="AD234" s="101">
        <f t="shared" si="214"/>
        <v>0</v>
      </c>
      <c r="AE234" s="101"/>
      <c r="AF234" s="101">
        <f t="shared" si="215"/>
        <v>0</v>
      </c>
      <c r="AG234" s="101"/>
      <c r="AH234" s="101">
        <f t="shared" si="216"/>
        <v>0</v>
      </c>
      <c r="AI234" s="101"/>
      <c r="AJ234" s="101">
        <f t="shared" si="217"/>
        <v>0</v>
      </c>
      <c r="AK234" s="101">
        <f t="shared" si="220"/>
        <v>0</v>
      </c>
      <c r="AL234" s="98" t="str">
        <f t="shared" si="219"/>
        <v>ok</v>
      </c>
    </row>
    <row r="235" spans="1:38" x14ac:dyDescent="0.25">
      <c r="A235" s="97">
        <v>569</v>
      </c>
      <c r="B235" s="97" t="s">
        <v>1606</v>
      </c>
      <c r="C235" s="97" t="s">
        <v>1607</v>
      </c>
      <c r="D235" s="97" t="s">
        <v>738</v>
      </c>
      <c r="F235" s="101">
        <f>'Jurisdictional Study'!F1027</f>
        <v>0</v>
      </c>
      <c r="G235" s="100"/>
      <c r="H235" s="101">
        <f t="shared" si="194"/>
        <v>0</v>
      </c>
      <c r="I235" s="101">
        <f t="shared" si="195"/>
        <v>0</v>
      </c>
      <c r="J235" s="101">
        <f t="shared" si="196"/>
        <v>0</v>
      </c>
      <c r="K235" s="101">
        <f t="shared" si="197"/>
        <v>0</v>
      </c>
      <c r="L235" s="101">
        <f t="shared" si="198"/>
        <v>0</v>
      </c>
      <c r="M235" s="101">
        <f t="shared" si="199"/>
        <v>0</v>
      </c>
      <c r="N235" s="101"/>
      <c r="O235" s="101">
        <f t="shared" si="200"/>
        <v>0</v>
      </c>
      <c r="P235" s="101">
        <f t="shared" si="201"/>
        <v>0</v>
      </c>
      <c r="Q235" s="101">
        <f t="shared" si="202"/>
        <v>0</v>
      </c>
      <c r="R235" s="101"/>
      <c r="S235" s="101">
        <f t="shared" si="203"/>
        <v>0</v>
      </c>
      <c r="T235" s="101">
        <f t="shared" si="204"/>
        <v>0</v>
      </c>
      <c r="U235" s="101">
        <f t="shared" si="205"/>
        <v>0</v>
      </c>
      <c r="V235" s="101">
        <f t="shared" si="206"/>
        <v>0</v>
      </c>
      <c r="W235" s="101">
        <f t="shared" si="207"/>
        <v>0</v>
      </c>
      <c r="X235" s="101">
        <f t="shared" si="208"/>
        <v>0</v>
      </c>
      <c r="Y235" s="101">
        <f t="shared" si="209"/>
        <v>0</v>
      </c>
      <c r="Z235" s="101">
        <f t="shared" si="210"/>
        <v>0</v>
      </c>
      <c r="AA235" s="101">
        <f t="shared" si="211"/>
        <v>0</v>
      </c>
      <c r="AB235" s="101">
        <f t="shared" si="212"/>
        <v>0</v>
      </c>
      <c r="AC235" s="101">
        <f t="shared" si="213"/>
        <v>0</v>
      </c>
      <c r="AD235" s="101">
        <f t="shared" si="214"/>
        <v>0</v>
      </c>
      <c r="AE235" s="101"/>
      <c r="AF235" s="101">
        <f t="shared" si="215"/>
        <v>0</v>
      </c>
      <c r="AG235" s="101"/>
      <c r="AH235" s="101">
        <f t="shared" si="216"/>
        <v>0</v>
      </c>
      <c r="AI235" s="101"/>
      <c r="AJ235" s="101">
        <f t="shared" si="217"/>
        <v>0</v>
      </c>
      <c r="AK235" s="101">
        <f t="shared" si="220"/>
        <v>0</v>
      </c>
      <c r="AL235" s="98" t="str">
        <f t="shared" si="219"/>
        <v>ok</v>
      </c>
    </row>
    <row r="236" spans="1:38" x14ac:dyDescent="0.25">
      <c r="A236" s="97">
        <v>570</v>
      </c>
      <c r="B236" s="97" t="s">
        <v>476</v>
      </c>
      <c r="C236" s="97" t="s">
        <v>1349</v>
      </c>
      <c r="D236" s="97" t="s">
        <v>738</v>
      </c>
      <c r="F236" s="101">
        <f>'Jurisdictional Study'!F1028</f>
        <v>1986406.9588897978</v>
      </c>
      <c r="G236" s="100"/>
      <c r="H236" s="101">
        <f t="shared" si="194"/>
        <v>0</v>
      </c>
      <c r="I236" s="101">
        <f t="shared" si="195"/>
        <v>0</v>
      </c>
      <c r="J236" s="101">
        <f t="shared" si="196"/>
        <v>0</v>
      </c>
      <c r="K236" s="101">
        <f t="shared" si="197"/>
        <v>0</v>
      </c>
      <c r="L236" s="101">
        <f t="shared" si="198"/>
        <v>0</v>
      </c>
      <c r="M236" s="101">
        <f t="shared" si="199"/>
        <v>0</v>
      </c>
      <c r="N236" s="101"/>
      <c r="O236" s="101">
        <f t="shared" si="200"/>
        <v>1986406.9588897978</v>
      </c>
      <c r="P236" s="101">
        <f t="shared" si="201"/>
        <v>0</v>
      </c>
      <c r="Q236" s="101">
        <f t="shared" si="202"/>
        <v>0</v>
      </c>
      <c r="R236" s="101"/>
      <c r="S236" s="101">
        <f t="shared" si="203"/>
        <v>0</v>
      </c>
      <c r="T236" s="101">
        <f t="shared" si="204"/>
        <v>0</v>
      </c>
      <c r="U236" s="101">
        <f t="shared" si="205"/>
        <v>0</v>
      </c>
      <c r="V236" s="101">
        <f t="shared" si="206"/>
        <v>0</v>
      </c>
      <c r="W236" s="101">
        <f t="shared" si="207"/>
        <v>0</v>
      </c>
      <c r="X236" s="101">
        <f t="shared" si="208"/>
        <v>0</v>
      </c>
      <c r="Y236" s="101">
        <f t="shared" si="209"/>
        <v>0</v>
      </c>
      <c r="Z236" s="101">
        <f t="shared" si="210"/>
        <v>0</v>
      </c>
      <c r="AA236" s="101">
        <f t="shared" si="211"/>
        <v>0</v>
      </c>
      <c r="AB236" s="101">
        <f t="shared" si="212"/>
        <v>0</v>
      </c>
      <c r="AC236" s="101">
        <f t="shared" si="213"/>
        <v>0</v>
      </c>
      <c r="AD236" s="101">
        <f t="shared" si="214"/>
        <v>0</v>
      </c>
      <c r="AE236" s="101"/>
      <c r="AF236" s="101">
        <f t="shared" si="215"/>
        <v>0</v>
      </c>
      <c r="AG236" s="101"/>
      <c r="AH236" s="101">
        <f t="shared" si="216"/>
        <v>0</v>
      </c>
      <c r="AI236" s="101"/>
      <c r="AJ236" s="101">
        <f t="shared" si="217"/>
        <v>0</v>
      </c>
      <c r="AK236" s="101">
        <f t="shared" si="220"/>
        <v>1986406.9588897978</v>
      </c>
      <c r="AL236" s="98" t="str">
        <f t="shared" si="219"/>
        <v>ok</v>
      </c>
    </row>
    <row r="237" spans="1:38" x14ac:dyDescent="0.25">
      <c r="A237" s="97">
        <v>571</v>
      </c>
      <c r="B237" s="97" t="s">
        <v>477</v>
      </c>
      <c r="C237" s="97" t="s">
        <v>1350</v>
      </c>
      <c r="D237" s="97" t="s">
        <v>738</v>
      </c>
      <c r="F237" s="101">
        <f>'Jurisdictional Study'!F1029</f>
        <v>10570831.60725012</v>
      </c>
      <c r="G237" s="100"/>
      <c r="H237" s="101">
        <f t="shared" si="194"/>
        <v>0</v>
      </c>
      <c r="I237" s="101">
        <f t="shared" si="195"/>
        <v>0</v>
      </c>
      <c r="J237" s="101">
        <f t="shared" si="196"/>
        <v>0</v>
      </c>
      <c r="K237" s="101">
        <f t="shared" si="197"/>
        <v>0</v>
      </c>
      <c r="L237" s="101">
        <f t="shared" si="198"/>
        <v>0</v>
      </c>
      <c r="M237" s="101">
        <f t="shared" si="199"/>
        <v>0</v>
      </c>
      <c r="N237" s="101"/>
      <c r="O237" s="101">
        <f t="shared" si="200"/>
        <v>10570831.60725012</v>
      </c>
      <c r="P237" s="101">
        <f t="shared" si="201"/>
        <v>0</v>
      </c>
      <c r="Q237" s="101">
        <f t="shared" si="202"/>
        <v>0</v>
      </c>
      <c r="R237" s="101"/>
      <c r="S237" s="101">
        <f t="shared" si="203"/>
        <v>0</v>
      </c>
      <c r="T237" s="101">
        <f t="shared" si="204"/>
        <v>0</v>
      </c>
      <c r="U237" s="101">
        <f t="shared" si="205"/>
        <v>0</v>
      </c>
      <c r="V237" s="101">
        <f t="shared" si="206"/>
        <v>0</v>
      </c>
      <c r="W237" s="101">
        <f t="shared" si="207"/>
        <v>0</v>
      </c>
      <c r="X237" s="101">
        <f t="shared" si="208"/>
        <v>0</v>
      </c>
      <c r="Y237" s="101">
        <f t="shared" si="209"/>
        <v>0</v>
      </c>
      <c r="Z237" s="101">
        <f t="shared" si="210"/>
        <v>0</v>
      </c>
      <c r="AA237" s="101">
        <f t="shared" si="211"/>
        <v>0</v>
      </c>
      <c r="AB237" s="101">
        <f t="shared" si="212"/>
        <v>0</v>
      </c>
      <c r="AC237" s="101">
        <f t="shared" si="213"/>
        <v>0</v>
      </c>
      <c r="AD237" s="101">
        <f t="shared" si="214"/>
        <v>0</v>
      </c>
      <c r="AE237" s="101"/>
      <c r="AF237" s="101">
        <f t="shared" si="215"/>
        <v>0</v>
      </c>
      <c r="AG237" s="101"/>
      <c r="AH237" s="101">
        <f t="shared" si="216"/>
        <v>0</v>
      </c>
      <c r="AI237" s="101"/>
      <c r="AJ237" s="101">
        <f t="shared" si="217"/>
        <v>0</v>
      </c>
      <c r="AK237" s="101">
        <f t="shared" si="220"/>
        <v>10570831.60725012</v>
      </c>
      <c r="AL237" s="98" t="str">
        <f t="shared" si="219"/>
        <v>ok</v>
      </c>
    </row>
    <row r="238" spans="1:38" x14ac:dyDescent="0.25">
      <c r="A238" s="97">
        <v>572</v>
      </c>
      <c r="B238" s="97" t="s">
        <v>1608</v>
      </c>
      <c r="C238" s="97" t="s">
        <v>1609</v>
      </c>
      <c r="D238" s="97" t="s">
        <v>738</v>
      </c>
      <c r="F238" s="101">
        <f>'Jurisdictional Study'!F1030</f>
        <v>0</v>
      </c>
      <c r="G238" s="100"/>
      <c r="H238" s="101">
        <f t="shared" si="194"/>
        <v>0</v>
      </c>
      <c r="I238" s="101">
        <f t="shared" si="195"/>
        <v>0</v>
      </c>
      <c r="J238" s="101">
        <f t="shared" si="196"/>
        <v>0</v>
      </c>
      <c r="K238" s="101">
        <f t="shared" si="197"/>
        <v>0</v>
      </c>
      <c r="L238" s="101">
        <f t="shared" si="198"/>
        <v>0</v>
      </c>
      <c r="M238" s="101">
        <f t="shared" si="199"/>
        <v>0</v>
      </c>
      <c r="N238" s="101"/>
      <c r="O238" s="101">
        <f t="shared" si="200"/>
        <v>0</v>
      </c>
      <c r="P238" s="101">
        <f t="shared" si="201"/>
        <v>0</v>
      </c>
      <c r="Q238" s="101">
        <f t="shared" si="202"/>
        <v>0</v>
      </c>
      <c r="R238" s="101"/>
      <c r="S238" s="101">
        <f t="shared" si="203"/>
        <v>0</v>
      </c>
      <c r="T238" s="101">
        <f t="shared" si="204"/>
        <v>0</v>
      </c>
      <c r="U238" s="101">
        <f t="shared" si="205"/>
        <v>0</v>
      </c>
      <c r="V238" s="101">
        <f t="shared" si="206"/>
        <v>0</v>
      </c>
      <c r="W238" s="101">
        <f t="shared" si="207"/>
        <v>0</v>
      </c>
      <c r="X238" s="101">
        <f t="shared" si="208"/>
        <v>0</v>
      </c>
      <c r="Y238" s="101">
        <f t="shared" si="209"/>
        <v>0</v>
      </c>
      <c r="Z238" s="101">
        <f t="shared" si="210"/>
        <v>0</v>
      </c>
      <c r="AA238" s="101">
        <f t="shared" si="211"/>
        <v>0</v>
      </c>
      <c r="AB238" s="101">
        <f t="shared" si="212"/>
        <v>0</v>
      </c>
      <c r="AC238" s="101">
        <f t="shared" si="213"/>
        <v>0</v>
      </c>
      <c r="AD238" s="101">
        <f t="shared" si="214"/>
        <v>0</v>
      </c>
      <c r="AE238" s="101"/>
      <c r="AF238" s="101">
        <f t="shared" si="215"/>
        <v>0</v>
      </c>
      <c r="AG238" s="101"/>
      <c r="AH238" s="101">
        <f t="shared" si="216"/>
        <v>0</v>
      </c>
      <c r="AI238" s="101"/>
      <c r="AJ238" s="101">
        <f t="shared" si="217"/>
        <v>0</v>
      </c>
      <c r="AK238" s="101">
        <f t="shared" si="220"/>
        <v>0</v>
      </c>
      <c r="AL238" s="98" t="str">
        <f t="shared" si="219"/>
        <v>ok</v>
      </c>
    </row>
    <row r="239" spans="1:38" x14ac:dyDescent="0.25">
      <c r="A239" s="97">
        <v>573</v>
      </c>
      <c r="B239" s="97" t="s">
        <v>1610</v>
      </c>
      <c r="C239" s="97" t="s">
        <v>1611</v>
      </c>
      <c r="D239" s="97" t="s">
        <v>490</v>
      </c>
      <c r="F239" s="101">
        <f>'Jurisdictional Study'!F1031</f>
        <v>337098.88514349348</v>
      </c>
      <c r="G239" s="100"/>
      <c r="H239" s="101">
        <f t="shared" si="194"/>
        <v>0</v>
      </c>
      <c r="I239" s="101">
        <f t="shared" si="195"/>
        <v>0</v>
      </c>
      <c r="J239" s="101">
        <f t="shared" si="196"/>
        <v>0</v>
      </c>
      <c r="K239" s="101">
        <f t="shared" si="197"/>
        <v>0</v>
      </c>
      <c r="L239" s="101">
        <f t="shared" si="198"/>
        <v>0</v>
      </c>
      <c r="M239" s="101">
        <f t="shared" si="199"/>
        <v>0</v>
      </c>
      <c r="N239" s="101"/>
      <c r="O239" s="101">
        <f t="shared" si="200"/>
        <v>337098.88514349348</v>
      </c>
      <c r="P239" s="101">
        <f t="shared" si="201"/>
        <v>0</v>
      </c>
      <c r="Q239" s="101">
        <f t="shared" si="202"/>
        <v>0</v>
      </c>
      <c r="R239" s="101"/>
      <c r="S239" s="101">
        <f t="shared" si="203"/>
        <v>0</v>
      </c>
      <c r="T239" s="101">
        <f t="shared" si="204"/>
        <v>0</v>
      </c>
      <c r="U239" s="101">
        <f t="shared" si="205"/>
        <v>0</v>
      </c>
      <c r="V239" s="101">
        <f t="shared" si="206"/>
        <v>0</v>
      </c>
      <c r="W239" s="101">
        <f t="shared" si="207"/>
        <v>0</v>
      </c>
      <c r="X239" s="101">
        <f t="shared" si="208"/>
        <v>0</v>
      </c>
      <c r="Y239" s="101">
        <f t="shared" si="209"/>
        <v>0</v>
      </c>
      <c r="Z239" s="101">
        <f t="shared" si="210"/>
        <v>0</v>
      </c>
      <c r="AA239" s="101">
        <f t="shared" si="211"/>
        <v>0</v>
      </c>
      <c r="AB239" s="101">
        <f t="shared" si="212"/>
        <v>0</v>
      </c>
      <c r="AC239" s="101">
        <f t="shared" si="213"/>
        <v>0</v>
      </c>
      <c r="AD239" s="101">
        <f t="shared" si="214"/>
        <v>0</v>
      </c>
      <c r="AE239" s="101"/>
      <c r="AF239" s="101">
        <f t="shared" si="215"/>
        <v>0</v>
      </c>
      <c r="AG239" s="101"/>
      <c r="AH239" s="101">
        <f t="shared" si="216"/>
        <v>0</v>
      </c>
      <c r="AI239" s="101"/>
      <c r="AJ239" s="101">
        <f t="shared" si="217"/>
        <v>0</v>
      </c>
      <c r="AK239" s="101">
        <f t="shared" si="220"/>
        <v>337098.88514349348</v>
      </c>
      <c r="AL239" s="98" t="str">
        <f t="shared" si="219"/>
        <v>ok</v>
      </c>
    </row>
    <row r="240" spans="1:38" x14ac:dyDescent="0.25">
      <c r="A240" s="97">
        <v>575</v>
      </c>
      <c r="B240" s="97" t="s">
        <v>586</v>
      </c>
      <c r="C240" s="97" t="s">
        <v>761</v>
      </c>
      <c r="D240" s="97" t="s">
        <v>490</v>
      </c>
      <c r="F240" s="101">
        <f>'Jurisdictional Study'!F1024</f>
        <v>0</v>
      </c>
      <c r="G240" s="100"/>
      <c r="H240" s="101">
        <f t="shared" si="194"/>
        <v>0</v>
      </c>
      <c r="I240" s="101">
        <f t="shared" si="195"/>
        <v>0</v>
      </c>
      <c r="J240" s="101">
        <f t="shared" si="196"/>
        <v>0</v>
      </c>
      <c r="K240" s="101">
        <f t="shared" si="197"/>
        <v>0</v>
      </c>
      <c r="L240" s="101">
        <f t="shared" si="198"/>
        <v>0</v>
      </c>
      <c r="M240" s="101">
        <f t="shared" si="199"/>
        <v>0</v>
      </c>
      <c r="N240" s="101"/>
      <c r="O240" s="101">
        <f t="shared" si="200"/>
        <v>0</v>
      </c>
      <c r="P240" s="101">
        <f t="shared" si="201"/>
        <v>0</v>
      </c>
      <c r="Q240" s="101">
        <f t="shared" si="202"/>
        <v>0</v>
      </c>
      <c r="R240" s="101"/>
      <c r="S240" s="101">
        <f t="shared" si="203"/>
        <v>0</v>
      </c>
      <c r="T240" s="101">
        <f t="shared" si="204"/>
        <v>0</v>
      </c>
      <c r="U240" s="101">
        <f t="shared" si="205"/>
        <v>0</v>
      </c>
      <c r="V240" s="101">
        <f t="shared" si="206"/>
        <v>0</v>
      </c>
      <c r="W240" s="101">
        <f t="shared" si="207"/>
        <v>0</v>
      </c>
      <c r="X240" s="101">
        <f t="shared" si="208"/>
        <v>0</v>
      </c>
      <c r="Y240" s="101">
        <f t="shared" si="209"/>
        <v>0</v>
      </c>
      <c r="Z240" s="101">
        <f t="shared" si="210"/>
        <v>0</v>
      </c>
      <c r="AA240" s="101">
        <f t="shared" si="211"/>
        <v>0</v>
      </c>
      <c r="AB240" s="101">
        <f t="shared" si="212"/>
        <v>0</v>
      </c>
      <c r="AC240" s="101">
        <f t="shared" si="213"/>
        <v>0</v>
      </c>
      <c r="AD240" s="101">
        <f t="shared" si="214"/>
        <v>0</v>
      </c>
      <c r="AE240" s="101"/>
      <c r="AF240" s="101">
        <f t="shared" si="215"/>
        <v>0</v>
      </c>
      <c r="AG240" s="101"/>
      <c r="AH240" s="101">
        <f t="shared" si="216"/>
        <v>0</v>
      </c>
      <c r="AI240" s="101"/>
      <c r="AJ240" s="101">
        <f t="shared" si="217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478</v>
      </c>
      <c r="F242" s="102">
        <f>SUM(F227:F240)</f>
        <v>35706011.17851349</v>
      </c>
      <c r="G242" s="102">
        <f>SUM(G227:G237)</f>
        <v>0</v>
      </c>
      <c r="H242" s="102">
        <f t="shared" ref="H242:M242" si="221">SUM(H227:H240)</f>
        <v>0</v>
      </c>
      <c r="I242" s="102">
        <f t="shared" si="221"/>
        <v>0</v>
      </c>
      <c r="J242" s="102">
        <f t="shared" si="221"/>
        <v>0</v>
      </c>
      <c r="K242" s="102">
        <f t="shared" si="221"/>
        <v>0</v>
      </c>
      <c r="L242" s="102">
        <f t="shared" si="221"/>
        <v>0</v>
      </c>
      <c r="M242" s="102">
        <f t="shared" si="221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22">SUM(S227:S240)</f>
        <v>0</v>
      </c>
      <c r="T242" s="102">
        <f t="shared" si="222"/>
        <v>0</v>
      </c>
      <c r="U242" s="102">
        <f t="shared" si="222"/>
        <v>0</v>
      </c>
      <c r="V242" s="102">
        <f t="shared" si="222"/>
        <v>0</v>
      </c>
      <c r="W242" s="102">
        <f t="shared" si="222"/>
        <v>0</v>
      </c>
      <c r="X242" s="102">
        <f t="shared" si="222"/>
        <v>0</v>
      </c>
      <c r="Y242" s="102">
        <f t="shared" si="222"/>
        <v>0</v>
      </c>
      <c r="Z242" s="102">
        <f t="shared" si="222"/>
        <v>0</v>
      </c>
      <c r="AA242" s="102">
        <f t="shared" si="222"/>
        <v>0</v>
      </c>
      <c r="AB242" s="102">
        <f t="shared" si="222"/>
        <v>0</v>
      </c>
      <c r="AC242" s="102">
        <f t="shared" si="222"/>
        <v>0</v>
      </c>
      <c r="AD242" s="102">
        <f t="shared" si="222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805</v>
      </c>
      <c r="Y244" s="97"/>
      <c r="AL244" s="98"/>
    </row>
    <row r="245" spans="1:39" x14ac:dyDescent="0.25">
      <c r="A245" s="97">
        <v>580</v>
      </c>
      <c r="B245" s="97" t="s">
        <v>806</v>
      </c>
      <c r="C245" s="97" t="s">
        <v>807</v>
      </c>
      <c r="D245" s="97" t="s">
        <v>1017</v>
      </c>
      <c r="F245" s="100">
        <f>'Jurisdictional Study'!F1037</f>
        <v>1510424.1157263049</v>
      </c>
      <c r="H245" s="101">
        <f t="shared" ref="H245:H256" si="223">IF(VLOOKUP($D245,$C$5:$AJ$644,6,)=0,0,((VLOOKUP($D245,$C$5:$AJ$644,6,)/VLOOKUP($D245,$C$5:$AJ$644,4,))*$F245))</f>
        <v>0</v>
      </c>
      <c r="I245" s="101">
        <f t="shared" ref="I245:I256" si="224">IF(VLOOKUP($D245,$C$5:$AJ$644,7,)=0,0,((VLOOKUP($D245,$C$5:$AJ$644,7,)/VLOOKUP($D245,$C$5:$AJ$644,4,))*$F245))</f>
        <v>0</v>
      </c>
      <c r="J245" s="101">
        <f t="shared" ref="J245:J256" si="225">IF(VLOOKUP($D245,$C$5:$AJ$644,8,)=0,0,((VLOOKUP($D245,$C$5:$AJ$644,8,)/VLOOKUP($D245,$C$5:$AJ$644,4,))*$F245))</f>
        <v>0</v>
      </c>
      <c r="K245" s="101">
        <f t="shared" ref="K245:K256" si="226">IF(VLOOKUP($D245,$C$5:$AJ$644,9,)=0,0,((VLOOKUP($D245,$C$5:$AJ$644,9,)/VLOOKUP($D245,$C$5:$AJ$644,4,))*$F245))</f>
        <v>0</v>
      </c>
      <c r="L245" s="101">
        <f t="shared" ref="L245:L256" si="227">IF(VLOOKUP($D245,$C$5:$AJ$644,10,)=0,0,((VLOOKUP($D245,$C$5:$AJ$644,10,)/VLOOKUP($D245,$C$5:$AJ$644,4,))*$F245))</f>
        <v>0</v>
      </c>
      <c r="M245" s="101">
        <f t="shared" ref="M245:M256" si="228">IF(VLOOKUP($D245,$C$5:$AJ$644,11,)=0,0,((VLOOKUP($D245,$C$5:$AJ$644,11,)/VLOOKUP($D245,$C$5:$AJ$644,4,))*$F245))</f>
        <v>0</v>
      </c>
      <c r="N245" s="101"/>
      <c r="O245" s="101">
        <f t="shared" ref="O245:O256" si="229">IF(VLOOKUP($D245,$C$5:$AJ$644,13,)=0,0,((VLOOKUP($D245,$C$5:$AJ$644,13,)/VLOOKUP($D245,$C$5:$AJ$644,4,))*$F245))</f>
        <v>0</v>
      </c>
      <c r="P245" s="101">
        <f t="shared" ref="P245:P256" si="230">IF(VLOOKUP($D245,$C$5:$AJ$644,14,)=0,0,((VLOOKUP($D245,$C$5:$AJ$644,14,)/VLOOKUP($D245,$C$5:$AJ$644,4,))*$F245))</f>
        <v>0</v>
      </c>
      <c r="Q245" s="101">
        <f t="shared" ref="Q245:Q256" si="231">IF(VLOOKUP($D245,$C$5:$AJ$644,15,)=0,0,((VLOOKUP($D245,$C$5:$AJ$644,15,)/VLOOKUP($D245,$C$5:$AJ$644,4,))*$F245))</f>
        <v>0</v>
      </c>
      <c r="R245" s="101"/>
      <c r="S245" s="101">
        <f t="shared" ref="S245:S256" si="232">IF(VLOOKUP($D245,$C$5:$AJ$644,17,)=0,0,((VLOOKUP($D245,$C$5:$AJ$644,17,)/VLOOKUP($D245,$C$5:$AJ$644,4,))*$F245))</f>
        <v>0</v>
      </c>
      <c r="T245" s="101">
        <f t="shared" ref="T245:T256" si="233">IF(VLOOKUP($D245,$C$5:$AJ$644,18,)=0,0,((VLOOKUP($D245,$C$5:$AJ$644,18,)/VLOOKUP($D245,$C$5:$AJ$644,4,))*$F245))</f>
        <v>196411.756299083</v>
      </c>
      <c r="U245" s="101">
        <f t="shared" ref="U245:U256" si="234">IF(VLOOKUP($D245,$C$5:$AJ$644,19,)=0,0,((VLOOKUP($D245,$C$5:$AJ$644,19,)/VLOOKUP($D245,$C$5:$AJ$644,4,))*$F245))</f>
        <v>0</v>
      </c>
      <c r="V245" s="101">
        <f t="shared" ref="V245:V256" si="235">IF(VLOOKUP($D245,$C$5:$AJ$644,20,)=0,0,((VLOOKUP($D245,$C$5:$AJ$644,20,)/VLOOKUP($D245,$C$5:$AJ$644,4,))*$F245))</f>
        <v>123631.89253770576</v>
      </c>
      <c r="W245" s="101">
        <f t="shared" ref="W245:W256" si="236">IF(VLOOKUP($D245,$C$5:$AJ$644,21,)=0,0,((VLOOKUP($D245,$C$5:$AJ$644,21,)/VLOOKUP($D245,$C$5:$AJ$644,4,))*$F245))</f>
        <v>200942.17598493179</v>
      </c>
      <c r="X245" s="101">
        <f t="shared" ref="X245:X256" si="237">IF(VLOOKUP($D245,$C$5:$AJ$644,22,)=0,0,((VLOOKUP($D245,$C$5:$AJ$644,22,)/VLOOKUP($D245,$C$5:$AJ$644,4,))*$F245))</f>
        <v>62042.50714130907</v>
      </c>
      <c r="Y245" s="101">
        <f t="shared" ref="Y245:Y256" si="238">IF(VLOOKUP($D245,$C$5:$AJ$644,23,)=0,0,((VLOOKUP($D245,$C$5:$AJ$644,23,)/VLOOKUP($D245,$C$5:$AJ$644,4,))*$F245))</f>
        <v>91914.633347702489</v>
      </c>
      <c r="Z245" s="101">
        <f t="shared" ref="Z245:Z256" si="239">IF(VLOOKUP($D245,$C$5:$AJ$644,24,)=0,0,((VLOOKUP($D245,$C$5:$AJ$644,24,)/VLOOKUP($D245,$C$5:$AJ$644,4,))*$F245))</f>
        <v>38256.497099572676</v>
      </c>
      <c r="AA245" s="101">
        <f t="shared" ref="AA245:AA256" si="240">IF(VLOOKUP($D245,$C$5:$AJ$644,25,)=0,0,((VLOOKUP($D245,$C$5:$AJ$644,25,)/VLOOKUP($D245,$C$5:$AJ$644,4,))*$F245))</f>
        <v>34043.669439717371</v>
      </c>
      <c r="AB245" s="101">
        <f t="shared" ref="AB245:AB256" si="241">IF(VLOOKUP($D245,$C$5:$AJ$644,26,)=0,0,((VLOOKUP($D245,$C$5:$AJ$644,26,)/VLOOKUP($D245,$C$5:$AJ$644,4,))*$F245))</f>
        <v>22791.29460111355</v>
      </c>
      <c r="AC245" s="101">
        <f t="shared" ref="AC245:AC256" si="242">IF(VLOOKUP($D245,$C$5:$AJ$644,27,)=0,0,((VLOOKUP($D245,$C$5:$AJ$644,27,)/VLOOKUP($D245,$C$5:$AJ$644,4,))*$F245))</f>
        <v>713416.11431456415</v>
      </c>
      <c r="AD245" s="101">
        <f t="shared" ref="AD245:AD256" si="243">IF(VLOOKUP($D245,$C$5:$AJ$644,28,)=0,0,((VLOOKUP($D245,$C$5:$AJ$644,28,)/VLOOKUP($D245,$C$5:$AJ$644,4,))*$F245))</f>
        <v>26973.57496060518</v>
      </c>
      <c r="AE245" s="101"/>
      <c r="AF245" s="101">
        <f t="shared" ref="AF245:AF256" si="244">IF(VLOOKUP($D245,$C$5:$AJ$644,30,)=0,0,((VLOOKUP($D245,$C$5:$AJ$644,30,)/VLOOKUP($D245,$C$5:$AJ$644,4,))*$F245))</f>
        <v>0</v>
      </c>
      <c r="AG245" s="101"/>
      <c r="AH245" s="101">
        <f t="shared" ref="AH245:AH256" si="245">IF(VLOOKUP($D245,$C$5:$AJ$644,32,)=0,0,((VLOOKUP($D245,$C$5:$AJ$644,32,)/VLOOKUP($D245,$C$5:$AJ$644,4,))*$F245))</f>
        <v>0</v>
      </c>
      <c r="AI245" s="101"/>
      <c r="AJ245" s="101">
        <f t="shared" ref="AJ245:AJ256" si="246">IF(VLOOKUP($D245,$C$5:$AJ$644,34,)=0,0,((VLOOKUP($D245,$C$5:$AJ$644,34,)/VLOOKUP($D245,$C$5:$AJ$644,4,))*$F245))</f>
        <v>0</v>
      </c>
      <c r="AK245" s="101">
        <f t="shared" ref="AK245:AK256" si="247">SUM(H245:AJ245)</f>
        <v>1510424.1157263052</v>
      </c>
      <c r="AL245" s="98" t="str">
        <f t="shared" ref="AL245:AL256" si="248">IF(ABS(AK245-F245)&lt;1,"ok","err")</f>
        <v>ok</v>
      </c>
    </row>
    <row r="246" spans="1:39" x14ac:dyDescent="0.25">
      <c r="A246" s="97">
        <v>581</v>
      </c>
      <c r="B246" s="97" t="s">
        <v>808</v>
      </c>
      <c r="C246" s="97" t="s">
        <v>809</v>
      </c>
      <c r="D246" s="97" t="s">
        <v>119</v>
      </c>
      <c r="F246" s="101">
        <f>'Jurisdictional Study'!F1038</f>
        <v>341053.32063580118</v>
      </c>
      <c r="H246" s="101">
        <f t="shared" si="223"/>
        <v>0</v>
      </c>
      <c r="I246" s="101">
        <f t="shared" si="224"/>
        <v>0</v>
      </c>
      <c r="J246" s="101">
        <f t="shared" si="225"/>
        <v>0</v>
      </c>
      <c r="K246" s="101">
        <f t="shared" si="226"/>
        <v>0</v>
      </c>
      <c r="L246" s="101">
        <f t="shared" si="227"/>
        <v>0</v>
      </c>
      <c r="M246" s="101">
        <f t="shared" si="228"/>
        <v>0</v>
      </c>
      <c r="N246" s="101"/>
      <c r="O246" s="101">
        <f t="shared" si="229"/>
        <v>0</v>
      </c>
      <c r="P246" s="101">
        <f t="shared" si="230"/>
        <v>0</v>
      </c>
      <c r="Q246" s="101">
        <f t="shared" si="231"/>
        <v>0</v>
      </c>
      <c r="R246" s="101"/>
      <c r="S246" s="101">
        <f t="shared" si="232"/>
        <v>0</v>
      </c>
      <c r="T246" s="101">
        <f t="shared" si="233"/>
        <v>341053.32063580118</v>
      </c>
      <c r="U246" s="101">
        <f t="shared" si="234"/>
        <v>0</v>
      </c>
      <c r="V246" s="101">
        <f t="shared" si="235"/>
        <v>0</v>
      </c>
      <c r="W246" s="101">
        <f t="shared" si="236"/>
        <v>0</v>
      </c>
      <c r="X246" s="101">
        <f t="shared" si="237"/>
        <v>0</v>
      </c>
      <c r="Y246" s="101">
        <f t="shared" si="238"/>
        <v>0</v>
      </c>
      <c r="Z246" s="101">
        <f t="shared" si="239"/>
        <v>0</v>
      </c>
      <c r="AA246" s="101">
        <f t="shared" si="240"/>
        <v>0</v>
      </c>
      <c r="AB246" s="101">
        <f t="shared" si="241"/>
        <v>0</v>
      </c>
      <c r="AC246" s="101">
        <f t="shared" si="242"/>
        <v>0</v>
      </c>
      <c r="AD246" s="101">
        <f t="shared" si="243"/>
        <v>0</v>
      </c>
      <c r="AE246" s="101"/>
      <c r="AF246" s="101">
        <f t="shared" si="244"/>
        <v>0</v>
      </c>
      <c r="AG246" s="101"/>
      <c r="AH246" s="101">
        <f t="shared" si="245"/>
        <v>0</v>
      </c>
      <c r="AI246" s="101"/>
      <c r="AJ246" s="101">
        <f t="shared" si="246"/>
        <v>0</v>
      </c>
      <c r="AK246" s="101">
        <f t="shared" si="247"/>
        <v>341053.32063580118</v>
      </c>
      <c r="AL246" s="98" t="str">
        <f t="shared" si="248"/>
        <v>ok</v>
      </c>
    </row>
    <row r="247" spans="1:39" x14ac:dyDescent="0.25">
      <c r="A247" s="97">
        <v>582</v>
      </c>
      <c r="B247" s="97" t="s">
        <v>473</v>
      </c>
      <c r="C247" s="97" t="s">
        <v>479</v>
      </c>
      <c r="D247" s="97" t="s">
        <v>119</v>
      </c>
      <c r="F247" s="101">
        <f>'Jurisdictional Study'!F1039</f>
        <v>1798545.4687433171</v>
      </c>
      <c r="H247" s="101">
        <f t="shared" si="223"/>
        <v>0</v>
      </c>
      <c r="I247" s="101">
        <f t="shared" si="224"/>
        <v>0</v>
      </c>
      <c r="J247" s="101">
        <f t="shared" si="225"/>
        <v>0</v>
      </c>
      <c r="K247" s="101">
        <f t="shared" si="226"/>
        <v>0</v>
      </c>
      <c r="L247" s="101">
        <f t="shared" si="227"/>
        <v>0</v>
      </c>
      <c r="M247" s="101">
        <f t="shared" si="228"/>
        <v>0</v>
      </c>
      <c r="N247" s="101"/>
      <c r="O247" s="101">
        <f t="shared" si="229"/>
        <v>0</v>
      </c>
      <c r="P247" s="101">
        <f t="shared" si="230"/>
        <v>0</v>
      </c>
      <c r="Q247" s="101">
        <f t="shared" si="231"/>
        <v>0</v>
      </c>
      <c r="R247" s="101"/>
      <c r="S247" s="101">
        <f t="shared" si="232"/>
        <v>0</v>
      </c>
      <c r="T247" s="101">
        <f t="shared" si="233"/>
        <v>1798545.4687433171</v>
      </c>
      <c r="U247" s="101">
        <f t="shared" si="234"/>
        <v>0</v>
      </c>
      <c r="V247" s="101">
        <f t="shared" si="235"/>
        <v>0</v>
      </c>
      <c r="W247" s="101">
        <f t="shared" si="236"/>
        <v>0</v>
      </c>
      <c r="X247" s="101">
        <f t="shared" si="237"/>
        <v>0</v>
      </c>
      <c r="Y247" s="101">
        <f t="shared" si="238"/>
        <v>0</v>
      </c>
      <c r="Z247" s="101">
        <f t="shared" si="239"/>
        <v>0</v>
      </c>
      <c r="AA247" s="101">
        <f t="shared" si="240"/>
        <v>0</v>
      </c>
      <c r="AB247" s="101">
        <f t="shared" si="241"/>
        <v>0</v>
      </c>
      <c r="AC247" s="101">
        <f t="shared" si="242"/>
        <v>0</v>
      </c>
      <c r="AD247" s="101">
        <f t="shared" si="243"/>
        <v>0</v>
      </c>
      <c r="AE247" s="101"/>
      <c r="AF247" s="101">
        <f t="shared" si="244"/>
        <v>0</v>
      </c>
      <c r="AG247" s="101"/>
      <c r="AH247" s="101">
        <f t="shared" si="245"/>
        <v>0</v>
      </c>
      <c r="AI247" s="101"/>
      <c r="AJ247" s="101">
        <f t="shared" si="246"/>
        <v>0</v>
      </c>
      <c r="AK247" s="101">
        <f t="shared" si="247"/>
        <v>1798545.4687433171</v>
      </c>
      <c r="AL247" s="98" t="str">
        <f t="shared" si="248"/>
        <v>ok</v>
      </c>
    </row>
    <row r="248" spans="1:39" x14ac:dyDescent="0.25">
      <c r="A248" s="97">
        <v>583</v>
      </c>
      <c r="B248" s="97" t="s">
        <v>810</v>
      </c>
      <c r="C248" s="97" t="s">
        <v>811</v>
      </c>
      <c r="D248" s="97" t="s">
        <v>122</v>
      </c>
      <c r="F248" s="101">
        <f>'Jurisdictional Study'!F1040</f>
        <v>4706316.5542154722</v>
      </c>
      <c r="H248" s="101">
        <f t="shared" si="223"/>
        <v>0</v>
      </c>
      <c r="I248" s="101">
        <f t="shared" si="224"/>
        <v>0</v>
      </c>
      <c r="J248" s="101">
        <f t="shared" si="225"/>
        <v>0</v>
      </c>
      <c r="K248" s="101">
        <f t="shared" si="226"/>
        <v>0</v>
      </c>
      <c r="L248" s="101">
        <f t="shared" si="227"/>
        <v>0</v>
      </c>
      <c r="M248" s="101">
        <f t="shared" si="228"/>
        <v>0</v>
      </c>
      <c r="N248" s="101"/>
      <c r="O248" s="101">
        <f t="shared" si="229"/>
        <v>0</v>
      </c>
      <c r="P248" s="101">
        <f t="shared" si="230"/>
        <v>0</v>
      </c>
      <c r="Q248" s="101">
        <f t="shared" si="231"/>
        <v>0</v>
      </c>
      <c r="R248" s="101"/>
      <c r="S248" s="101">
        <f t="shared" si="232"/>
        <v>0</v>
      </c>
      <c r="T248" s="101">
        <f t="shared" si="233"/>
        <v>0</v>
      </c>
      <c r="U248" s="101">
        <f t="shared" si="234"/>
        <v>0</v>
      </c>
      <c r="V248" s="101">
        <f t="shared" si="235"/>
        <v>1252454.4211040954</v>
      </c>
      <c r="W248" s="101">
        <f t="shared" si="236"/>
        <v>1816534.603899814</v>
      </c>
      <c r="X248" s="101">
        <f t="shared" si="237"/>
        <v>668193.36467123881</v>
      </c>
      <c r="Y248" s="101">
        <f t="shared" si="238"/>
        <v>969134.16454032401</v>
      </c>
      <c r="Z248" s="101">
        <f t="shared" si="239"/>
        <v>0</v>
      </c>
      <c r="AA248" s="101">
        <f t="shared" si="240"/>
        <v>0</v>
      </c>
      <c r="AB248" s="101">
        <f t="shared" si="241"/>
        <v>0</v>
      </c>
      <c r="AC248" s="101">
        <f t="shared" si="242"/>
        <v>0</v>
      </c>
      <c r="AD248" s="101">
        <f t="shared" si="243"/>
        <v>0</v>
      </c>
      <c r="AE248" s="101"/>
      <c r="AF248" s="101">
        <f t="shared" si="244"/>
        <v>0</v>
      </c>
      <c r="AG248" s="101"/>
      <c r="AH248" s="101">
        <f t="shared" si="245"/>
        <v>0</v>
      </c>
      <c r="AI248" s="101"/>
      <c r="AJ248" s="101">
        <f t="shared" si="246"/>
        <v>0</v>
      </c>
      <c r="AK248" s="101">
        <f t="shared" si="247"/>
        <v>4706316.5542154722</v>
      </c>
      <c r="AL248" s="98" t="str">
        <f t="shared" si="248"/>
        <v>ok</v>
      </c>
    </row>
    <row r="249" spans="1:39" x14ac:dyDescent="0.25">
      <c r="A249" s="97">
        <v>584</v>
      </c>
      <c r="B249" s="97" t="s">
        <v>812</v>
      </c>
      <c r="C249" s="97" t="s">
        <v>813</v>
      </c>
      <c r="D249" s="97" t="s">
        <v>125</v>
      </c>
      <c r="F249" s="101">
        <f>'Jurisdictional Study'!F1041</f>
        <v>0</v>
      </c>
      <c r="H249" s="101">
        <f t="shared" si="223"/>
        <v>0</v>
      </c>
      <c r="I249" s="101">
        <f t="shared" si="224"/>
        <v>0</v>
      </c>
      <c r="J249" s="101">
        <f t="shared" si="225"/>
        <v>0</v>
      </c>
      <c r="K249" s="101">
        <f t="shared" si="226"/>
        <v>0</v>
      </c>
      <c r="L249" s="101">
        <f t="shared" si="227"/>
        <v>0</v>
      </c>
      <c r="M249" s="101">
        <f t="shared" si="228"/>
        <v>0</v>
      </c>
      <c r="N249" s="101"/>
      <c r="O249" s="101">
        <f t="shared" si="229"/>
        <v>0</v>
      </c>
      <c r="P249" s="101">
        <f t="shared" si="230"/>
        <v>0</v>
      </c>
      <c r="Q249" s="101">
        <f t="shared" si="231"/>
        <v>0</v>
      </c>
      <c r="R249" s="101"/>
      <c r="S249" s="101">
        <f t="shared" si="232"/>
        <v>0</v>
      </c>
      <c r="T249" s="101">
        <f t="shared" si="233"/>
        <v>0</v>
      </c>
      <c r="U249" s="101">
        <f t="shared" si="234"/>
        <v>0</v>
      </c>
      <c r="V249" s="101">
        <f t="shared" si="235"/>
        <v>0</v>
      </c>
      <c r="W249" s="101">
        <f t="shared" si="236"/>
        <v>0</v>
      </c>
      <c r="X249" s="101">
        <f t="shared" si="237"/>
        <v>0</v>
      </c>
      <c r="Y249" s="101">
        <f t="shared" si="238"/>
        <v>0</v>
      </c>
      <c r="Z249" s="101">
        <f t="shared" si="239"/>
        <v>0</v>
      </c>
      <c r="AA249" s="101">
        <f t="shared" si="240"/>
        <v>0</v>
      </c>
      <c r="AB249" s="101">
        <f t="shared" si="241"/>
        <v>0</v>
      </c>
      <c r="AC249" s="101">
        <f t="shared" si="242"/>
        <v>0</v>
      </c>
      <c r="AD249" s="101">
        <f t="shared" si="243"/>
        <v>0</v>
      </c>
      <c r="AE249" s="101"/>
      <c r="AF249" s="101">
        <f t="shared" si="244"/>
        <v>0</v>
      </c>
      <c r="AG249" s="101"/>
      <c r="AH249" s="101">
        <f t="shared" si="245"/>
        <v>0</v>
      </c>
      <c r="AI249" s="101"/>
      <c r="AJ249" s="101">
        <f t="shared" si="246"/>
        <v>0</v>
      </c>
      <c r="AK249" s="101">
        <f t="shared" si="247"/>
        <v>0</v>
      </c>
      <c r="AL249" s="98" t="str">
        <f t="shared" si="248"/>
        <v>ok</v>
      </c>
    </row>
    <row r="250" spans="1:39" x14ac:dyDescent="0.25">
      <c r="A250" s="97">
        <v>585</v>
      </c>
      <c r="B250" s="97" t="s">
        <v>814</v>
      </c>
      <c r="C250" s="97" t="s">
        <v>365</v>
      </c>
      <c r="D250" s="97" t="s">
        <v>181</v>
      </c>
      <c r="F250" s="101">
        <f>'Jurisdictional Study'!F1042</f>
        <v>0</v>
      </c>
      <c r="H250" s="101">
        <f t="shared" si="223"/>
        <v>0</v>
      </c>
      <c r="I250" s="101">
        <f t="shared" si="224"/>
        <v>0</v>
      </c>
      <c r="J250" s="101">
        <f t="shared" si="225"/>
        <v>0</v>
      </c>
      <c r="K250" s="101">
        <f t="shared" si="226"/>
        <v>0</v>
      </c>
      <c r="L250" s="101">
        <f t="shared" si="227"/>
        <v>0</v>
      </c>
      <c r="M250" s="101">
        <f t="shared" si="228"/>
        <v>0</v>
      </c>
      <c r="N250" s="101"/>
      <c r="O250" s="101">
        <f t="shared" si="229"/>
        <v>0</v>
      </c>
      <c r="P250" s="101">
        <f t="shared" si="230"/>
        <v>0</v>
      </c>
      <c r="Q250" s="101">
        <f t="shared" si="231"/>
        <v>0</v>
      </c>
      <c r="R250" s="101"/>
      <c r="S250" s="101">
        <f t="shared" si="232"/>
        <v>0</v>
      </c>
      <c r="T250" s="101">
        <f t="shared" si="233"/>
        <v>0</v>
      </c>
      <c r="U250" s="101">
        <f t="shared" si="234"/>
        <v>0</v>
      </c>
      <c r="V250" s="101">
        <f t="shared" si="235"/>
        <v>0</v>
      </c>
      <c r="W250" s="101">
        <f t="shared" si="236"/>
        <v>0</v>
      </c>
      <c r="X250" s="101">
        <f t="shared" si="237"/>
        <v>0</v>
      </c>
      <c r="Y250" s="101">
        <f t="shared" si="238"/>
        <v>0</v>
      </c>
      <c r="Z250" s="101">
        <f t="shared" si="239"/>
        <v>0</v>
      </c>
      <c r="AA250" s="101">
        <f t="shared" si="240"/>
        <v>0</v>
      </c>
      <c r="AB250" s="101">
        <f t="shared" si="241"/>
        <v>0</v>
      </c>
      <c r="AC250" s="101">
        <f t="shared" si="242"/>
        <v>0</v>
      </c>
      <c r="AD250" s="101">
        <f t="shared" si="243"/>
        <v>0</v>
      </c>
      <c r="AE250" s="101"/>
      <c r="AF250" s="101">
        <f t="shared" si="244"/>
        <v>0</v>
      </c>
      <c r="AG250" s="101"/>
      <c r="AH250" s="101">
        <f t="shared" si="245"/>
        <v>0</v>
      </c>
      <c r="AI250" s="101"/>
      <c r="AJ250" s="101">
        <f t="shared" si="246"/>
        <v>0</v>
      </c>
      <c r="AK250" s="101">
        <f t="shared" si="247"/>
        <v>0</v>
      </c>
      <c r="AL250" s="98" t="str">
        <f t="shared" si="248"/>
        <v>ok</v>
      </c>
    </row>
    <row r="251" spans="1:39" x14ac:dyDescent="0.25">
      <c r="A251" s="97">
        <v>586</v>
      </c>
      <c r="B251" s="97" t="s">
        <v>366</v>
      </c>
      <c r="C251" s="97" t="s">
        <v>367</v>
      </c>
      <c r="D251" s="97" t="s">
        <v>178</v>
      </c>
      <c r="F251" s="101">
        <f>'Jurisdictional Study'!F1043</f>
        <v>8749182.5699744299</v>
      </c>
      <c r="H251" s="101">
        <f t="shared" si="223"/>
        <v>0</v>
      </c>
      <c r="I251" s="101">
        <f t="shared" si="224"/>
        <v>0</v>
      </c>
      <c r="J251" s="101">
        <f t="shared" si="225"/>
        <v>0</v>
      </c>
      <c r="K251" s="101">
        <f t="shared" si="226"/>
        <v>0</v>
      </c>
      <c r="L251" s="101">
        <f t="shared" si="227"/>
        <v>0</v>
      </c>
      <c r="M251" s="101">
        <f t="shared" si="228"/>
        <v>0</v>
      </c>
      <c r="N251" s="101"/>
      <c r="O251" s="101">
        <f t="shared" si="229"/>
        <v>0</v>
      </c>
      <c r="P251" s="101">
        <f t="shared" si="230"/>
        <v>0</v>
      </c>
      <c r="Q251" s="101">
        <f t="shared" si="231"/>
        <v>0</v>
      </c>
      <c r="R251" s="101"/>
      <c r="S251" s="101">
        <f t="shared" si="232"/>
        <v>0</v>
      </c>
      <c r="T251" s="101">
        <f t="shared" si="233"/>
        <v>0</v>
      </c>
      <c r="U251" s="101">
        <f t="shared" si="234"/>
        <v>0</v>
      </c>
      <c r="V251" s="101">
        <f t="shared" si="235"/>
        <v>0</v>
      </c>
      <c r="W251" s="101">
        <f t="shared" si="236"/>
        <v>0</v>
      </c>
      <c r="X251" s="101">
        <f t="shared" si="237"/>
        <v>0</v>
      </c>
      <c r="Y251" s="101">
        <f t="shared" si="238"/>
        <v>0</v>
      </c>
      <c r="Z251" s="101">
        <f t="shared" si="239"/>
        <v>0</v>
      </c>
      <c r="AA251" s="101">
        <f t="shared" si="240"/>
        <v>0</v>
      </c>
      <c r="AB251" s="101">
        <f t="shared" si="241"/>
        <v>0</v>
      </c>
      <c r="AC251" s="101">
        <f t="shared" si="242"/>
        <v>8749182.5699744299</v>
      </c>
      <c r="AD251" s="101">
        <f t="shared" si="243"/>
        <v>0</v>
      </c>
      <c r="AE251" s="101"/>
      <c r="AF251" s="101">
        <f t="shared" si="244"/>
        <v>0</v>
      </c>
      <c r="AG251" s="101"/>
      <c r="AH251" s="101">
        <f t="shared" si="245"/>
        <v>0</v>
      </c>
      <c r="AI251" s="101"/>
      <c r="AJ251" s="101">
        <f t="shared" si="246"/>
        <v>0</v>
      </c>
      <c r="AK251" s="101">
        <f t="shared" si="247"/>
        <v>8749182.5699744299</v>
      </c>
      <c r="AL251" s="98" t="str">
        <f t="shared" si="248"/>
        <v>ok</v>
      </c>
    </row>
    <row r="252" spans="1:39" x14ac:dyDescent="0.25">
      <c r="A252" s="97">
        <v>586</v>
      </c>
      <c r="B252" s="97" t="s">
        <v>1365</v>
      </c>
      <c r="C252" s="97" t="s">
        <v>1366</v>
      </c>
      <c r="D252" s="97" t="s">
        <v>995</v>
      </c>
      <c r="F252" s="101">
        <v>0</v>
      </c>
      <c r="H252" s="101">
        <f t="shared" si="223"/>
        <v>0</v>
      </c>
      <c r="I252" s="101">
        <f t="shared" si="224"/>
        <v>0</v>
      </c>
      <c r="J252" s="101">
        <f t="shared" si="225"/>
        <v>0</v>
      </c>
      <c r="K252" s="101">
        <f t="shared" si="226"/>
        <v>0</v>
      </c>
      <c r="L252" s="101">
        <f t="shared" si="227"/>
        <v>0</v>
      </c>
      <c r="M252" s="101">
        <f t="shared" si="228"/>
        <v>0</v>
      </c>
      <c r="N252" s="101"/>
      <c r="O252" s="101">
        <f t="shared" si="229"/>
        <v>0</v>
      </c>
      <c r="P252" s="101">
        <f t="shared" si="230"/>
        <v>0</v>
      </c>
      <c r="Q252" s="101">
        <f t="shared" si="231"/>
        <v>0</v>
      </c>
      <c r="R252" s="101"/>
      <c r="S252" s="101">
        <f t="shared" si="232"/>
        <v>0</v>
      </c>
      <c r="T252" s="101">
        <f t="shared" si="233"/>
        <v>0</v>
      </c>
      <c r="U252" s="101">
        <f t="shared" si="234"/>
        <v>0</v>
      </c>
      <c r="V252" s="101">
        <f t="shared" si="235"/>
        <v>0</v>
      </c>
      <c r="W252" s="101">
        <f t="shared" si="236"/>
        <v>0</v>
      </c>
      <c r="X252" s="101">
        <f t="shared" si="237"/>
        <v>0</v>
      </c>
      <c r="Y252" s="101">
        <f t="shared" si="238"/>
        <v>0</v>
      </c>
      <c r="Z252" s="101">
        <f t="shared" si="239"/>
        <v>0</v>
      </c>
      <c r="AA252" s="101">
        <f t="shared" si="240"/>
        <v>0</v>
      </c>
      <c r="AB252" s="101">
        <f t="shared" si="241"/>
        <v>0</v>
      </c>
      <c r="AC252" s="101">
        <f t="shared" si="242"/>
        <v>0</v>
      </c>
      <c r="AD252" s="101">
        <f t="shared" si="243"/>
        <v>0</v>
      </c>
      <c r="AE252" s="101"/>
      <c r="AF252" s="101">
        <f t="shared" si="244"/>
        <v>0</v>
      </c>
      <c r="AG252" s="101"/>
      <c r="AH252" s="101">
        <f t="shared" si="245"/>
        <v>0</v>
      </c>
      <c r="AI252" s="101"/>
      <c r="AJ252" s="101">
        <f t="shared" si="246"/>
        <v>0</v>
      </c>
      <c r="AK252" s="101">
        <f t="shared" si="247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368</v>
      </c>
      <c r="C253" s="97" t="s">
        <v>369</v>
      </c>
      <c r="D253" s="97" t="s">
        <v>180</v>
      </c>
      <c r="F253" s="101">
        <f>'Jurisdictional Study'!F1044</f>
        <v>-142800</v>
      </c>
      <c r="H253" s="101">
        <f t="shared" si="223"/>
        <v>0</v>
      </c>
      <c r="I253" s="101">
        <f t="shared" si="224"/>
        <v>0</v>
      </c>
      <c r="J253" s="101">
        <f t="shared" si="225"/>
        <v>0</v>
      </c>
      <c r="K253" s="101">
        <f t="shared" si="226"/>
        <v>0</v>
      </c>
      <c r="L253" s="101">
        <f t="shared" si="227"/>
        <v>0</v>
      </c>
      <c r="M253" s="101">
        <f t="shared" si="228"/>
        <v>0</v>
      </c>
      <c r="N253" s="101"/>
      <c r="O253" s="101">
        <f t="shared" si="229"/>
        <v>0</v>
      </c>
      <c r="P253" s="101">
        <f t="shared" si="230"/>
        <v>0</v>
      </c>
      <c r="Q253" s="101">
        <f t="shared" si="231"/>
        <v>0</v>
      </c>
      <c r="R253" s="101"/>
      <c r="S253" s="101">
        <f t="shared" si="232"/>
        <v>0</v>
      </c>
      <c r="T253" s="101">
        <f t="shared" si="233"/>
        <v>0</v>
      </c>
      <c r="U253" s="101">
        <f t="shared" si="234"/>
        <v>0</v>
      </c>
      <c r="V253" s="101">
        <f t="shared" si="235"/>
        <v>0</v>
      </c>
      <c r="W253" s="101">
        <f t="shared" si="236"/>
        <v>0</v>
      </c>
      <c r="X253" s="101">
        <f t="shared" si="237"/>
        <v>0</v>
      </c>
      <c r="Y253" s="101">
        <f t="shared" si="238"/>
        <v>0</v>
      </c>
      <c r="Z253" s="101">
        <f t="shared" si="239"/>
        <v>0</v>
      </c>
      <c r="AA253" s="101">
        <f t="shared" si="240"/>
        <v>0</v>
      </c>
      <c r="AB253" s="101">
        <f t="shared" si="241"/>
        <v>0</v>
      </c>
      <c r="AC253" s="101">
        <f t="shared" si="242"/>
        <v>0</v>
      </c>
      <c r="AD253" s="101">
        <f t="shared" si="243"/>
        <v>-142800</v>
      </c>
      <c r="AE253" s="101"/>
      <c r="AF253" s="101">
        <f t="shared" si="244"/>
        <v>0</v>
      </c>
      <c r="AG253" s="101"/>
      <c r="AH253" s="101">
        <f t="shared" si="245"/>
        <v>0</v>
      </c>
      <c r="AI253" s="101"/>
      <c r="AJ253" s="101">
        <f t="shared" si="246"/>
        <v>0</v>
      </c>
      <c r="AK253" s="101">
        <f t="shared" si="247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370</v>
      </c>
      <c r="C254" s="97" t="s">
        <v>371</v>
      </c>
      <c r="D254" s="97" t="s">
        <v>115</v>
      </c>
      <c r="F254" s="101">
        <f>'Jurisdictional Study'!F1045</f>
        <v>6743173.0000804961</v>
      </c>
      <c r="H254" s="101">
        <f t="shared" si="223"/>
        <v>0</v>
      </c>
      <c r="I254" s="101">
        <f t="shared" si="224"/>
        <v>0</v>
      </c>
      <c r="J254" s="101">
        <f t="shared" si="225"/>
        <v>0</v>
      </c>
      <c r="K254" s="101">
        <f t="shared" si="226"/>
        <v>0</v>
      </c>
      <c r="L254" s="101">
        <f t="shared" si="227"/>
        <v>0</v>
      </c>
      <c r="M254" s="101">
        <f t="shared" si="228"/>
        <v>0</v>
      </c>
      <c r="N254" s="101"/>
      <c r="O254" s="101">
        <f t="shared" si="229"/>
        <v>0</v>
      </c>
      <c r="P254" s="101">
        <f t="shared" si="230"/>
        <v>0</v>
      </c>
      <c r="Q254" s="101">
        <f t="shared" si="231"/>
        <v>0</v>
      </c>
      <c r="R254" s="101"/>
      <c r="S254" s="101">
        <f t="shared" si="232"/>
        <v>0</v>
      </c>
      <c r="T254" s="101">
        <f t="shared" si="233"/>
        <v>816418.19448586286</v>
      </c>
      <c r="U254" s="101">
        <f t="shared" si="234"/>
        <v>0</v>
      </c>
      <c r="V254" s="101">
        <f t="shared" si="235"/>
        <v>889644.33356781083</v>
      </c>
      <c r="W254" s="101">
        <f t="shared" si="236"/>
        <v>1649765.3149780508</v>
      </c>
      <c r="X254" s="101">
        <f t="shared" si="237"/>
        <v>409553.36664886225</v>
      </c>
      <c r="Y254" s="101">
        <f t="shared" si="238"/>
        <v>626072.40687948256</v>
      </c>
      <c r="Z254" s="101">
        <f t="shared" si="239"/>
        <v>635769.15263034031</v>
      </c>
      <c r="AA254" s="101">
        <f t="shared" si="240"/>
        <v>565757.88462238177</v>
      </c>
      <c r="AB254" s="101">
        <f t="shared" si="241"/>
        <v>378759.24756478198</v>
      </c>
      <c r="AC254" s="101">
        <f t="shared" si="242"/>
        <v>323170.23628035962</v>
      </c>
      <c r="AD254" s="101">
        <f t="shared" si="243"/>
        <v>448262.86242256284</v>
      </c>
      <c r="AE254" s="101"/>
      <c r="AF254" s="101">
        <f t="shared" si="244"/>
        <v>0</v>
      </c>
      <c r="AG254" s="101"/>
      <c r="AH254" s="101">
        <f t="shared" si="245"/>
        <v>0</v>
      </c>
      <c r="AI254" s="101"/>
      <c r="AJ254" s="101">
        <f t="shared" si="246"/>
        <v>0</v>
      </c>
      <c r="AK254" s="101">
        <f t="shared" si="247"/>
        <v>6743173.0000804961</v>
      </c>
      <c r="AL254" s="98" t="str">
        <f t="shared" si="248"/>
        <v>ok</v>
      </c>
    </row>
    <row r="255" spans="1:39" x14ac:dyDescent="0.25">
      <c r="A255" s="97">
        <v>588</v>
      </c>
      <c r="B255" s="97" t="s">
        <v>969</v>
      </c>
      <c r="C255" s="97" t="s">
        <v>1070</v>
      </c>
      <c r="D255" s="97" t="s">
        <v>115</v>
      </c>
      <c r="F255" s="101">
        <v>0</v>
      </c>
      <c r="H255" s="101">
        <f t="shared" si="223"/>
        <v>0</v>
      </c>
      <c r="I255" s="101">
        <f t="shared" si="224"/>
        <v>0</v>
      </c>
      <c r="J255" s="101">
        <f t="shared" si="225"/>
        <v>0</v>
      </c>
      <c r="K255" s="101">
        <f t="shared" si="226"/>
        <v>0</v>
      </c>
      <c r="L255" s="101">
        <f t="shared" si="227"/>
        <v>0</v>
      </c>
      <c r="M255" s="101">
        <f t="shared" si="228"/>
        <v>0</v>
      </c>
      <c r="N255" s="101"/>
      <c r="O255" s="101">
        <f t="shared" si="229"/>
        <v>0</v>
      </c>
      <c r="P255" s="101">
        <f t="shared" si="230"/>
        <v>0</v>
      </c>
      <c r="Q255" s="101">
        <f t="shared" si="231"/>
        <v>0</v>
      </c>
      <c r="R255" s="101"/>
      <c r="S255" s="101">
        <f t="shared" si="232"/>
        <v>0</v>
      </c>
      <c r="T255" s="101">
        <f t="shared" si="233"/>
        <v>0</v>
      </c>
      <c r="U255" s="101">
        <f t="shared" si="234"/>
        <v>0</v>
      </c>
      <c r="V255" s="101">
        <f t="shared" si="235"/>
        <v>0</v>
      </c>
      <c r="W255" s="101">
        <f t="shared" si="236"/>
        <v>0</v>
      </c>
      <c r="X255" s="101">
        <f t="shared" si="237"/>
        <v>0</v>
      </c>
      <c r="Y255" s="101">
        <f t="shared" si="238"/>
        <v>0</v>
      </c>
      <c r="Z255" s="101">
        <f t="shared" si="239"/>
        <v>0</v>
      </c>
      <c r="AA255" s="101">
        <f t="shared" si="240"/>
        <v>0</v>
      </c>
      <c r="AB255" s="101">
        <f t="shared" si="241"/>
        <v>0</v>
      </c>
      <c r="AC255" s="101">
        <f t="shared" si="242"/>
        <v>0</v>
      </c>
      <c r="AD255" s="101">
        <f t="shared" si="243"/>
        <v>0</v>
      </c>
      <c r="AE255" s="101"/>
      <c r="AF255" s="101">
        <f t="shared" si="244"/>
        <v>0</v>
      </c>
      <c r="AG255" s="101"/>
      <c r="AH255" s="101">
        <f t="shared" si="245"/>
        <v>0</v>
      </c>
      <c r="AI255" s="101"/>
      <c r="AJ255" s="101">
        <f t="shared" si="246"/>
        <v>0</v>
      </c>
      <c r="AK255" s="101">
        <f t="shared" si="247"/>
        <v>0</v>
      </c>
      <c r="AL255" s="98" t="str">
        <f t="shared" si="248"/>
        <v>ok</v>
      </c>
    </row>
    <row r="256" spans="1:39" x14ac:dyDescent="0.25">
      <c r="A256" s="97">
        <v>589</v>
      </c>
      <c r="B256" s="97" t="s">
        <v>372</v>
      </c>
      <c r="C256" s="97" t="s">
        <v>373</v>
      </c>
      <c r="D256" s="97" t="s">
        <v>115</v>
      </c>
      <c r="F256" s="101">
        <f>'Jurisdictional Study'!F1046</f>
        <v>0</v>
      </c>
      <c r="H256" s="101">
        <f t="shared" si="223"/>
        <v>0</v>
      </c>
      <c r="I256" s="101">
        <f t="shared" si="224"/>
        <v>0</v>
      </c>
      <c r="J256" s="101">
        <f t="shared" si="225"/>
        <v>0</v>
      </c>
      <c r="K256" s="101">
        <f t="shared" si="226"/>
        <v>0</v>
      </c>
      <c r="L256" s="101">
        <f t="shared" si="227"/>
        <v>0</v>
      </c>
      <c r="M256" s="101">
        <f t="shared" si="228"/>
        <v>0</v>
      </c>
      <c r="N256" s="101"/>
      <c r="O256" s="101">
        <f t="shared" si="229"/>
        <v>0</v>
      </c>
      <c r="P256" s="101">
        <f t="shared" si="230"/>
        <v>0</v>
      </c>
      <c r="Q256" s="101">
        <f t="shared" si="231"/>
        <v>0</v>
      </c>
      <c r="R256" s="101"/>
      <c r="S256" s="101">
        <f t="shared" si="232"/>
        <v>0</v>
      </c>
      <c r="T256" s="101">
        <f t="shared" si="233"/>
        <v>0</v>
      </c>
      <c r="U256" s="101">
        <f t="shared" si="234"/>
        <v>0</v>
      </c>
      <c r="V256" s="101">
        <f t="shared" si="235"/>
        <v>0</v>
      </c>
      <c r="W256" s="101">
        <f t="shared" si="236"/>
        <v>0</v>
      </c>
      <c r="X256" s="101">
        <f t="shared" si="237"/>
        <v>0</v>
      </c>
      <c r="Y256" s="101">
        <f t="shared" si="238"/>
        <v>0</v>
      </c>
      <c r="Z256" s="101">
        <f t="shared" si="239"/>
        <v>0</v>
      </c>
      <c r="AA256" s="101">
        <f t="shared" si="240"/>
        <v>0</v>
      </c>
      <c r="AB256" s="101">
        <f t="shared" si="241"/>
        <v>0</v>
      </c>
      <c r="AC256" s="101">
        <f t="shared" si="242"/>
        <v>0</v>
      </c>
      <c r="AD256" s="101">
        <f t="shared" si="243"/>
        <v>0</v>
      </c>
      <c r="AE256" s="101"/>
      <c r="AF256" s="101">
        <f t="shared" si="244"/>
        <v>0</v>
      </c>
      <c r="AG256" s="101"/>
      <c r="AH256" s="101">
        <f t="shared" si="245"/>
        <v>0</v>
      </c>
      <c r="AI256" s="101"/>
      <c r="AJ256" s="101">
        <f t="shared" si="246"/>
        <v>0</v>
      </c>
      <c r="AK256" s="101">
        <f t="shared" si="247"/>
        <v>0</v>
      </c>
      <c r="AL256" s="98" t="str">
        <f t="shared" si="248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374</v>
      </c>
      <c r="C258" s="97" t="s">
        <v>375</v>
      </c>
      <c r="F258" s="100">
        <f t="shared" ref="F258:M258" si="249">SUM(F245:F257)</f>
        <v>23705895.029375821</v>
      </c>
      <c r="G258" s="100">
        <f t="shared" si="249"/>
        <v>0</v>
      </c>
      <c r="H258" s="100">
        <f t="shared" si="249"/>
        <v>0</v>
      </c>
      <c r="I258" s="100">
        <f t="shared" si="249"/>
        <v>0</v>
      </c>
      <c r="J258" s="100">
        <f t="shared" si="249"/>
        <v>0</v>
      </c>
      <c r="K258" s="100">
        <f t="shared" si="249"/>
        <v>0</v>
      </c>
      <c r="L258" s="100">
        <f t="shared" si="249"/>
        <v>0</v>
      </c>
      <c r="M258" s="100">
        <f t="shared" si="249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50">SUM(S245:S257)</f>
        <v>0</v>
      </c>
      <c r="T258" s="100">
        <f t="shared" si="250"/>
        <v>3152428.7401640639</v>
      </c>
      <c r="U258" s="100">
        <f t="shared" si="250"/>
        <v>0</v>
      </c>
      <c r="V258" s="100">
        <f t="shared" si="250"/>
        <v>2265730.6472096122</v>
      </c>
      <c r="W258" s="100">
        <f t="shared" si="250"/>
        <v>3667242.0948627964</v>
      </c>
      <c r="X258" s="100">
        <f t="shared" si="250"/>
        <v>1139789.2384614102</v>
      </c>
      <c r="Y258" s="100">
        <f t="shared" si="250"/>
        <v>1687121.2047675091</v>
      </c>
      <c r="Z258" s="100">
        <f t="shared" si="250"/>
        <v>674025.64972991298</v>
      </c>
      <c r="AA258" s="100">
        <f t="shared" si="250"/>
        <v>599801.5540620992</v>
      </c>
      <c r="AB258" s="100">
        <f t="shared" si="250"/>
        <v>401550.54216589552</v>
      </c>
      <c r="AC258" s="100">
        <f t="shared" si="250"/>
        <v>9785768.9205693528</v>
      </c>
      <c r="AD258" s="100">
        <f t="shared" si="250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306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376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377</v>
      </c>
      <c r="C263" s="97" t="s">
        <v>378</v>
      </c>
      <c r="D263" s="97" t="s">
        <v>1026</v>
      </c>
      <c r="F263" s="100">
        <f>'Jurisdictional Study'!F1048</f>
        <v>57449.2177803097</v>
      </c>
      <c r="H263" s="101">
        <f t="shared" ref="H263:H271" si="251">IF(VLOOKUP($D263,$C$5:$AJ$644,6,)=0,0,((VLOOKUP($D263,$C$5:$AJ$644,6,)/VLOOKUP($D263,$C$5:$AJ$644,4,))*$F263))</f>
        <v>0</v>
      </c>
      <c r="I263" s="101">
        <f t="shared" ref="I263:I271" si="252">IF(VLOOKUP($D263,$C$5:$AJ$644,7,)=0,0,((VLOOKUP($D263,$C$5:$AJ$644,7,)/VLOOKUP($D263,$C$5:$AJ$644,4,))*$F263))</f>
        <v>0</v>
      </c>
      <c r="J263" s="101">
        <f t="shared" ref="J263:J271" si="253">IF(VLOOKUP($D263,$C$5:$AJ$644,8,)=0,0,((VLOOKUP($D263,$C$5:$AJ$644,8,)/VLOOKUP($D263,$C$5:$AJ$644,4,))*$F263))</f>
        <v>0</v>
      </c>
      <c r="K263" s="101">
        <f t="shared" ref="K263:K271" si="254">IF(VLOOKUP($D263,$C$5:$AJ$644,9,)=0,0,((VLOOKUP($D263,$C$5:$AJ$644,9,)/VLOOKUP($D263,$C$5:$AJ$644,4,))*$F263))</f>
        <v>0</v>
      </c>
      <c r="L263" s="101">
        <f t="shared" ref="L263:L271" si="255">IF(VLOOKUP($D263,$C$5:$AJ$644,10,)=0,0,((VLOOKUP($D263,$C$5:$AJ$644,10,)/VLOOKUP($D263,$C$5:$AJ$644,4,))*$F263))</f>
        <v>0</v>
      </c>
      <c r="M263" s="101">
        <f t="shared" ref="M263:M271" si="256">IF(VLOOKUP($D263,$C$5:$AJ$644,11,)=0,0,((VLOOKUP($D263,$C$5:$AJ$644,11,)/VLOOKUP($D263,$C$5:$AJ$644,4,))*$F263))</f>
        <v>0</v>
      </c>
      <c r="N263" s="101"/>
      <c r="O263" s="101">
        <f t="shared" ref="O263:O271" si="257">IF(VLOOKUP($D263,$C$5:$AJ$644,13,)=0,0,((VLOOKUP($D263,$C$5:$AJ$644,13,)/VLOOKUP($D263,$C$5:$AJ$644,4,))*$F263))</f>
        <v>0</v>
      </c>
      <c r="P263" s="101">
        <f t="shared" ref="P263:P271" si="258">IF(VLOOKUP($D263,$C$5:$AJ$644,14,)=0,0,((VLOOKUP($D263,$C$5:$AJ$644,14,)/VLOOKUP($D263,$C$5:$AJ$644,4,))*$F263))</f>
        <v>0</v>
      </c>
      <c r="Q263" s="101">
        <f t="shared" ref="Q263:Q271" si="259">IF(VLOOKUP($D263,$C$5:$AJ$644,15,)=0,0,((VLOOKUP($D263,$C$5:$AJ$644,15,)/VLOOKUP($D263,$C$5:$AJ$644,4,))*$F263))</f>
        <v>0</v>
      </c>
      <c r="R263" s="101"/>
      <c r="S263" s="101">
        <f t="shared" ref="S263:S271" si="260">IF(VLOOKUP($D263,$C$5:$AJ$644,17,)=0,0,((VLOOKUP($D263,$C$5:$AJ$644,17,)/VLOOKUP($D263,$C$5:$AJ$644,4,))*$F263))</f>
        <v>0</v>
      </c>
      <c r="T263" s="101">
        <f t="shared" ref="T263:T271" si="261">IF(VLOOKUP($D263,$C$5:$AJ$644,18,)=0,0,((VLOOKUP($D263,$C$5:$AJ$644,18,)/VLOOKUP($D263,$C$5:$AJ$644,4,))*$F263))</f>
        <v>4810.2013351609412</v>
      </c>
      <c r="U263" s="101">
        <f t="shared" ref="U263:U271" si="262">IF(VLOOKUP($D263,$C$5:$AJ$644,19,)=0,0,((VLOOKUP($D263,$C$5:$AJ$644,19,)/VLOOKUP($D263,$C$5:$AJ$644,4,))*$F263))</f>
        <v>0</v>
      </c>
      <c r="V263" s="101">
        <f t="shared" ref="V263:V271" si="263">IF(VLOOKUP($D263,$C$5:$AJ$644,20,)=0,0,((VLOOKUP($D263,$C$5:$AJ$644,20,)/VLOOKUP($D263,$C$5:$AJ$644,4,))*$F263))</f>
        <v>13640.111670781604</v>
      </c>
      <c r="W263" s="101">
        <f t="shared" ref="W263:W271" si="264">IF(VLOOKUP($D263,$C$5:$AJ$644,21,)=0,0,((VLOOKUP($D263,$C$5:$AJ$644,21,)/VLOOKUP($D263,$C$5:$AJ$644,4,))*$F263))</f>
        <v>21294.070695657778</v>
      </c>
      <c r="X263" s="101">
        <f t="shared" ref="X263:X271" si="265">IF(VLOOKUP($D263,$C$5:$AJ$644,22,)=0,0,((VLOOKUP($D263,$C$5:$AJ$644,22,)/VLOOKUP($D263,$C$5:$AJ$644,4,))*$F263))</f>
        <v>7003.5751017641978</v>
      </c>
      <c r="Y263" s="101">
        <f t="shared" ref="Y263:Y271" si="266">IF(VLOOKUP($D263,$C$5:$AJ$644,23,)=0,0,((VLOOKUP($D263,$C$5:$AJ$644,23,)/VLOOKUP($D263,$C$5:$AJ$644,4,))*$F263))</f>
        <v>10292.609884689378</v>
      </c>
      <c r="Z263" s="101">
        <f t="shared" ref="Z263:Z271" si="267">IF(VLOOKUP($D263,$C$5:$AJ$644,24,)=0,0,((VLOOKUP($D263,$C$5:$AJ$644,24,)/VLOOKUP($D263,$C$5:$AJ$644,4,))*$F263))</f>
        <v>216.2302462212383</v>
      </c>
      <c r="AA263" s="101">
        <f t="shared" ref="AA263:AA271" si="268">IF(VLOOKUP($D263,$C$5:$AJ$644,25,)=0,0,((VLOOKUP($D263,$C$5:$AJ$644,25,)/VLOOKUP($D263,$C$5:$AJ$644,4,))*$F263))</f>
        <v>192.41884603456691</v>
      </c>
      <c r="AB263" s="101">
        <f t="shared" ref="AB263:AB271" si="269">IF(VLOOKUP($D263,$C$5:$AJ$644,26,)=0,0,((VLOOKUP($D263,$C$5:$AJ$644,26,)/VLOOKUP($D263,$C$5:$AJ$644,4,))*$F263))</f>
        <v>0</v>
      </c>
      <c r="AC263" s="101">
        <f t="shared" ref="AC263:AC271" si="270">IF(VLOOKUP($D263,$C$5:$AJ$644,27,)=0,0,((VLOOKUP($D263,$C$5:$AJ$644,27,)/VLOOKUP($D263,$C$5:$AJ$644,4,))*$F263))</f>
        <v>0</v>
      </c>
      <c r="AD263" s="101">
        <f t="shared" ref="AD263:AD271" si="271">IF(VLOOKUP($D263,$C$5:$AJ$644,28,)=0,0,((VLOOKUP($D263,$C$5:$AJ$644,28,)/VLOOKUP($D263,$C$5:$AJ$644,4,))*$F263))</f>
        <v>0</v>
      </c>
      <c r="AE263" s="101"/>
      <c r="AF263" s="101">
        <f t="shared" ref="AF263:AF271" si="272">IF(VLOOKUP($D263,$C$5:$AJ$644,30,)=0,0,((VLOOKUP($D263,$C$5:$AJ$644,30,)/VLOOKUP($D263,$C$5:$AJ$644,4,))*$F263))</f>
        <v>0</v>
      </c>
      <c r="AG263" s="101"/>
      <c r="AH263" s="101">
        <f t="shared" ref="AH263:AH271" si="273">IF(VLOOKUP($D263,$C$5:$AJ$644,32,)=0,0,((VLOOKUP($D263,$C$5:$AJ$644,32,)/VLOOKUP($D263,$C$5:$AJ$644,4,))*$F263))</f>
        <v>0</v>
      </c>
      <c r="AI263" s="101"/>
      <c r="AJ263" s="101">
        <f t="shared" ref="AJ263:AJ271" si="274">IF(VLOOKUP($D263,$C$5:$AJ$644,34,)=0,0,((VLOOKUP($D263,$C$5:$AJ$644,34,)/VLOOKUP($D263,$C$5:$AJ$644,4,))*$F263))</f>
        <v>0</v>
      </c>
      <c r="AK263" s="101">
        <f t="shared" ref="AK263:AK271" si="275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1606</v>
      </c>
      <c r="C264" s="97" t="s">
        <v>1612</v>
      </c>
      <c r="D264" s="97" t="s">
        <v>119</v>
      </c>
      <c r="F264" s="130">
        <f>'Jurisdictional Study'!F1049</f>
        <v>0</v>
      </c>
      <c r="H264" s="101">
        <f t="shared" si="251"/>
        <v>0</v>
      </c>
      <c r="I264" s="101">
        <f t="shared" si="252"/>
        <v>0</v>
      </c>
      <c r="J264" s="101">
        <f t="shared" si="253"/>
        <v>0</v>
      </c>
      <c r="K264" s="101">
        <f t="shared" si="254"/>
        <v>0</v>
      </c>
      <c r="L264" s="101">
        <f t="shared" si="255"/>
        <v>0</v>
      </c>
      <c r="M264" s="101">
        <f t="shared" si="256"/>
        <v>0</v>
      </c>
      <c r="N264" s="101"/>
      <c r="O264" s="101">
        <f t="shared" si="257"/>
        <v>0</v>
      </c>
      <c r="P264" s="101">
        <f t="shared" si="258"/>
        <v>0</v>
      </c>
      <c r="Q264" s="101">
        <f t="shared" si="259"/>
        <v>0</v>
      </c>
      <c r="R264" s="101"/>
      <c r="S264" s="101">
        <f t="shared" si="260"/>
        <v>0</v>
      </c>
      <c r="T264" s="101">
        <f t="shared" si="261"/>
        <v>0</v>
      </c>
      <c r="U264" s="101">
        <f t="shared" si="262"/>
        <v>0</v>
      </c>
      <c r="V264" s="101">
        <f t="shared" si="263"/>
        <v>0</v>
      </c>
      <c r="W264" s="101">
        <f t="shared" si="264"/>
        <v>0</v>
      </c>
      <c r="X264" s="101">
        <f t="shared" si="265"/>
        <v>0</v>
      </c>
      <c r="Y264" s="101">
        <f t="shared" si="266"/>
        <v>0</v>
      </c>
      <c r="Z264" s="101">
        <f t="shared" si="267"/>
        <v>0</v>
      </c>
      <c r="AA264" s="101">
        <f t="shared" si="268"/>
        <v>0</v>
      </c>
      <c r="AB264" s="101">
        <f t="shared" si="269"/>
        <v>0</v>
      </c>
      <c r="AC264" s="101">
        <f t="shared" si="270"/>
        <v>0</v>
      </c>
      <c r="AD264" s="101">
        <f t="shared" si="271"/>
        <v>0</v>
      </c>
      <c r="AE264" s="101"/>
      <c r="AF264" s="101">
        <f t="shared" si="272"/>
        <v>0</v>
      </c>
      <c r="AG264" s="101"/>
      <c r="AH264" s="101">
        <f t="shared" si="273"/>
        <v>0</v>
      </c>
      <c r="AI264" s="101"/>
      <c r="AJ264" s="101">
        <f t="shared" si="274"/>
        <v>0</v>
      </c>
      <c r="AK264" s="101"/>
      <c r="AL264" s="98"/>
    </row>
    <row r="265" spans="1:38" x14ac:dyDescent="0.25">
      <c r="A265" s="97">
        <v>592</v>
      </c>
      <c r="B265" s="97" t="s">
        <v>379</v>
      </c>
      <c r="C265" s="97" t="s">
        <v>380</v>
      </c>
      <c r="D265" s="97" t="s">
        <v>119</v>
      </c>
      <c r="F265" s="101">
        <f>'Jurisdictional Study'!F1050</f>
        <v>1286691.8462125435</v>
      </c>
      <c r="H265" s="101">
        <f t="shared" si="251"/>
        <v>0</v>
      </c>
      <c r="I265" s="101">
        <f t="shared" si="252"/>
        <v>0</v>
      </c>
      <c r="J265" s="101">
        <f t="shared" si="253"/>
        <v>0</v>
      </c>
      <c r="K265" s="101">
        <f t="shared" si="254"/>
        <v>0</v>
      </c>
      <c r="L265" s="101">
        <f t="shared" si="255"/>
        <v>0</v>
      </c>
      <c r="M265" s="101">
        <f t="shared" si="256"/>
        <v>0</v>
      </c>
      <c r="N265" s="101"/>
      <c r="O265" s="101">
        <f t="shared" si="257"/>
        <v>0</v>
      </c>
      <c r="P265" s="101">
        <f t="shared" si="258"/>
        <v>0</v>
      </c>
      <c r="Q265" s="101">
        <f t="shared" si="259"/>
        <v>0</v>
      </c>
      <c r="R265" s="101"/>
      <c r="S265" s="101">
        <f t="shared" si="260"/>
        <v>0</v>
      </c>
      <c r="T265" s="101">
        <f t="shared" si="261"/>
        <v>1286691.8462125435</v>
      </c>
      <c r="U265" s="101">
        <f t="shared" si="262"/>
        <v>0</v>
      </c>
      <c r="V265" s="101">
        <f t="shared" si="263"/>
        <v>0</v>
      </c>
      <c r="W265" s="101">
        <f t="shared" si="264"/>
        <v>0</v>
      </c>
      <c r="X265" s="101">
        <f t="shared" si="265"/>
        <v>0</v>
      </c>
      <c r="Y265" s="101">
        <f t="shared" si="266"/>
        <v>0</v>
      </c>
      <c r="Z265" s="101">
        <f t="shared" si="267"/>
        <v>0</v>
      </c>
      <c r="AA265" s="101">
        <f t="shared" si="268"/>
        <v>0</v>
      </c>
      <c r="AB265" s="101">
        <f t="shared" si="269"/>
        <v>0</v>
      </c>
      <c r="AC265" s="101">
        <f t="shared" si="270"/>
        <v>0</v>
      </c>
      <c r="AD265" s="101">
        <f t="shared" si="271"/>
        <v>0</v>
      </c>
      <c r="AE265" s="101"/>
      <c r="AF265" s="101">
        <f t="shared" si="272"/>
        <v>0</v>
      </c>
      <c r="AG265" s="101"/>
      <c r="AH265" s="101">
        <f t="shared" si="273"/>
        <v>0</v>
      </c>
      <c r="AI265" s="101"/>
      <c r="AJ265" s="101">
        <f t="shared" si="274"/>
        <v>0</v>
      </c>
      <c r="AK265" s="101">
        <f t="shared" si="275"/>
        <v>1286691.8462125435</v>
      </c>
      <c r="AL265" s="98" t="str">
        <f t="shared" ref="AL265:AL271" si="276">IF(ABS(AK265-F265)&lt;1,"ok","err")</f>
        <v>ok</v>
      </c>
    </row>
    <row r="266" spans="1:38" x14ac:dyDescent="0.25">
      <c r="A266" s="97">
        <v>593</v>
      </c>
      <c r="B266" s="97" t="s">
        <v>381</v>
      </c>
      <c r="C266" s="97" t="s">
        <v>382</v>
      </c>
      <c r="D266" s="97" t="s">
        <v>122</v>
      </c>
      <c r="F266" s="101">
        <f>'Jurisdictional Study'!F1051</f>
        <v>30239214.880671129</v>
      </c>
      <c r="H266" s="101">
        <f t="shared" si="251"/>
        <v>0</v>
      </c>
      <c r="I266" s="101">
        <f t="shared" si="252"/>
        <v>0</v>
      </c>
      <c r="J266" s="101">
        <f t="shared" si="253"/>
        <v>0</v>
      </c>
      <c r="K266" s="101">
        <f t="shared" si="254"/>
        <v>0</v>
      </c>
      <c r="L266" s="101">
        <f t="shared" si="255"/>
        <v>0</v>
      </c>
      <c r="M266" s="101">
        <f t="shared" si="256"/>
        <v>0</v>
      </c>
      <c r="N266" s="101"/>
      <c r="O266" s="101">
        <f t="shared" si="257"/>
        <v>0</v>
      </c>
      <c r="P266" s="101">
        <f t="shared" si="258"/>
        <v>0</v>
      </c>
      <c r="Q266" s="101">
        <f t="shared" si="259"/>
        <v>0</v>
      </c>
      <c r="R266" s="101"/>
      <c r="S266" s="101">
        <f t="shared" si="260"/>
        <v>0</v>
      </c>
      <c r="T266" s="101">
        <f t="shared" si="261"/>
        <v>0</v>
      </c>
      <c r="U266" s="101">
        <f t="shared" si="262"/>
        <v>0</v>
      </c>
      <c r="V266" s="101">
        <f t="shared" si="263"/>
        <v>8047320.6448661117</v>
      </c>
      <c r="W266" s="101">
        <f t="shared" si="264"/>
        <v>11671671.378819533</v>
      </c>
      <c r="X266" s="101">
        <f t="shared" si="265"/>
        <v>4293302.9479357768</v>
      </c>
      <c r="Y266" s="101">
        <f t="shared" si="266"/>
        <v>6226919.9090497084</v>
      </c>
      <c r="Z266" s="101">
        <f t="shared" si="267"/>
        <v>0</v>
      </c>
      <c r="AA266" s="101">
        <f t="shared" si="268"/>
        <v>0</v>
      </c>
      <c r="AB266" s="101">
        <f t="shared" si="269"/>
        <v>0</v>
      </c>
      <c r="AC266" s="101">
        <f t="shared" si="270"/>
        <v>0</v>
      </c>
      <c r="AD266" s="101">
        <f t="shared" si="271"/>
        <v>0</v>
      </c>
      <c r="AE266" s="101"/>
      <c r="AF266" s="101">
        <f t="shared" si="272"/>
        <v>0</v>
      </c>
      <c r="AG266" s="101"/>
      <c r="AH266" s="101">
        <f t="shared" si="273"/>
        <v>0</v>
      </c>
      <c r="AI266" s="101"/>
      <c r="AJ266" s="101">
        <f t="shared" si="274"/>
        <v>0</v>
      </c>
      <c r="AK266" s="101">
        <f t="shared" si="275"/>
        <v>30239214.880671132</v>
      </c>
      <c r="AL266" s="98" t="str">
        <f t="shared" si="276"/>
        <v>ok</v>
      </c>
    </row>
    <row r="267" spans="1:38" x14ac:dyDescent="0.25">
      <c r="A267" s="97">
        <v>594</v>
      </c>
      <c r="B267" s="97" t="s">
        <v>383</v>
      </c>
      <c r="C267" s="97" t="s">
        <v>384</v>
      </c>
      <c r="D267" s="97" t="s">
        <v>125</v>
      </c>
      <c r="F267" s="101">
        <f>'Jurisdictional Study'!F1052</f>
        <v>790500.34303623124</v>
      </c>
      <c r="H267" s="101">
        <f t="shared" si="251"/>
        <v>0</v>
      </c>
      <c r="I267" s="101">
        <f t="shared" si="252"/>
        <v>0</v>
      </c>
      <c r="J267" s="101">
        <f t="shared" si="253"/>
        <v>0</v>
      </c>
      <c r="K267" s="101">
        <f t="shared" si="254"/>
        <v>0</v>
      </c>
      <c r="L267" s="101">
        <f t="shared" si="255"/>
        <v>0</v>
      </c>
      <c r="M267" s="101">
        <f t="shared" si="256"/>
        <v>0</v>
      </c>
      <c r="N267" s="101"/>
      <c r="O267" s="101">
        <f t="shared" si="257"/>
        <v>0</v>
      </c>
      <c r="P267" s="101">
        <f t="shared" si="258"/>
        <v>0</v>
      </c>
      <c r="Q267" s="101">
        <f t="shared" si="259"/>
        <v>0</v>
      </c>
      <c r="R267" s="101"/>
      <c r="S267" s="101">
        <f t="shared" si="260"/>
        <v>0</v>
      </c>
      <c r="T267" s="101">
        <f t="shared" si="261"/>
        <v>0</v>
      </c>
      <c r="U267" s="101">
        <f t="shared" si="262"/>
        <v>0</v>
      </c>
      <c r="V267" s="101">
        <f t="shared" si="263"/>
        <v>147982.1306115849</v>
      </c>
      <c r="W267" s="101">
        <f t="shared" si="264"/>
        <v>577776.23432997905</v>
      </c>
      <c r="X267" s="101">
        <f t="shared" si="265"/>
        <v>13200.889333502671</v>
      </c>
      <c r="Y267" s="101">
        <f t="shared" si="266"/>
        <v>51541.088761164669</v>
      </c>
      <c r="Z267" s="101">
        <f t="shared" si="267"/>
        <v>0</v>
      </c>
      <c r="AA267" s="101">
        <f t="shared" si="268"/>
        <v>0</v>
      </c>
      <c r="AB267" s="101">
        <f t="shared" si="269"/>
        <v>0</v>
      </c>
      <c r="AC267" s="101">
        <f t="shared" si="270"/>
        <v>0</v>
      </c>
      <c r="AD267" s="101">
        <f t="shared" si="271"/>
        <v>0</v>
      </c>
      <c r="AE267" s="101"/>
      <c r="AF267" s="101">
        <f t="shared" si="272"/>
        <v>0</v>
      </c>
      <c r="AG267" s="101"/>
      <c r="AH267" s="101">
        <f t="shared" si="273"/>
        <v>0</v>
      </c>
      <c r="AI267" s="101"/>
      <c r="AJ267" s="101">
        <f t="shared" si="274"/>
        <v>0</v>
      </c>
      <c r="AK267" s="101">
        <f t="shared" si="275"/>
        <v>790500.34303623124</v>
      </c>
      <c r="AL267" s="98" t="str">
        <f t="shared" si="276"/>
        <v>ok</v>
      </c>
    </row>
    <row r="268" spans="1:38" x14ac:dyDescent="0.25">
      <c r="A268" s="97">
        <v>595</v>
      </c>
      <c r="B268" s="97" t="s">
        <v>385</v>
      </c>
      <c r="C268" s="97" t="s">
        <v>386</v>
      </c>
      <c r="D268" s="97" t="s">
        <v>126</v>
      </c>
      <c r="F268" s="101">
        <f>'Jurisdictional Study'!F1053</f>
        <v>96331.044492663816</v>
      </c>
      <c r="H268" s="101">
        <f t="shared" si="251"/>
        <v>0</v>
      </c>
      <c r="I268" s="101">
        <f t="shared" si="252"/>
        <v>0</v>
      </c>
      <c r="J268" s="101">
        <f t="shared" si="253"/>
        <v>0</v>
      </c>
      <c r="K268" s="101">
        <f t="shared" si="254"/>
        <v>0</v>
      </c>
      <c r="L268" s="101">
        <f t="shared" si="255"/>
        <v>0</v>
      </c>
      <c r="M268" s="101">
        <f t="shared" si="256"/>
        <v>0</v>
      </c>
      <c r="N268" s="101"/>
      <c r="O268" s="101">
        <f t="shared" si="257"/>
        <v>0</v>
      </c>
      <c r="P268" s="101">
        <f t="shared" si="258"/>
        <v>0</v>
      </c>
      <c r="Q268" s="101">
        <f t="shared" si="259"/>
        <v>0</v>
      </c>
      <c r="R268" s="101"/>
      <c r="S268" s="101">
        <f t="shared" si="260"/>
        <v>0</v>
      </c>
      <c r="T268" s="101">
        <f t="shared" si="261"/>
        <v>0</v>
      </c>
      <c r="U268" s="101">
        <f t="shared" si="262"/>
        <v>0</v>
      </c>
      <c r="V268" s="101">
        <f t="shared" si="263"/>
        <v>0</v>
      </c>
      <c r="W268" s="101">
        <f t="shared" si="264"/>
        <v>0</v>
      </c>
      <c r="X268" s="101">
        <f t="shared" si="265"/>
        <v>0</v>
      </c>
      <c r="Y268" s="101">
        <f t="shared" si="266"/>
        <v>0</v>
      </c>
      <c r="Z268" s="101">
        <f t="shared" si="267"/>
        <v>50972.05858066323</v>
      </c>
      <c r="AA268" s="101">
        <f t="shared" si="268"/>
        <v>45358.985912000586</v>
      </c>
      <c r="AB268" s="101">
        <f t="shared" si="269"/>
        <v>0</v>
      </c>
      <c r="AC268" s="101">
        <f t="shared" si="270"/>
        <v>0</v>
      </c>
      <c r="AD268" s="101">
        <f t="shared" si="271"/>
        <v>0</v>
      </c>
      <c r="AE268" s="101"/>
      <c r="AF268" s="101">
        <f t="shared" si="272"/>
        <v>0</v>
      </c>
      <c r="AG268" s="101"/>
      <c r="AH268" s="101">
        <f t="shared" si="273"/>
        <v>0</v>
      </c>
      <c r="AI268" s="101"/>
      <c r="AJ268" s="101">
        <f t="shared" si="274"/>
        <v>0</v>
      </c>
      <c r="AK268" s="101">
        <f t="shared" si="275"/>
        <v>96331.044492663816</v>
      </c>
      <c r="AL268" s="98" t="str">
        <f t="shared" si="276"/>
        <v>ok</v>
      </c>
    </row>
    <row r="269" spans="1:38" x14ac:dyDescent="0.25">
      <c r="A269" s="97">
        <v>596</v>
      </c>
      <c r="B269" s="97" t="s">
        <v>481</v>
      </c>
      <c r="C269" s="97" t="s">
        <v>482</v>
      </c>
      <c r="D269" s="97" t="s">
        <v>181</v>
      </c>
      <c r="F269" s="101">
        <f>'Jurisdictional Study'!F1054</f>
        <v>0</v>
      </c>
      <c r="H269" s="101">
        <f t="shared" si="251"/>
        <v>0</v>
      </c>
      <c r="I269" s="101">
        <f t="shared" si="252"/>
        <v>0</v>
      </c>
      <c r="J269" s="101">
        <f t="shared" si="253"/>
        <v>0</v>
      </c>
      <c r="K269" s="101">
        <f t="shared" si="254"/>
        <v>0</v>
      </c>
      <c r="L269" s="101">
        <f t="shared" si="255"/>
        <v>0</v>
      </c>
      <c r="M269" s="101">
        <f t="shared" si="256"/>
        <v>0</v>
      </c>
      <c r="N269" s="101"/>
      <c r="O269" s="101">
        <f t="shared" si="257"/>
        <v>0</v>
      </c>
      <c r="P269" s="101">
        <f t="shared" si="258"/>
        <v>0</v>
      </c>
      <c r="Q269" s="101">
        <f t="shared" si="259"/>
        <v>0</v>
      </c>
      <c r="R269" s="101"/>
      <c r="S269" s="101">
        <f t="shared" si="260"/>
        <v>0</v>
      </c>
      <c r="T269" s="101">
        <f t="shared" si="261"/>
        <v>0</v>
      </c>
      <c r="U269" s="101">
        <f t="shared" si="262"/>
        <v>0</v>
      </c>
      <c r="V269" s="101">
        <f t="shared" si="263"/>
        <v>0</v>
      </c>
      <c r="W269" s="101">
        <f t="shared" si="264"/>
        <v>0</v>
      </c>
      <c r="X269" s="101">
        <f t="shared" si="265"/>
        <v>0</v>
      </c>
      <c r="Y269" s="101">
        <f t="shared" si="266"/>
        <v>0</v>
      </c>
      <c r="Z269" s="101">
        <f t="shared" si="267"/>
        <v>0</v>
      </c>
      <c r="AA269" s="101">
        <f t="shared" si="268"/>
        <v>0</v>
      </c>
      <c r="AB269" s="101">
        <f t="shared" si="269"/>
        <v>0</v>
      </c>
      <c r="AC269" s="101">
        <f t="shared" si="270"/>
        <v>0</v>
      </c>
      <c r="AD269" s="101">
        <f t="shared" si="271"/>
        <v>0</v>
      </c>
      <c r="AE269" s="101"/>
      <c r="AF269" s="101">
        <f t="shared" si="272"/>
        <v>0</v>
      </c>
      <c r="AG269" s="101"/>
      <c r="AH269" s="101">
        <f t="shared" si="273"/>
        <v>0</v>
      </c>
      <c r="AI269" s="101"/>
      <c r="AJ269" s="101">
        <f t="shared" si="274"/>
        <v>0</v>
      </c>
      <c r="AK269" s="101">
        <f t="shared" si="275"/>
        <v>0</v>
      </c>
      <c r="AL269" s="98" t="str">
        <f t="shared" si="276"/>
        <v>ok</v>
      </c>
    </row>
    <row r="270" spans="1:38" x14ac:dyDescent="0.25">
      <c r="A270" s="97">
        <v>597</v>
      </c>
      <c r="B270" s="97" t="s">
        <v>387</v>
      </c>
      <c r="C270" s="97" t="s">
        <v>388</v>
      </c>
      <c r="D270" s="97" t="s">
        <v>178</v>
      </c>
      <c r="F270" s="101">
        <f>'Jurisdictional Study'!F1055</f>
        <v>1371953.1640689725</v>
      </c>
      <c r="H270" s="101">
        <f t="shared" si="251"/>
        <v>0</v>
      </c>
      <c r="I270" s="101">
        <f t="shared" si="252"/>
        <v>0</v>
      </c>
      <c r="J270" s="101">
        <f t="shared" si="253"/>
        <v>0</v>
      </c>
      <c r="K270" s="101">
        <f t="shared" si="254"/>
        <v>0</v>
      </c>
      <c r="L270" s="101">
        <f t="shared" si="255"/>
        <v>0</v>
      </c>
      <c r="M270" s="101">
        <f t="shared" si="256"/>
        <v>0</v>
      </c>
      <c r="N270" s="101"/>
      <c r="O270" s="101">
        <f t="shared" si="257"/>
        <v>0</v>
      </c>
      <c r="P270" s="101">
        <f t="shared" si="258"/>
        <v>0</v>
      </c>
      <c r="Q270" s="101">
        <f t="shared" si="259"/>
        <v>0</v>
      </c>
      <c r="R270" s="101"/>
      <c r="S270" s="101">
        <f t="shared" si="260"/>
        <v>0</v>
      </c>
      <c r="T270" s="101">
        <f t="shared" si="261"/>
        <v>0</v>
      </c>
      <c r="U270" s="101">
        <f t="shared" si="262"/>
        <v>0</v>
      </c>
      <c r="V270" s="101">
        <f t="shared" si="263"/>
        <v>0</v>
      </c>
      <c r="W270" s="101">
        <f t="shared" si="264"/>
        <v>0</v>
      </c>
      <c r="X270" s="101">
        <f t="shared" si="265"/>
        <v>0</v>
      </c>
      <c r="Y270" s="101">
        <f t="shared" si="266"/>
        <v>0</v>
      </c>
      <c r="Z270" s="101">
        <f t="shared" si="267"/>
        <v>0</v>
      </c>
      <c r="AA270" s="101">
        <f t="shared" si="268"/>
        <v>0</v>
      </c>
      <c r="AB270" s="101">
        <f t="shared" si="269"/>
        <v>0</v>
      </c>
      <c r="AC270" s="101">
        <f t="shared" si="270"/>
        <v>1371953.1640689725</v>
      </c>
      <c r="AD270" s="101">
        <f t="shared" si="271"/>
        <v>0</v>
      </c>
      <c r="AE270" s="101"/>
      <c r="AF270" s="101">
        <f t="shared" si="272"/>
        <v>0</v>
      </c>
      <c r="AG270" s="101"/>
      <c r="AH270" s="101">
        <f t="shared" si="273"/>
        <v>0</v>
      </c>
      <c r="AI270" s="101"/>
      <c r="AJ270" s="101">
        <f t="shared" si="274"/>
        <v>0</v>
      </c>
      <c r="AK270" s="101">
        <f t="shared" si="275"/>
        <v>1371953.1640689725</v>
      </c>
      <c r="AL270" s="98" t="str">
        <f t="shared" si="276"/>
        <v>ok</v>
      </c>
    </row>
    <row r="271" spans="1:38" x14ac:dyDescent="0.25">
      <c r="A271" s="97">
        <v>598</v>
      </c>
      <c r="B271" s="97" t="s">
        <v>1613</v>
      </c>
      <c r="C271" s="97" t="s">
        <v>1614</v>
      </c>
      <c r="D271" s="97" t="s">
        <v>115</v>
      </c>
      <c r="F271" s="101">
        <f>'Jurisdictional Study'!F1056</f>
        <v>550313.71965749969</v>
      </c>
      <c r="H271" s="101">
        <f t="shared" si="251"/>
        <v>0</v>
      </c>
      <c r="I271" s="101">
        <f t="shared" si="252"/>
        <v>0</v>
      </c>
      <c r="J271" s="101">
        <f t="shared" si="253"/>
        <v>0</v>
      </c>
      <c r="K271" s="101">
        <f t="shared" si="254"/>
        <v>0</v>
      </c>
      <c r="L271" s="101">
        <f t="shared" si="255"/>
        <v>0</v>
      </c>
      <c r="M271" s="101">
        <f t="shared" si="256"/>
        <v>0</v>
      </c>
      <c r="N271" s="101"/>
      <c r="O271" s="101">
        <f t="shared" si="257"/>
        <v>0</v>
      </c>
      <c r="P271" s="101">
        <f t="shared" si="258"/>
        <v>0</v>
      </c>
      <c r="Q271" s="101">
        <f t="shared" si="259"/>
        <v>0</v>
      </c>
      <c r="R271" s="101"/>
      <c r="S271" s="101">
        <f t="shared" si="260"/>
        <v>0</v>
      </c>
      <c r="T271" s="101">
        <f t="shared" si="261"/>
        <v>66628.297004720458</v>
      </c>
      <c r="U271" s="101">
        <f t="shared" si="262"/>
        <v>0</v>
      </c>
      <c r="V271" s="101">
        <f t="shared" si="263"/>
        <v>72604.318823212016</v>
      </c>
      <c r="W271" s="101">
        <f t="shared" si="264"/>
        <v>134638.1721241113</v>
      </c>
      <c r="X271" s="101">
        <f t="shared" si="265"/>
        <v>33423.855000620133</v>
      </c>
      <c r="Y271" s="101">
        <f t="shared" si="266"/>
        <v>51094.082118412021</v>
      </c>
      <c r="Z271" s="101">
        <f t="shared" si="267"/>
        <v>51885.438386842907</v>
      </c>
      <c r="AA271" s="101">
        <f t="shared" si="268"/>
        <v>46171.783803913204</v>
      </c>
      <c r="AB271" s="101">
        <f t="shared" si="269"/>
        <v>30910.731547234926</v>
      </c>
      <c r="AC271" s="101">
        <f t="shared" si="270"/>
        <v>26374.084545645608</v>
      </c>
      <c r="AD271" s="101">
        <f t="shared" si="271"/>
        <v>36582.956302787105</v>
      </c>
      <c r="AE271" s="101"/>
      <c r="AF271" s="101">
        <f t="shared" si="272"/>
        <v>0</v>
      </c>
      <c r="AG271" s="101"/>
      <c r="AH271" s="101">
        <f t="shared" si="273"/>
        <v>0</v>
      </c>
      <c r="AI271" s="101"/>
      <c r="AJ271" s="101">
        <f t="shared" si="274"/>
        <v>0</v>
      </c>
      <c r="AK271" s="101">
        <f t="shared" si="275"/>
        <v>550313.71965749969</v>
      </c>
      <c r="AL271" s="98" t="str">
        <f t="shared" si="276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389</v>
      </c>
      <c r="C273" s="97" t="s">
        <v>304</v>
      </c>
      <c r="F273" s="100">
        <f t="shared" ref="F273:M273" si="277">SUM(F263:F272)</f>
        <v>34392454.215919353</v>
      </c>
      <c r="G273" s="100">
        <f t="shared" si="277"/>
        <v>0</v>
      </c>
      <c r="H273" s="100">
        <f t="shared" si="277"/>
        <v>0</v>
      </c>
      <c r="I273" s="100">
        <f t="shared" si="277"/>
        <v>0</v>
      </c>
      <c r="J273" s="100">
        <f t="shared" si="277"/>
        <v>0</v>
      </c>
      <c r="K273" s="100">
        <f t="shared" si="277"/>
        <v>0</v>
      </c>
      <c r="L273" s="100">
        <f t="shared" si="277"/>
        <v>0</v>
      </c>
      <c r="M273" s="100">
        <f t="shared" si="277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8">SUM(S263:S272)</f>
        <v>0</v>
      </c>
      <c r="T273" s="100">
        <f t="shared" si="278"/>
        <v>1358130.344552425</v>
      </c>
      <c r="U273" s="100">
        <f t="shared" si="278"/>
        <v>0</v>
      </c>
      <c r="V273" s="100">
        <f t="shared" si="278"/>
        <v>8281547.2059716899</v>
      </c>
      <c r="W273" s="100">
        <f t="shared" si="278"/>
        <v>12405379.855969282</v>
      </c>
      <c r="X273" s="100">
        <f t="shared" si="278"/>
        <v>4346931.2673716629</v>
      </c>
      <c r="Y273" s="100">
        <f t="shared" si="278"/>
        <v>6339847.6898139752</v>
      </c>
      <c r="Z273" s="100">
        <f t="shared" si="278"/>
        <v>103073.72721372737</v>
      </c>
      <c r="AA273" s="100">
        <f t="shared" si="278"/>
        <v>91723.188561948366</v>
      </c>
      <c r="AB273" s="100">
        <f t="shared" si="278"/>
        <v>30910.731547234926</v>
      </c>
      <c r="AC273" s="100">
        <f t="shared" si="278"/>
        <v>1398327.2486146181</v>
      </c>
      <c r="AD273" s="100">
        <f t="shared" si="278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483</v>
      </c>
      <c r="F275" s="101">
        <f t="shared" ref="F275:M275" si="279">F258+F273</f>
        <v>58098349.245295174</v>
      </c>
      <c r="G275" s="101">
        <f t="shared" si="279"/>
        <v>0</v>
      </c>
      <c r="H275" s="101">
        <f t="shared" si="279"/>
        <v>0</v>
      </c>
      <c r="I275" s="101">
        <f t="shared" si="279"/>
        <v>0</v>
      </c>
      <c r="J275" s="101">
        <f t="shared" si="279"/>
        <v>0</v>
      </c>
      <c r="K275" s="101">
        <f t="shared" si="279"/>
        <v>0</v>
      </c>
      <c r="L275" s="101">
        <f t="shared" si="279"/>
        <v>0</v>
      </c>
      <c r="M275" s="101">
        <f t="shared" si="279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80">S258+S273</f>
        <v>0</v>
      </c>
      <c r="T275" s="101">
        <f t="shared" si="280"/>
        <v>4510559.0847164886</v>
      </c>
      <c r="U275" s="101">
        <f t="shared" si="280"/>
        <v>0</v>
      </c>
      <c r="V275" s="101">
        <f t="shared" si="280"/>
        <v>10547277.853181303</v>
      </c>
      <c r="W275" s="101">
        <f t="shared" si="280"/>
        <v>16072621.950832078</v>
      </c>
      <c r="X275" s="101">
        <f t="shared" si="280"/>
        <v>5486720.5058330726</v>
      </c>
      <c r="Y275" s="101">
        <f t="shared" si="280"/>
        <v>8026968.8945814846</v>
      </c>
      <c r="Z275" s="101">
        <f t="shared" si="280"/>
        <v>777099.37694364041</v>
      </c>
      <c r="AA275" s="101">
        <f t="shared" si="280"/>
        <v>691524.74262404756</v>
      </c>
      <c r="AB275" s="101">
        <f t="shared" si="280"/>
        <v>432461.27371313045</v>
      </c>
      <c r="AC275" s="101">
        <f t="shared" si="280"/>
        <v>11184096.169183971</v>
      </c>
      <c r="AD275" s="101">
        <f t="shared" si="280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484</v>
      </c>
      <c r="F277" s="101">
        <f t="shared" ref="F277:M277" si="281">F275+F242</f>
        <v>93804360.423808664</v>
      </c>
      <c r="G277" s="101">
        <f t="shared" si="281"/>
        <v>0</v>
      </c>
      <c r="H277" s="101">
        <f t="shared" si="281"/>
        <v>0</v>
      </c>
      <c r="I277" s="101">
        <f t="shared" si="281"/>
        <v>0</v>
      </c>
      <c r="J277" s="101">
        <f t="shared" si="281"/>
        <v>0</v>
      </c>
      <c r="K277" s="101">
        <f t="shared" si="281"/>
        <v>0</v>
      </c>
      <c r="L277" s="101">
        <f t="shared" si="281"/>
        <v>0</v>
      </c>
      <c r="M277" s="101">
        <f t="shared" si="281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82">S275+S242</f>
        <v>0</v>
      </c>
      <c r="T277" s="101">
        <f t="shared" si="282"/>
        <v>4510559.0847164886</v>
      </c>
      <c r="U277" s="101">
        <f t="shared" si="282"/>
        <v>0</v>
      </c>
      <c r="V277" s="101">
        <f t="shared" si="282"/>
        <v>10547277.853181303</v>
      </c>
      <c r="W277" s="101">
        <f t="shared" si="282"/>
        <v>16072621.950832078</v>
      </c>
      <c r="X277" s="101">
        <f t="shared" si="282"/>
        <v>5486720.5058330726</v>
      </c>
      <c r="Y277" s="101">
        <f t="shared" si="282"/>
        <v>8026968.8945814846</v>
      </c>
      <c r="Z277" s="101">
        <f t="shared" si="282"/>
        <v>777099.37694364041</v>
      </c>
      <c r="AA277" s="101">
        <f t="shared" si="282"/>
        <v>691524.74262404756</v>
      </c>
      <c r="AB277" s="101">
        <f t="shared" si="282"/>
        <v>432461.27371313045</v>
      </c>
      <c r="AC277" s="101">
        <f t="shared" si="282"/>
        <v>11184096.169183971</v>
      </c>
      <c r="AD277" s="101">
        <f t="shared" si="282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1616</v>
      </c>
      <c r="C279" s="97" t="s">
        <v>305</v>
      </c>
      <c r="F279" s="100">
        <f>F224+F242+F275</f>
        <v>781101236.84857917</v>
      </c>
      <c r="G279" s="100">
        <f>G277+G222</f>
        <v>0</v>
      </c>
      <c r="H279" s="100">
        <f t="shared" ref="H279:M279" si="283">H224+H242+H275</f>
        <v>24218939.273041509</v>
      </c>
      <c r="I279" s="100">
        <f t="shared" si="283"/>
        <v>23093636.130027201</v>
      </c>
      <c r="J279" s="100">
        <f t="shared" si="283"/>
        <v>23178849.899386439</v>
      </c>
      <c r="K279" s="100">
        <f t="shared" si="283"/>
        <v>616805451.12231529</v>
      </c>
      <c r="L279" s="100">
        <f t="shared" si="283"/>
        <v>0</v>
      </c>
      <c r="M279" s="100">
        <f t="shared" si="283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84">S224+S242+S275</f>
        <v>0</v>
      </c>
      <c r="T279" s="100">
        <f t="shared" si="284"/>
        <v>4510559.0847164886</v>
      </c>
      <c r="U279" s="100">
        <f t="shared" si="284"/>
        <v>0</v>
      </c>
      <c r="V279" s="100">
        <f t="shared" si="284"/>
        <v>10547277.853181303</v>
      </c>
      <c r="W279" s="100">
        <f t="shared" si="284"/>
        <v>16072621.950832078</v>
      </c>
      <c r="X279" s="100">
        <f t="shared" si="284"/>
        <v>5486720.5058330726</v>
      </c>
      <c r="Y279" s="100">
        <f t="shared" si="284"/>
        <v>8026968.8945814846</v>
      </c>
      <c r="Z279" s="100">
        <f t="shared" si="284"/>
        <v>777099.37694364041</v>
      </c>
      <c r="AA279" s="100">
        <f t="shared" si="284"/>
        <v>691524.74262404756</v>
      </c>
      <c r="AB279" s="100">
        <f t="shared" si="284"/>
        <v>432461.27371313045</v>
      </c>
      <c r="AC279" s="100">
        <f t="shared" si="284"/>
        <v>11184096.169183971</v>
      </c>
      <c r="AD279" s="100">
        <f t="shared" si="284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308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309</v>
      </c>
      <c r="C282" s="97" t="s">
        <v>310</v>
      </c>
      <c r="D282" s="97" t="s">
        <v>739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312</v>
      </c>
      <c r="C283" s="97" t="s">
        <v>313</v>
      </c>
      <c r="D283" s="97" t="s">
        <v>739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1367</v>
      </c>
      <c r="C284" s="97" t="s">
        <v>314</v>
      </c>
      <c r="D284" s="97" t="s">
        <v>739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315</v>
      </c>
      <c r="C285" s="97" t="s">
        <v>316</v>
      </c>
      <c r="D285" s="97" t="s">
        <v>739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1368</v>
      </c>
      <c r="C286" s="97" t="s">
        <v>314</v>
      </c>
      <c r="D286" s="97" t="s">
        <v>739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317</v>
      </c>
      <c r="C288" s="97" t="s">
        <v>318</v>
      </c>
      <c r="F288" s="100">
        <f t="shared" ref="F288:M288" si="285">SUM(F282:F287)</f>
        <v>34666663.739990681</v>
      </c>
      <c r="G288" s="100">
        <f t="shared" si="285"/>
        <v>0</v>
      </c>
      <c r="H288" s="100">
        <f t="shared" si="285"/>
        <v>0</v>
      </c>
      <c r="I288" s="100">
        <f t="shared" si="285"/>
        <v>0</v>
      </c>
      <c r="J288" s="100">
        <f t="shared" si="285"/>
        <v>0</v>
      </c>
      <c r="K288" s="100">
        <f t="shared" si="285"/>
        <v>0</v>
      </c>
      <c r="L288" s="100">
        <f t="shared" si="285"/>
        <v>0</v>
      </c>
      <c r="M288" s="100">
        <f t="shared" si="285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6">SUM(S282:S287)</f>
        <v>0</v>
      </c>
      <c r="T288" s="100">
        <f t="shared" si="286"/>
        <v>0</v>
      </c>
      <c r="U288" s="100">
        <f t="shared" si="286"/>
        <v>0</v>
      </c>
      <c r="V288" s="100">
        <f t="shared" si="286"/>
        <v>0</v>
      </c>
      <c r="W288" s="100">
        <f t="shared" si="286"/>
        <v>0</v>
      </c>
      <c r="X288" s="100">
        <f t="shared" si="286"/>
        <v>0</v>
      </c>
      <c r="Y288" s="100">
        <f t="shared" si="286"/>
        <v>0</v>
      </c>
      <c r="Z288" s="100">
        <f t="shared" si="286"/>
        <v>0</v>
      </c>
      <c r="AA288" s="100">
        <f t="shared" si="286"/>
        <v>0</v>
      </c>
      <c r="AB288" s="100">
        <f t="shared" si="286"/>
        <v>0</v>
      </c>
      <c r="AC288" s="100">
        <f t="shared" si="286"/>
        <v>0</v>
      </c>
      <c r="AD288" s="100">
        <f t="shared" si="286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319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486</v>
      </c>
      <c r="C291" s="97" t="s">
        <v>320</v>
      </c>
      <c r="D291" s="97" t="s">
        <v>740</v>
      </c>
      <c r="F291" s="100">
        <f>'Jurisdictional Study'!F1073</f>
        <v>651425.35319489997</v>
      </c>
      <c r="H291" s="101">
        <f t="shared" ref="H291:H300" si="287">IF(VLOOKUP($D291,$C$5:$AJ$644,6,)=0,0,((VLOOKUP($D291,$C$5:$AJ$644,6,)/VLOOKUP($D291,$C$5:$AJ$644,4,))*$F291))</f>
        <v>0</v>
      </c>
      <c r="I291" s="101">
        <f t="shared" ref="I291:I300" si="288">IF(VLOOKUP($D291,$C$5:$AJ$644,7,)=0,0,((VLOOKUP($D291,$C$5:$AJ$644,7,)/VLOOKUP($D291,$C$5:$AJ$644,4,))*$F291))</f>
        <v>0</v>
      </c>
      <c r="J291" s="101">
        <f t="shared" ref="J291:J300" si="289">IF(VLOOKUP($D291,$C$5:$AJ$644,8,)=0,0,((VLOOKUP($D291,$C$5:$AJ$644,8,)/VLOOKUP($D291,$C$5:$AJ$644,4,))*$F291))</f>
        <v>0</v>
      </c>
      <c r="K291" s="101">
        <f t="shared" ref="K291:K300" si="290">IF(VLOOKUP($D291,$C$5:$AJ$644,9,)=0,0,((VLOOKUP($D291,$C$5:$AJ$644,9,)/VLOOKUP($D291,$C$5:$AJ$644,4,))*$F291))</f>
        <v>0</v>
      </c>
      <c r="L291" s="101">
        <f t="shared" ref="L291:L300" si="291">IF(VLOOKUP($D291,$C$5:$AJ$644,10,)=0,0,((VLOOKUP($D291,$C$5:$AJ$644,10,)/VLOOKUP($D291,$C$5:$AJ$644,4,))*$F291))</f>
        <v>0</v>
      </c>
      <c r="M291" s="101">
        <f t="shared" ref="M291:M300" si="292">IF(VLOOKUP($D291,$C$5:$AJ$644,11,)=0,0,((VLOOKUP($D291,$C$5:$AJ$644,11,)/VLOOKUP($D291,$C$5:$AJ$644,4,))*$F291))</f>
        <v>0</v>
      </c>
      <c r="N291" s="101"/>
      <c r="O291" s="101">
        <f t="shared" ref="O291:O300" si="293">IF(VLOOKUP($D291,$C$5:$AJ$644,13,)=0,0,((VLOOKUP($D291,$C$5:$AJ$644,13,)/VLOOKUP($D291,$C$5:$AJ$644,4,))*$F291))</f>
        <v>0</v>
      </c>
      <c r="P291" s="101">
        <f t="shared" ref="P291:P300" si="294">IF(VLOOKUP($D291,$C$5:$AJ$644,14,)=0,0,((VLOOKUP($D291,$C$5:$AJ$644,14,)/VLOOKUP($D291,$C$5:$AJ$644,4,))*$F291))</f>
        <v>0</v>
      </c>
      <c r="Q291" s="101">
        <f t="shared" ref="Q291:Q300" si="295">IF(VLOOKUP($D291,$C$5:$AJ$644,15,)=0,0,((VLOOKUP($D291,$C$5:$AJ$644,15,)/VLOOKUP($D291,$C$5:$AJ$644,4,))*$F291))</f>
        <v>0</v>
      </c>
      <c r="R291" s="101"/>
      <c r="S291" s="101">
        <f t="shared" ref="S291:S300" si="296">IF(VLOOKUP($D291,$C$5:$AJ$644,17,)=0,0,((VLOOKUP($D291,$C$5:$AJ$644,17,)/VLOOKUP($D291,$C$5:$AJ$644,4,))*$F291))</f>
        <v>0</v>
      </c>
      <c r="T291" s="101">
        <f t="shared" ref="T291:T300" si="297">IF(VLOOKUP($D291,$C$5:$AJ$644,18,)=0,0,((VLOOKUP($D291,$C$5:$AJ$644,18,)/VLOOKUP($D291,$C$5:$AJ$644,4,))*$F291))</f>
        <v>0</v>
      </c>
      <c r="U291" s="101">
        <f t="shared" ref="U291:U300" si="298">IF(VLOOKUP($D291,$C$5:$AJ$644,19,)=0,0,((VLOOKUP($D291,$C$5:$AJ$644,19,)/VLOOKUP($D291,$C$5:$AJ$644,4,))*$F291))</f>
        <v>0</v>
      </c>
      <c r="V291" s="101">
        <f t="shared" ref="V291:V300" si="299">IF(VLOOKUP($D291,$C$5:$AJ$644,20,)=0,0,((VLOOKUP($D291,$C$5:$AJ$644,20,)/VLOOKUP($D291,$C$5:$AJ$644,4,))*$F291))</f>
        <v>0</v>
      </c>
      <c r="W291" s="101">
        <f t="shared" ref="W291:W300" si="300">IF(VLOOKUP($D291,$C$5:$AJ$644,21,)=0,0,((VLOOKUP($D291,$C$5:$AJ$644,21,)/VLOOKUP($D291,$C$5:$AJ$644,4,))*$F291))</f>
        <v>0</v>
      </c>
      <c r="X291" s="101">
        <f t="shared" ref="X291:X300" si="301">IF(VLOOKUP($D291,$C$5:$AJ$644,22,)=0,0,((VLOOKUP($D291,$C$5:$AJ$644,22,)/VLOOKUP($D291,$C$5:$AJ$644,4,))*$F291))</f>
        <v>0</v>
      </c>
      <c r="Y291" s="101">
        <f t="shared" ref="Y291:Y300" si="302">IF(VLOOKUP($D291,$C$5:$AJ$644,23,)=0,0,((VLOOKUP($D291,$C$5:$AJ$644,23,)/VLOOKUP($D291,$C$5:$AJ$644,4,))*$F291))</f>
        <v>0</v>
      </c>
      <c r="Z291" s="101">
        <f t="shared" ref="Z291:Z300" si="303">IF(VLOOKUP($D291,$C$5:$AJ$644,24,)=0,0,((VLOOKUP($D291,$C$5:$AJ$644,24,)/VLOOKUP($D291,$C$5:$AJ$644,4,))*$F291))</f>
        <v>0</v>
      </c>
      <c r="AA291" s="101">
        <f t="shared" ref="AA291:AA300" si="304">IF(VLOOKUP($D291,$C$5:$AJ$644,25,)=0,0,((VLOOKUP($D291,$C$5:$AJ$644,25,)/VLOOKUP($D291,$C$5:$AJ$644,4,))*$F291))</f>
        <v>0</v>
      </c>
      <c r="AB291" s="101">
        <f t="shared" ref="AB291:AB300" si="305">IF(VLOOKUP($D291,$C$5:$AJ$644,26,)=0,0,((VLOOKUP($D291,$C$5:$AJ$644,26,)/VLOOKUP($D291,$C$5:$AJ$644,4,))*$F291))</f>
        <v>0</v>
      </c>
      <c r="AC291" s="101">
        <f t="shared" ref="AC291:AC300" si="306">IF(VLOOKUP($D291,$C$5:$AJ$644,27,)=0,0,((VLOOKUP($D291,$C$5:$AJ$644,27,)/VLOOKUP($D291,$C$5:$AJ$644,4,))*$F291))</f>
        <v>0</v>
      </c>
      <c r="AD291" s="101">
        <f t="shared" ref="AD291:AD300" si="307">IF(VLOOKUP($D291,$C$5:$AJ$644,28,)=0,0,((VLOOKUP($D291,$C$5:$AJ$644,28,)/VLOOKUP($D291,$C$5:$AJ$644,4,))*$F291))</f>
        <v>0</v>
      </c>
      <c r="AE291" s="101"/>
      <c r="AF291" s="101">
        <f t="shared" ref="AF291:AF300" si="308">IF(VLOOKUP($D291,$C$5:$AJ$644,30,)=0,0,((VLOOKUP($D291,$C$5:$AJ$644,30,)/VLOOKUP($D291,$C$5:$AJ$644,4,))*$F291))</f>
        <v>0</v>
      </c>
      <c r="AG291" s="101"/>
      <c r="AH291" s="101">
        <f t="shared" ref="AH291:AH300" si="309">IF(VLOOKUP($D291,$C$5:$AJ$644,32,)=0,0,((VLOOKUP($D291,$C$5:$AJ$644,32,)/VLOOKUP($D291,$C$5:$AJ$644,4,))*$F291))</f>
        <v>651425.35319489997</v>
      </c>
      <c r="AI291" s="101"/>
      <c r="AJ291" s="101">
        <f t="shared" ref="AJ291:AJ300" si="310">IF(VLOOKUP($D291,$C$5:$AJ$644,34,)=0,0,((VLOOKUP($D291,$C$5:$AJ$644,34,)/VLOOKUP($D291,$C$5:$AJ$644,4,))*$F291))</f>
        <v>0</v>
      </c>
      <c r="AK291" s="101">
        <f t="shared" ref="AK291:AK300" si="311">SUM(H291:AJ291)</f>
        <v>651425.35319489997</v>
      </c>
      <c r="AL291" s="98" t="str">
        <f t="shared" ref="AL291:AL300" si="312">IF(ABS(AK291-F291)&lt;1,"ok","err")</f>
        <v>ok</v>
      </c>
    </row>
    <row r="292" spans="1:38" x14ac:dyDescent="0.25">
      <c r="A292" s="97">
        <v>908</v>
      </c>
      <c r="B292" s="97" t="s">
        <v>1231</v>
      </c>
      <c r="C292" s="97" t="s">
        <v>1232</v>
      </c>
      <c r="D292" s="97" t="s">
        <v>740</v>
      </c>
      <c r="F292" s="101">
        <f>'Jurisdictional Study'!F1074-20649645</f>
        <v>450051</v>
      </c>
      <c r="H292" s="101">
        <f t="shared" si="287"/>
        <v>0</v>
      </c>
      <c r="I292" s="101">
        <f t="shared" si="288"/>
        <v>0</v>
      </c>
      <c r="J292" s="101">
        <f t="shared" si="289"/>
        <v>0</v>
      </c>
      <c r="K292" s="101">
        <f t="shared" si="290"/>
        <v>0</v>
      </c>
      <c r="L292" s="101">
        <f t="shared" si="291"/>
        <v>0</v>
      </c>
      <c r="M292" s="101">
        <f t="shared" si="292"/>
        <v>0</v>
      </c>
      <c r="N292" s="101"/>
      <c r="O292" s="101">
        <f t="shared" si="293"/>
        <v>0</v>
      </c>
      <c r="P292" s="101">
        <f t="shared" si="294"/>
        <v>0</v>
      </c>
      <c r="Q292" s="101">
        <f t="shared" si="295"/>
        <v>0</v>
      </c>
      <c r="R292" s="101"/>
      <c r="S292" s="101">
        <f t="shared" si="296"/>
        <v>0</v>
      </c>
      <c r="T292" s="101">
        <f t="shared" si="297"/>
        <v>0</v>
      </c>
      <c r="U292" s="101">
        <f t="shared" si="298"/>
        <v>0</v>
      </c>
      <c r="V292" s="101">
        <f t="shared" si="299"/>
        <v>0</v>
      </c>
      <c r="W292" s="101">
        <f t="shared" si="300"/>
        <v>0</v>
      </c>
      <c r="X292" s="101">
        <f t="shared" si="301"/>
        <v>0</v>
      </c>
      <c r="Y292" s="101">
        <f t="shared" si="302"/>
        <v>0</v>
      </c>
      <c r="Z292" s="101">
        <f t="shared" si="303"/>
        <v>0</v>
      </c>
      <c r="AA292" s="101">
        <f t="shared" si="304"/>
        <v>0</v>
      </c>
      <c r="AB292" s="101">
        <f t="shared" si="305"/>
        <v>0</v>
      </c>
      <c r="AC292" s="101">
        <f t="shared" si="306"/>
        <v>0</v>
      </c>
      <c r="AD292" s="101">
        <f t="shared" si="307"/>
        <v>0</v>
      </c>
      <c r="AE292" s="101"/>
      <c r="AF292" s="101">
        <f t="shared" si="308"/>
        <v>0</v>
      </c>
      <c r="AG292" s="101"/>
      <c r="AH292" s="101">
        <f t="shared" si="309"/>
        <v>450051</v>
      </c>
      <c r="AI292" s="101"/>
      <c r="AJ292" s="101">
        <f t="shared" si="310"/>
        <v>0</v>
      </c>
      <c r="AK292" s="101">
        <f t="shared" si="311"/>
        <v>450051</v>
      </c>
      <c r="AL292" s="98" t="str">
        <f t="shared" si="312"/>
        <v>ok</v>
      </c>
    </row>
    <row r="293" spans="1:38" x14ac:dyDescent="0.25">
      <c r="A293" s="97">
        <v>908</v>
      </c>
      <c r="B293" s="97" t="s">
        <v>913</v>
      </c>
      <c r="C293" s="97" t="s">
        <v>1370</v>
      </c>
      <c r="D293" s="97" t="s">
        <v>740</v>
      </c>
      <c r="F293" s="101">
        <v>0</v>
      </c>
      <c r="H293" s="101">
        <f t="shared" si="287"/>
        <v>0</v>
      </c>
      <c r="I293" s="101">
        <f t="shared" si="288"/>
        <v>0</v>
      </c>
      <c r="J293" s="101">
        <f t="shared" si="289"/>
        <v>0</v>
      </c>
      <c r="K293" s="101">
        <f t="shared" si="290"/>
        <v>0</v>
      </c>
      <c r="L293" s="101">
        <f t="shared" si="291"/>
        <v>0</v>
      </c>
      <c r="M293" s="101">
        <f t="shared" si="292"/>
        <v>0</v>
      </c>
      <c r="N293" s="101"/>
      <c r="O293" s="101">
        <f t="shared" si="293"/>
        <v>0</v>
      </c>
      <c r="P293" s="101">
        <f t="shared" si="294"/>
        <v>0</v>
      </c>
      <c r="Q293" s="101">
        <f t="shared" si="295"/>
        <v>0</v>
      </c>
      <c r="R293" s="101"/>
      <c r="S293" s="101">
        <f t="shared" si="296"/>
        <v>0</v>
      </c>
      <c r="T293" s="101">
        <f t="shared" si="297"/>
        <v>0</v>
      </c>
      <c r="U293" s="101">
        <f t="shared" si="298"/>
        <v>0</v>
      </c>
      <c r="V293" s="101">
        <f t="shared" si="299"/>
        <v>0</v>
      </c>
      <c r="W293" s="101">
        <f t="shared" si="300"/>
        <v>0</v>
      </c>
      <c r="X293" s="101">
        <f t="shared" si="301"/>
        <v>0</v>
      </c>
      <c r="Y293" s="101">
        <f t="shared" si="302"/>
        <v>0</v>
      </c>
      <c r="Z293" s="101">
        <f t="shared" si="303"/>
        <v>0</v>
      </c>
      <c r="AA293" s="101">
        <f t="shared" si="304"/>
        <v>0</v>
      </c>
      <c r="AB293" s="101">
        <f t="shared" si="305"/>
        <v>0</v>
      </c>
      <c r="AC293" s="101">
        <f t="shared" si="306"/>
        <v>0</v>
      </c>
      <c r="AD293" s="101">
        <f t="shared" si="307"/>
        <v>0</v>
      </c>
      <c r="AE293" s="101"/>
      <c r="AF293" s="101">
        <f t="shared" si="308"/>
        <v>0</v>
      </c>
      <c r="AG293" s="101"/>
      <c r="AH293" s="101">
        <f t="shared" si="309"/>
        <v>0</v>
      </c>
      <c r="AI293" s="101"/>
      <c r="AJ293" s="101">
        <f t="shared" si="310"/>
        <v>0</v>
      </c>
      <c r="AK293" s="101">
        <f t="shared" si="311"/>
        <v>0</v>
      </c>
      <c r="AL293" s="98" t="str">
        <f t="shared" si="312"/>
        <v>ok</v>
      </c>
    </row>
    <row r="294" spans="1:38" x14ac:dyDescent="0.25">
      <c r="A294" s="97">
        <v>909</v>
      </c>
      <c r="B294" s="97" t="s">
        <v>1233</v>
      </c>
      <c r="C294" s="97" t="s">
        <v>1234</v>
      </c>
      <c r="D294" s="97" t="s">
        <v>740</v>
      </c>
      <c r="F294" s="101">
        <f>'Jurisdictional Study'!F1075</f>
        <v>389844.86125564732</v>
      </c>
      <c r="H294" s="101">
        <f t="shared" si="287"/>
        <v>0</v>
      </c>
      <c r="I294" s="101">
        <f t="shared" si="288"/>
        <v>0</v>
      </c>
      <c r="J294" s="101">
        <f t="shared" si="289"/>
        <v>0</v>
      </c>
      <c r="K294" s="101">
        <f t="shared" si="290"/>
        <v>0</v>
      </c>
      <c r="L294" s="101">
        <f t="shared" si="291"/>
        <v>0</v>
      </c>
      <c r="M294" s="101">
        <f t="shared" si="292"/>
        <v>0</v>
      </c>
      <c r="N294" s="101"/>
      <c r="O294" s="101">
        <f t="shared" si="293"/>
        <v>0</v>
      </c>
      <c r="P294" s="101">
        <f t="shared" si="294"/>
        <v>0</v>
      </c>
      <c r="Q294" s="101">
        <f t="shared" si="295"/>
        <v>0</v>
      </c>
      <c r="R294" s="101"/>
      <c r="S294" s="101">
        <f t="shared" si="296"/>
        <v>0</v>
      </c>
      <c r="T294" s="101">
        <f t="shared" si="297"/>
        <v>0</v>
      </c>
      <c r="U294" s="101">
        <f t="shared" si="298"/>
        <v>0</v>
      </c>
      <c r="V294" s="101">
        <f t="shared" si="299"/>
        <v>0</v>
      </c>
      <c r="W294" s="101">
        <f t="shared" si="300"/>
        <v>0</v>
      </c>
      <c r="X294" s="101">
        <f t="shared" si="301"/>
        <v>0</v>
      </c>
      <c r="Y294" s="101">
        <f t="shared" si="302"/>
        <v>0</v>
      </c>
      <c r="Z294" s="101">
        <f t="shared" si="303"/>
        <v>0</v>
      </c>
      <c r="AA294" s="101">
        <f t="shared" si="304"/>
        <v>0</v>
      </c>
      <c r="AB294" s="101">
        <f t="shared" si="305"/>
        <v>0</v>
      </c>
      <c r="AC294" s="101">
        <f t="shared" si="306"/>
        <v>0</v>
      </c>
      <c r="AD294" s="101">
        <f t="shared" si="307"/>
        <v>0</v>
      </c>
      <c r="AE294" s="101"/>
      <c r="AF294" s="101">
        <f t="shared" si="308"/>
        <v>0</v>
      </c>
      <c r="AG294" s="101"/>
      <c r="AH294" s="101">
        <f t="shared" si="309"/>
        <v>389844.86125564732</v>
      </c>
      <c r="AI294" s="101"/>
      <c r="AJ294" s="101">
        <f t="shared" si="310"/>
        <v>0</v>
      </c>
      <c r="AK294" s="101">
        <f t="shared" si="311"/>
        <v>389844.86125564732</v>
      </c>
      <c r="AL294" s="98" t="str">
        <f t="shared" si="312"/>
        <v>ok</v>
      </c>
    </row>
    <row r="295" spans="1:38" x14ac:dyDescent="0.25">
      <c r="A295" s="97">
        <v>909</v>
      </c>
      <c r="B295" s="97" t="s">
        <v>1371</v>
      </c>
      <c r="C295" s="97" t="s">
        <v>1372</v>
      </c>
      <c r="D295" s="97" t="s">
        <v>740</v>
      </c>
      <c r="F295" s="101">
        <v>0</v>
      </c>
      <c r="H295" s="101">
        <f t="shared" si="287"/>
        <v>0</v>
      </c>
      <c r="I295" s="101">
        <f t="shared" si="288"/>
        <v>0</v>
      </c>
      <c r="J295" s="101">
        <f t="shared" si="289"/>
        <v>0</v>
      </c>
      <c r="K295" s="101">
        <f t="shared" si="290"/>
        <v>0</v>
      </c>
      <c r="L295" s="101">
        <f t="shared" si="291"/>
        <v>0</v>
      </c>
      <c r="M295" s="101">
        <f t="shared" si="292"/>
        <v>0</v>
      </c>
      <c r="N295" s="101"/>
      <c r="O295" s="101">
        <f t="shared" si="293"/>
        <v>0</v>
      </c>
      <c r="P295" s="101">
        <f t="shared" si="294"/>
        <v>0</v>
      </c>
      <c r="Q295" s="101">
        <f t="shared" si="295"/>
        <v>0</v>
      </c>
      <c r="R295" s="101"/>
      <c r="S295" s="101">
        <f t="shared" si="296"/>
        <v>0</v>
      </c>
      <c r="T295" s="101">
        <f t="shared" si="297"/>
        <v>0</v>
      </c>
      <c r="U295" s="101">
        <f t="shared" si="298"/>
        <v>0</v>
      </c>
      <c r="V295" s="101">
        <f t="shared" si="299"/>
        <v>0</v>
      </c>
      <c r="W295" s="101">
        <f t="shared" si="300"/>
        <v>0</v>
      </c>
      <c r="X295" s="101">
        <f t="shared" si="301"/>
        <v>0</v>
      </c>
      <c r="Y295" s="101">
        <f t="shared" si="302"/>
        <v>0</v>
      </c>
      <c r="Z295" s="101">
        <f t="shared" si="303"/>
        <v>0</v>
      </c>
      <c r="AA295" s="101">
        <f t="shared" si="304"/>
        <v>0</v>
      </c>
      <c r="AB295" s="101">
        <f t="shared" si="305"/>
        <v>0</v>
      </c>
      <c r="AC295" s="101">
        <f t="shared" si="306"/>
        <v>0</v>
      </c>
      <c r="AD295" s="101">
        <f t="shared" si="307"/>
        <v>0</v>
      </c>
      <c r="AE295" s="101"/>
      <c r="AF295" s="101">
        <f t="shared" si="308"/>
        <v>0</v>
      </c>
      <c r="AG295" s="101"/>
      <c r="AH295" s="101">
        <f t="shared" si="309"/>
        <v>0</v>
      </c>
      <c r="AI295" s="101"/>
      <c r="AJ295" s="101">
        <f t="shared" si="310"/>
        <v>0</v>
      </c>
      <c r="AK295" s="101">
        <f t="shared" si="311"/>
        <v>0</v>
      </c>
      <c r="AL295" s="98" t="str">
        <f t="shared" si="312"/>
        <v>ok</v>
      </c>
    </row>
    <row r="296" spans="1:38" x14ac:dyDescent="0.25">
      <c r="A296" s="97">
        <v>910</v>
      </c>
      <c r="B296" s="97" t="s">
        <v>1235</v>
      </c>
      <c r="C296" s="97" t="s">
        <v>1236</v>
      </c>
      <c r="D296" s="97" t="s">
        <v>740</v>
      </c>
      <c r="F296" s="101">
        <f>'Jurisdictional Study'!F1076</f>
        <v>1861026.9033819989</v>
      </c>
      <c r="H296" s="101">
        <f t="shared" si="287"/>
        <v>0</v>
      </c>
      <c r="I296" s="101">
        <f t="shared" si="288"/>
        <v>0</v>
      </c>
      <c r="J296" s="101">
        <f t="shared" si="289"/>
        <v>0</v>
      </c>
      <c r="K296" s="101">
        <f t="shared" si="290"/>
        <v>0</v>
      </c>
      <c r="L296" s="101">
        <f t="shared" si="291"/>
        <v>0</v>
      </c>
      <c r="M296" s="101">
        <f t="shared" si="292"/>
        <v>0</v>
      </c>
      <c r="N296" s="101"/>
      <c r="O296" s="101">
        <f t="shared" si="293"/>
        <v>0</v>
      </c>
      <c r="P296" s="101">
        <f t="shared" si="294"/>
        <v>0</v>
      </c>
      <c r="Q296" s="101">
        <f t="shared" si="295"/>
        <v>0</v>
      </c>
      <c r="R296" s="101"/>
      <c r="S296" s="101">
        <f t="shared" si="296"/>
        <v>0</v>
      </c>
      <c r="T296" s="101">
        <f t="shared" si="297"/>
        <v>0</v>
      </c>
      <c r="U296" s="101">
        <f t="shared" si="298"/>
        <v>0</v>
      </c>
      <c r="V296" s="101">
        <f t="shared" si="299"/>
        <v>0</v>
      </c>
      <c r="W296" s="101">
        <f t="shared" si="300"/>
        <v>0</v>
      </c>
      <c r="X296" s="101">
        <f t="shared" si="301"/>
        <v>0</v>
      </c>
      <c r="Y296" s="101">
        <f t="shared" si="302"/>
        <v>0</v>
      </c>
      <c r="Z296" s="101">
        <f t="shared" si="303"/>
        <v>0</v>
      </c>
      <c r="AA296" s="101">
        <f t="shared" si="304"/>
        <v>0</v>
      </c>
      <c r="AB296" s="101">
        <f t="shared" si="305"/>
        <v>0</v>
      </c>
      <c r="AC296" s="101">
        <f t="shared" si="306"/>
        <v>0</v>
      </c>
      <c r="AD296" s="101">
        <f t="shared" si="307"/>
        <v>0</v>
      </c>
      <c r="AE296" s="101"/>
      <c r="AF296" s="101">
        <f t="shared" si="308"/>
        <v>0</v>
      </c>
      <c r="AG296" s="101"/>
      <c r="AH296" s="101">
        <f t="shared" si="309"/>
        <v>1861026.9033819989</v>
      </c>
      <c r="AI296" s="101"/>
      <c r="AJ296" s="101">
        <f t="shared" si="310"/>
        <v>0</v>
      </c>
      <c r="AK296" s="101">
        <f t="shared" si="311"/>
        <v>1861026.9033819989</v>
      </c>
      <c r="AL296" s="98" t="str">
        <f t="shared" si="312"/>
        <v>ok</v>
      </c>
    </row>
    <row r="297" spans="1:38" x14ac:dyDescent="0.25">
      <c r="A297" s="97">
        <v>911</v>
      </c>
      <c r="B297" s="97" t="s">
        <v>876</v>
      </c>
      <c r="C297" s="97" t="s">
        <v>966</v>
      </c>
      <c r="D297" s="97" t="s">
        <v>740</v>
      </c>
      <c r="F297" s="101">
        <f>'Jurisdictional Study'!F1080</f>
        <v>0</v>
      </c>
      <c r="H297" s="101">
        <f t="shared" si="287"/>
        <v>0</v>
      </c>
      <c r="I297" s="101">
        <f t="shared" si="288"/>
        <v>0</v>
      </c>
      <c r="J297" s="101">
        <f t="shared" si="289"/>
        <v>0</v>
      </c>
      <c r="K297" s="101">
        <f t="shared" si="290"/>
        <v>0</v>
      </c>
      <c r="L297" s="101">
        <f t="shared" si="291"/>
        <v>0</v>
      </c>
      <c r="M297" s="101">
        <f t="shared" si="292"/>
        <v>0</v>
      </c>
      <c r="N297" s="101"/>
      <c r="O297" s="101">
        <f t="shared" si="293"/>
        <v>0</v>
      </c>
      <c r="P297" s="101">
        <f t="shared" si="294"/>
        <v>0</v>
      </c>
      <c r="Q297" s="101">
        <f t="shared" si="295"/>
        <v>0</v>
      </c>
      <c r="R297" s="101"/>
      <c r="S297" s="101">
        <f t="shared" si="296"/>
        <v>0</v>
      </c>
      <c r="T297" s="101">
        <f t="shared" si="297"/>
        <v>0</v>
      </c>
      <c r="U297" s="101">
        <f t="shared" si="298"/>
        <v>0</v>
      </c>
      <c r="V297" s="101">
        <f t="shared" si="299"/>
        <v>0</v>
      </c>
      <c r="W297" s="101">
        <f t="shared" si="300"/>
        <v>0</v>
      </c>
      <c r="X297" s="101">
        <f t="shared" si="301"/>
        <v>0</v>
      </c>
      <c r="Y297" s="101">
        <f t="shared" si="302"/>
        <v>0</v>
      </c>
      <c r="Z297" s="101">
        <f t="shared" si="303"/>
        <v>0</v>
      </c>
      <c r="AA297" s="101">
        <f t="shared" si="304"/>
        <v>0</v>
      </c>
      <c r="AB297" s="101">
        <f t="shared" si="305"/>
        <v>0</v>
      </c>
      <c r="AC297" s="101">
        <f t="shared" si="306"/>
        <v>0</v>
      </c>
      <c r="AD297" s="101">
        <f t="shared" si="307"/>
        <v>0</v>
      </c>
      <c r="AE297" s="101"/>
      <c r="AF297" s="101">
        <f t="shared" si="308"/>
        <v>0</v>
      </c>
      <c r="AG297" s="101"/>
      <c r="AH297" s="101">
        <f t="shared" si="309"/>
        <v>0</v>
      </c>
      <c r="AI297" s="101"/>
      <c r="AJ297" s="101">
        <f t="shared" si="310"/>
        <v>0</v>
      </c>
      <c r="AK297" s="101">
        <f t="shared" si="311"/>
        <v>0</v>
      </c>
      <c r="AL297" s="98" t="str">
        <f t="shared" si="312"/>
        <v>ok</v>
      </c>
    </row>
    <row r="298" spans="1:38" x14ac:dyDescent="0.25">
      <c r="A298" s="97">
        <v>912</v>
      </c>
      <c r="B298" s="97" t="s">
        <v>876</v>
      </c>
      <c r="C298" s="97" t="s">
        <v>877</v>
      </c>
      <c r="D298" s="97" t="s">
        <v>740</v>
      </c>
      <c r="F298" s="101">
        <f>'Jurisdictional Study'!F1081</f>
        <v>0</v>
      </c>
      <c r="H298" s="101">
        <f t="shared" si="287"/>
        <v>0</v>
      </c>
      <c r="I298" s="101">
        <f t="shared" si="288"/>
        <v>0</v>
      </c>
      <c r="J298" s="101">
        <f t="shared" si="289"/>
        <v>0</v>
      </c>
      <c r="K298" s="101">
        <f t="shared" si="290"/>
        <v>0</v>
      </c>
      <c r="L298" s="101">
        <f t="shared" si="291"/>
        <v>0</v>
      </c>
      <c r="M298" s="101">
        <f t="shared" si="292"/>
        <v>0</v>
      </c>
      <c r="N298" s="101"/>
      <c r="O298" s="101">
        <f t="shared" si="293"/>
        <v>0</v>
      </c>
      <c r="P298" s="101">
        <f t="shared" si="294"/>
        <v>0</v>
      </c>
      <c r="Q298" s="101">
        <f t="shared" si="295"/>
        <v>0</v>
      </c>
      <c r="R298" s="101"/>
      <c r="S298" s="101">
        <f t="shared" si="296"/>
        <v>0</v>
      </c>
      <c r="T298" s="101">
        <f t="shared" si="297"/>
        <v>0</v>
      </c>
      <c r="U298" s="101">
        <f t="shared" si="298"/>
        <v>0</v>
      </c>
      <c r="V298" s="101">
        <f t="shared" si="299"/>
        <v>0</v>
      </c>
      <c r="W298" s="101">
        <f t="shared" si="300"/>
        <v>0</v>
      </c>
      <c r="X298" s="101">
        <f t="shared" si="301"/>
        <v>0</v>
      </c>
      <c r="Y298" s="101">
        <f t="shared" si="302"/>
        <v>0</v>
      </c>
      <c r="Z298" s="101">
        <f t="shared" si="303"/>
        <v>0</v>
      </c>
      <c r="AA298" s="101">
        <f t="shared" si="304"/>
        <v>0</v>
      </c>
      <c r="AB298" s="101">
        <f t="shared" si="305"/>
        <v>0</v>
      </c>
      <c r="AC298" s="101">
        <f t="shared" si="306"/>
        <v>0</v>
      </c>
      <c r="AD298" s="101">
        <f t="shared" si="307"/>
        <v>0</v>
      </c>
      <c r="AE298" s="101"/>
      <c r="AF298" s="101">
        <f t="shared" si="308"/>
        <v>0</v>
      </c>
      <c r="AG298" s="101"/>
      <c r="AH298" s="101">
        <f t="shared" si="309"/>
        <v>0</v>
      </c>
      <c r="AI298" s="101"/>
      <c r="AJ298" s="101">
        <f t="shared" si="310"/>
        <v>0</v>
      </c>
      <c r="AK298" s="101">
        <f t="shared" si="311"/>
        <v>0</v>
      </c>
      <c r="AL298" s="98" t="str">
        <f t="shared" si="312"/>
        <v>ok</v>
      </c>
    </row>
    <row r="299" spans="1:38" x14ac:dyDescent="0.25">
      <c r="A299" s="97">
        <v>913</v>
      </c>
      <c r="B299" s="97" t="s">
        <v>885</v>
      </c>
      <c r="C299" s="97" t="s">
        <v>523</v>
      </c>
      <c r="D299" s="97" t="s">
        <v>740</v>
      </c>
      <c r="F299" s="101">
        <f>'Jurisdictional Study'!F1082</f>
        <v>794217.3368437452</v>
      </c>
      <c r="H299" s="101">
        <f t="shared" si="287"/>
        <v>0</v>
      </c>
      <c r="I299" s="101">
        <f t="shared" si="288"/>
        <v>0</v>
      </c>
      <c r="J299" s="101">
        <f t="shared" si="289"/>
        <v>0</v>
      </c>
      <c r="K299" s="101">
        <f t="shared" si="290"/>
        <v>0</v>
      </c>
      <c r="L299" s="101">
        <f t="shared" si="291"/>
        <v>0</v>
      </c>
      <c r="M299" s="101">
        <f t="shared" si="292"/>
        <v>0</v>
      </c>
      <c r="N299" s="101"/>
      <c r="O299" s="101">
        <f t="shared" si="293"/>
        <v>0</v>
      </c>
      <c r="P299" s="101">
        <f t="shared" si="294"/>
        <v>0</v>
      </c>
      <c r="Q299" s="101">
        <f t="shared" si="295"/>
        <v>0</v>
      </c>
      <c r="R299" s="101"/>
      <c r="S299" s="101">
        <f t="shared" si="296"/>
        <v>0</v>
      </c>
      <c r="T299" s="101">
        <f t="shared" si="297"/>
        <v>0</v>
      </c>
      <c r="U299" s="101">
        <f t="shared" si="298"/>
        <v>0</v>
      </c>
      <c r="V299" s="101">
        <f t="shared" si="299"/>
        <v>0</v>
      </c>
      <c r="W299" s="101">
        <f t="shared" si="300"/>
        <v>0</v>
      </c>
      <c r="X299" s="101">
        <f t="shared" si="301"/>
        <v>0</v>
      </c>
      <c r="Y299" s="101">
        <f t="shared" si="302"/>
        <v>0</v>
      </c>
      <c r="Z299" s="101">
        <f t="shared" si="303"/>
        <v>0</v>
      </c>
      <c r="AA299" s="101">
        <f t="shared" si="304"/>
        <v>0</v>
      </c>
      <c r="AB299" s="101">
        <f t="shared" si="305"/>
        <v>0</v>
      </c>
      <c r="AC299" s="101">
        <f t="shared" si="306"/>
        <v>0</v>
      </c>
      <c r="AD299" s="101">
        <f t="shared" si="307"/>
        <v>0</v>
      </c>
      <c r="AE299" s="101"/>
      <c r="AF299" s="101">
        <f t="shared" si="308"/>
        <v>0</v>
      </c>
      <c r="AG299" s="101"/>
      <c r="AH299" s="101">
        <f t="shared" si="309"/>
        <v>794217.3368437452</v>
      </c>
      <c r="AI299" s="101"/>
      <c r="AJ299" s="101">
        <f t="shared" si="310"/>
        <v>0</v>
      </c>
      <c r="AK299" s="101">
        <f t="shared" si="311"/>
        <v>794217.3368437452</v>
      </c>
      <c r="AL299" s="98" t="str">
        <f t="shared" si="312"/>
        <v>ok</v>
      </c>
    </row>
    <row r="300" spans="1:38" x14ac:dyDescent="0.25">
      <c r="A300" s="97">
        <v>916</v>
      </c>
      <c r="B300" s="97" t="s">
        <v>886</v>
      </c>
      <c r="C300" s="97" t="s">
        <v>887</v>
      </c>
      <c r="D300" s="97" t="s">
        <v>740</v>
      </c>
      <c r="F300" s="101">
        <f>'Jurisdictional Study'!F1083</f>
        <v>0</v>
      </c>
      <c r="H300" s="101">
        <f t="shared" si="287"/>
        <v>0</v>
      </c>
      <c r="I300" s="101">
        <f t="shared" si="288"/>
        <v>0</v>
      </c>
      <c r="J300" s="101">
        <f t="shared" si="289"/>
        <v>0</v>
      </c>
      <c r="K300" s="101">
        <f t="shared" si="290"/>
        <v>0</v>
      </c>
      <c r="L300" s="101">
        <f t="shared" si="291"/>
        <v>0</v>
      </c>
      <c r="M300" s="101">
        <f t="shared" si="292"/>
        <v>0</v>
      </c>
      <c r="N300" s="101"/>
      <c r="O300" s="101">
        <f t="shared" si="293"/>
        <v>0</v>
      </c>
      <c r="P300" s="101">
        <f t="shared" si="294"/>
        <v>0</v>
      </c>
      <c r="Q300" s="101">
        <f t="shared" si="295"/>
        <v>0</v>
      </c>
      <c r="R300" s="101"/>
      <c r="S300" s="101">
        <f t="shared" si="296"/>
        <v>0</v>
      </c>
      <c r="T300" s="101">
        <f t="shared" si="297"/>
        <v>0</v>
      </c>
      <c r="U300" s="101">
        <f t="shared" si="298"/>
        <v>0</v>
      </c>
      <c r="V300" s="101">
        <f t="shared" si="299"/>
        <v>0</v>
      </c>
      <c r="W300" s="101">
        <f t="shared" si="300"/>
        <v>0</v>
      </c>
      <c r="X300" s="101">
        <f t="shared" si="301"/>
        <v>0</v>
      </c>
      <c r="Y300" s="101">
        <f t="shared" si="302"/>
        <v>0</v>
      </c>
      <c r="Z300" s="101">
        <f t="shared" si="303"/>
        <v>0</v>
      </c>
      <c r="AA300" s="101">
        <f t="shared" si="304"/>
        <v>0</v>
      </c>
      <c r="AB300" s="101">
        <f t="shared" si="305"/>
        <v>0</v>
      </c>
      <c r="AC300" s="101">
        <f t="shared" si="306"/>
        <v>0</v>
      </c>
      <c r="AD300" s="101">
        <f t="shared" si="307"/>
        <v>0</v>
      </c>
      <c r="AE300" s="101"/>
      <c r="AF300" s="101">
        <f t="shared" si="308"/>
        <v>0</v>
      </c>
      <c r="AG300" s="101"/>
      <c r="AH300" s="101">
        <f t="shared" si="309"/>
        <v>0</v>
      </c>
      <c r="AI300" s="101"/>
      <c r="AJ300" s="101">
        <f t="shared" si="310"/>
        <v>0</v>
      </c>
      <c r="AK300" s="101">
        <f t="shared" si="311"/>
        <v>0</v>
      </c>
      <c r="AL300" s="98" t="str">
        <f t="shared" si="312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1237</v>
      </c>
      <c r="C302" s="97" t="s">
        <v>1238</v>
      </c>
      <c r="F302" s="100">
        <f t="shared" ref="F302:M302" si="313">SUM(F291:F301)</f>
        <v>4146565.4546762914</v>
      </c>
      <c r="G302" s="100">
        <f t="shared" si="313"/>
        <v>0</v>
      </c>
      <c r="H302" s="100">
        <f t="shared" si="313"/>
        <v>0</v>
      </c>
      <c r="I302" s="100">
        <f t="shared" si="313"/>
        <v>0</v>
      </c>
      <c r="J302" s="100">
        <f t="shared" si="313"/>
        <v>0</v>
      </c>
      <c r="K302" s="100">
        <f t="shared" si="313"/>
        <v>0</v>
      </c>
      <c r="L302" s="100">
        <f t="shared" si="313"/>
        <v>0</v>
      </c>
      <c r="M302" s="100">
        <f t="shared" si="313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14">SUM(S291:S301)</f>
        <v>0</v>
      </c>
      <c r="T302" s="100">
        <f t="shared" si="314"/>
        <v>0</v>
      </c>
      <c r="U302" s="100">
        <f t="shared" si="314"/>
        <v>0</v>
      </c>
      <c r="V302" s="100">
        <f t="shared" si="314"/>
        <v>0</v>
      </c>
      <c r="W302" s="100">
        <f t="shared" si="314"/>
        <v>0</v>
      </c>
      <c r="X302" s="100">
        <f t="shared" si="314"/>
        <v>0</v>
      </c>
      <c r="Y302" s="100">
        <f t="shared" si="314"/>
        <v>0</v>
      </c>
      <c r="Z302" s="100">
        <f t="shared" si="314"/>
        <v>0</v>
      </c>
      <c r="AA302" s="100">
        <f t="shared" si="314"/>
        <v>0</v>
      </c>
      <c r="AB302" s="100">
        <f t="shared" si="314"/>
        <v>0</v>
      </c>
      <c r="AC302" s="100">
        <f t="shared" si="314"/>
        <v>0</v>
      </c>
      <c r="AD302" s="100">
        <f t="shared" si="314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1617</v>
      </c>
      <c r="C304" s="97" t="s">
        <v>1351</v>
      </c>
      <c r="F304" s="101">
        <f>F279+F288+F302</f>
        <v>819914466.04324615</v>
      </c>
      <c r="G304" s="101">
        <f>G277+G288+G302</f>
        <v>0</v>
      </c>
      <c r="H304" s="101">
        <f t="shared" ref="H304:M304" si="315">H279+H288+H302</f>
        <v>24218939.273041509</v>
      </c>
      <c r="I304" s="101">
        <f t="shared" si="315"/>
        <v>23093636.130027201</v>
      </c>
      <c r="J304" s="101">
        <f t="shared" si="315"/>
        <v>23178849.899386439</v>
      </c>
      <c r="K304" s="101">
        <f t="shared" si="315"/>
        <v>616805451.12231529</v>
      </c>
      <c r="L304" s="101">
        <f t="shared" si="315"/>
        <v>0</v>
      </c>
      <c r="M304" s="101">
        <f t="shared" si="315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6">S279+S288+S302</f>
        <v>0</v>
      </c>
      <c r="T304" s="101">
        <f t="shared" si="316"/>
        <v>4510559.0847164886</v>
      </c>
      <c r="U304" s="101">
        <f t="shared" si="316"/>
        <v>0</v>
      </c>
      <c r="V304" s="101">
        <f t="shared" si="316"/>
        <v>10547277.853181303</v>
      </c>
      <c r="W304" s="101">
        <f t="shared" si="316"/>
        <v>16072621.950832078</v>
      </c>
      <c r="X304" s="101">
        <f t="shared" si="316"/>
        <v>5486720.5058330726</v>
      </c>
      <c r="Y304" s="101">
        <f t="shared" si="316"/>
        <v>8026968.8945814846</v>
      </c>
      <c r="Z304" s="101">
        <f t="shared" si="316"/>
        <v>777099.37694364041</v>
      </c>
      <c r="AA304" s="101">
        <f t="shared" si="316"/>
        <v>691524.74262404756</v>
      </c>
      <c r="AB304" s="101">
        <f t="shared" si="316"/>
        <v>432461.27371313045</v>
      </c>
      <c r="AC304" s="101">
        <f t="shared" si="316"/>
        <v>11184096.169183971</v>
      </c>
      <c r="AD304" s="101">
        <f t="shared" si="316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306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1239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1240</v>
      </c>
      <c r="C313" s="97" t="s">
        <v>1241</v>
      </c>
      <c r="D313" s="97" t="s">
        <v>741</v>
      </c>
      <c r="F313" s="100">
        <f>'Jurisdictional Study'!F1093</f>
        <v>33809231.790585563</v>
      </c>
      <c r="H313" s="101">
        <f t="shared" ref="H313:H324" si="317">IF(VLOOKUP($D313,$C$5:$AJ$644,6,)=0,0,((VLOOKUP($D313,$C$5:$AJ$644,6,)/VLOOKUP($D313,$C$5:$AJ$644,4,))*$F313))</f>
        <v>3683644.8470305847</v>
      </c>
      <c r="I313" s="101">
        <f t="shared" ref="I313:I324" si="318">IF(VLOOKUP($D313,$C$5:$AJ$644,7,)=0,0,((VLOOKUP($D313,$C$5:$AJ$644,7,)/VLOOKUP($D313,$C$5:$AJ$644,4,))*$F313))</f>
        <v>3472490.031198021</v>
      </c>
      <c r="J313" s="101">
        <f t="shared" ref="J313:J324" si="319">IF(VLOOKUP($D313,$C$5:$AJ$644,8,)=0,0,((VLOOKUP($D313,$C$5:$AJ$644,8,)/VLOOKUP($D313,$C$5:$AJ$644,4,))*$F313))</f>
        <v>3566271.2340241438</v>
      </c>
      <c r="K313" s="101">
        <f t="shared" ref="K313:K324" si="320">IF(VLOOKUP($D313,$C$5:$AJ$644,9,)=0,0,((VLOOKUP($D313,$C$5:$AJ$644,9,)/VLOOKUP($D313,$C$5:$AJ$644,4,))*$F313))</f>
        <v>7680250.7495813007</v>
      </c>
      <c r="L313" s="101">
        <f t="shared" ref="L313:L324" si="321">IF(VLOOKUP($D313,$C$5:$AJ$644,10,)=0,0,((VLOOKUP($D313,$C$5:$AJ$644,10,)/VLOOKUP($D313,$C$5:$AJ$644,4,))*$F313))</f>
        <v>0</v>
      </c>
      <c r="M313" s="101">
        <f t="shared" ref="M313:M324" si="322">IF(VLOOKUP($D313,$C$5:$AJ$644,11,)=0,0,((VLOOKUP($D313,$C$5:$AJ$644,11,)/VLOOKUP($D313,$C$5:$AJ$644,4,))*$F313))</f>
        <v>0</v>
      </c>
      <c r="N313" s="101"/>
      <c r="O313" s="101">
        <f t="shared" ref="O313:O324" si="323">IF(VLOOKUP($D313,$C$5:$AJ$644,13,)=0,0,((VLOOKUP($D313,$C$5:$AJ$644,13,)/VLOOKUP($D313,$C$5:$AJ$644,4,))*$F313))</f>
        <v>2272731.5905083567</v>
      </c>
      <c r="P313" s="101">
        <f t="shared" ref="P313:P324" si="324">IF(VLOOKUP($D313,$C$5:$AJ$644,14,)=0,0,((VLOOKUP($D313,$C$5:$AJ$644,14,)/VLOOKUP($D313,$C$5:$AJ$644,4,))*$F313))</f>
        <v>0</v>
      </c>
      <c r="Q313" s="101">
        <f t="shared" ref="Q313:Q324" si="325">IF(VLOOKUP($D313,$C$5:$AJ$644,15,)=0,0,((VLOOKUP($D313,$C$5:$AJ$644,15,)/VLOOKUP($D313,$C$5:$AJ$644,4,))*$F313))</f>
        <v>0</v>
      </c>
      <c r="R313" s="101"/>
      <c r="S313" s="101">
        <f t="shared" ref="S313:S324" si="326">IF(VLOOKUP($D313,$C$5:$AJ$644,17,)=0,0,((VLOOKUP($D313,$C$5:$AJ$644,17,)/VLOOKUP($D313,$C$5:$AJ$644,4,))*$F313))</f>
        <v>0</v>
      </c>
      <c r="T313" s="101">
        <f t="shared" ref="T313:T324" si="327">IF(VLOOKUP($D313,$C$5:$AJ$644,18,)=0,0,((VLOOKUP($D313,$C$5:$AJ$644,18,)/VLOOKUP($D313,$C$5:$AJ$644,4,))*$F313))</f>
        <v>847086.37716997182</v>
      </c>
      <c r="U313" s="101">
        <f t="shared" ref="U313:U324" si="328">IF(VLOOKUP($D313,$C$5:$AJ$644,19,)=0,0,((VLOOKUP($D313,$C$5:$AJ$644,19,)/VLOOKUP($D313,$C$5:$AJ$644,4,))*$F313))</f>
        <v>0</v>
      </c>
      <c r="V313" s="101">
        <f t="shared" ref="V313:V324" si="329">IF(VLOOKUP($D313,$C$5:$AJ$644,20,)=0,0,((VLOOKUP($D313,$C$5:$AJ$644,20,)/VLOOKUP($D313,$C$5:$AJ$644,4,))*$F313))</f>
        <v>923063.20532987616</v>
      </c>
      <c r="W313" s="101">
        <f t="shared" ref="W313:W324" si="330">IF(VLOOKUP($D313,$C$5:$AJ$644,21,)=0,0,((VLOOKUP($D313,$C$5:$AJ$644,21,)/VLOOKUP($D313,$C$5:$AJ$644,4,))*$F313))</f>
        <v>1711737.603698926</v>
      </c>
      <c r="X313" s="101">
        <f t="shared" ref="X313:X324" si="331">IF(VLOOKUP($D313,$C$5:$AJ$644,22,)=0,0,((VLOOKUP($D313,$C$5:$AJ$644,22,)/VLOOKUP($D313,$C$5:$AJ$644,4,))*$F313))</f>
        <v>424937.95453790238</v>
      </c>
      <c r="Y313" s="101">
        <f t="shared" ref="Y313:Y324" si="332">IF(VLOOKUP($D313,$C$5:$AJ$644,23,)=0,0,((VLOOKUP($D313,$C$5:$AJ$644,23,)/VLOOKUP($D313,$C$5:$AJ$644,4,))*$F313))</f>
        <v>649590.38219818706</v>
      </c>
      <c r="Z313" s="101">
        <f t="shared" ref="Z313:Z324" si="333">IF(VLOOKUP($D313,$C$5:$AJ$644,24,)=0,0,((VLOOKUP($D313,$C$5:$AJ$644,24,)/VLOOKUP($D313,$C$5:$AJ$644,4,))*$F313))</f>
        <v>659651.37947128818</v>
      </c>
      <c r="AA313" s="101">
        <f t="shared" ref="AA313:AA324" si="334">IF(VLOOKUP($D313,$C$5:$AJ$644,25,)=0,0,((VLOOKUP($D313,$C$5:$AJ$644,25,)/VLOOKUP($D313,$C$5:$AJ$644,4,))*$F313))</f>
        <v>587010.1867853693</v>
      </c>
      <c r="AB313" s="101">
        <f t="shared" ref="AB313:AB324" si="335">IF(VLOOKUP($D313,$C$5:$AJ$644,26,)=0,0,((VLOOKUP($D313,$C$5:$AJ$644,26,)/VLOOKUP($D313,$C$5:$AJ$644,4,))*$F313))</f>
        <v>392987.07574899757</v>
      </c>
      <c r="AC313" s="101">
        <f t="shared" ref="AC313:AC324" si="336">IF(VLOOKUP($D313,$C$5:$AJ$644,27,)=0,0,((VLOOKUP($D313,$C$5:$AJ$644,27,)/VLOOKUP($D313,$C$5:$AJ$644,4,))*$F313))</f>
        <v>335309.90184789908</v>
      </c>
      <c r="AD313" s="101">
        <f t="shared" ref="AD313:AD324" si="337">IF(VLOOKUP($D313,$C$5:$AJ$644,28,)=0,0,((VLOOKUP($D313,$C$5:$AJ$644,28,)/VLOOKUP($D313,$C$5:$AJ$644,4,))*$F313))</f>
        <v>465101.54564658646</v>
      </c>
      <c r="AE313" s="101"/>
      <c r="AF313" s="101">
        <f t="shared" ref="AF313:AF324" si="338">IF(VLOOKUP($D313,$C$5:$AJ$644,30,)=0,0,((VLOOKUP($D313,$C$5:$AJ$644,30,)/VLOOKUP($D313,$C$5:$AJ$644,4,))*$F313))</f>
        <v>5395653.982505084</v>
      </c>
      <c r="AG313" s="101"/>
      <c r="AH313" s="101">
        <f t="shared" ref="AH313:AH324" si="339">IF(VLOOKUP($D313,$C$5:$AJ$644,32,)=0,0,((VLOOKUP($D313,$C$5:$AJ$644,32,)/VLOOKUP($D313,$C$5:$AJ$644,4,))*$F313))</f>
        <v>741713.74330306624</v>
      </c>
      <c r="AI313" s="101"/>
      <c r="AJ313" s="101">
        <f t="shared" ref="AJ313:AJ324" si="340">IF(VLOOKUP($D313,$C$5:$AJ$644,34,)=0,0,((VLOOKUP($D313,$C$5:$AJ$644,34,)/VLOOKUP($D313,$C$5:$AJ$644,4,))*$F313))</f>
        <v>0</v>
      </c>
      <c r="AK313" s="101">
        <f t="shared" ref="AK313:AK323" si="341">SUM(H313:AJ313)</f>
        <v>33809231.790585555</v>
      </c>
      <c r="AL313" s="98" t="str">
        <f t="shared" ref="AL313:AL323" si="342">IF(ABS(AK313-F313)&lt;1,"ok","err")</f>
        <v>ok</v>
      </c>
    </row>
    <row r="314" spans="1:38" x14ac:dyDescent="0.25">
      <c r="A314" s="97">
        <v>921</v>
      </c>
      <c r="B314" s="97" t="s">
        <v>1242</v>
      </c>
      <c r="C314" s="97" t="s">
        <v>1243</v>
      </c>
      <c r="D314" s="97" t="s">
        <v>741</v>
      </c>
      <c r="F314" s="101">
        <f>'Jurisdictional Study'!F1094</f>
        <v>7269103.8220331799</v>
      </c>
      <c r="H314" s="101">
        <f t="shared" si="317"/>
        <v>791996.60620561789</v>
      </c>
      <c r="I314" s="101">
        <f t="shared" si="318"/>
        <v>746597.5776705594</v>
      </c>
      <c r="J314" s="101">
        <f t="shared" si="319"/>
        <v>766760.86632854259</v>
      </c>
      <c r="K314" s="101">
        <f t="shared" si="320"/>
        <v>1651280.9407725292</v>
      </c>
      <c r="L314" s="101">
        <f t="shared" si="321"/>
        <v>0</v>
      </c>
      <c r="M314" s="101">
        <f t="shared" si="322"/>
        <v>0</v>
      </c>
      <c r="N314" s="101"/>
      <c r="O314" s="101">
        <f t="shared" si="323"/>
        <v>488645.29053334374</v>
      </c>
      <c r="P314" s="101">
        <f t="shared" si="324"/>
        <v>0</v>
      </c>
      <c r="Q314" s="101">
        <f t="shared" si="325"/>
        <v>0</v>
      </c>
      <c r="R314" s="101"/>
      <c r="S314" s="101">
        <f t="shared" si="326"/>
        <v>0</v>
      </c>
      <c r="T314" s="101">
        <f t="shared" si="327"/>
        <v>182126.55229844947</v>
      </c>
      <c r="U314" s="101">
        <f t="shared" si="328"/>
        <v>0</v>
      </c>
      <c r="V314" s="101">
        <f t="shared" si="329"/>
        <v>198461.83774308668</v>
      </c>
      <c r="W314" s="101">
        <f t="shared" si="330"/>
        <v>368029.6090262119</v>
      </c>
      <c r="X314" s="101">
        <f t="shared" si="331"/>
        <v>91363.155737793495</v>
      </c>
      <c r="Y314" s="101">
        <f t="shared" si="332"/>
        <v>139664.21831884675</v>
      </c>
      <c r="Z314" s="101">
        <f t="shared" si="333"/>
        <v>141827.36814089413</v>
      </c>
      <c r="AA314" s="101">
        <f t="shared" si="334"/>
        <v>126209.25606248553</v>
      </c>
      <c r="AB314" s="101">
        <f t="shared" si="335"/>
        <v>84493.604351345857</v>
      </c>
      <c r="AC314" s="101">
        <f t="shared" si="336"/>
        <v>72092.808975530963</v>
      </c>
      <c r="AD314" s="101">
        <f t="shared" si="337"/>
        <v>99998.469176533326</v>
      </c>
      <c r="AE314" s="101"/>
      <c r="AF314" s="101">
        <f t="shared" si="338"/>
        <v>1160084.5955191979</v>
      </c>
      <c r="AG314" s="101"/>
      <c r="AH314" s="101">
        <f t="shared" si="339"/>
        <v>159471.06517221092</v>
      </c>
      <c r="AI314" s="101"/>
      <c r="AJ314" s="101">
        <f t="shared" si="340"/>
        <v>0</v>
      </c>
      <c r="AK314" s="101">
        <f t="shared" si="341"/>
        <v>7269103.8220331799</v>
      </c>
      <c r="AL314" s="98" t="str">
        <f t="shared" si="342"/>
        <v>ok</v>
      </c>
    </row>
    <row r="315" spans="1:38" x14ac:dyDescent="0.25">
      <c r="A315" s="97">
        <v>922</v>
      </c>
      <c r="B315" s="97" t="s">
        <v>1618</v>
      </c>
      <c r="C315" s="97" t="s">
        <v>1619</v>
      </c>
      <c r="D315" s="97" t="s">
        <v>741</v>
      </c>
      <c r="F315" s="101">
        <f>'Jurisdictional Study'!F1095</f>
        <v>-4414265.7425975818</v>
      </c>
      <c r="H315" s="101">
        <f t="shared" si="317"/>
        <v>-480951.10107385233</v>
      </c>
      <c r="I315" s="101">
        <f t="shared" si="318"/>
        <v>-453381.9011675198</v>
      </c>
      <c r="J315" s="101">
        <f t="shared" si="319"/>
        <v>-465626.34237514948</v>
      </c>
      <c r="K315" s="101">
        <f t="shared" si="320"/>
        <v>-1002763.6235105641</v>
      </c>
      <c r="L315" s="101">
        <f t="shared" si="321"/>
        <v>0</v>
      </c>
      <c r="M315" s="101">
        <f t="shared" si="322"/>
        <v>0</v>
      </c>
      <c r="N315" s="101"/>
      <c r="O315" s="101">
        <f t="shared" si="323"/>
        <v>-296736.7393687414</v>
      </c>
      <c r="P315" s="101">
        <f t="shared" si="324"/>
        <v>0</v>
      </c>
      <c r="Q315" s="101">
        <f t="shared" si="325"/>
        <v>0</v>
      </c>
      <c r="R315" s="101"/>
      <c r="S315" s="101">
        <f t="shared" si="326"/>
        <v>0</v>
      </c>
      <c r="T315" s="101">
        <f t="shared" si="327"/>
        <v>-110598.91567260417</v>
      </c>
      <c r="U315" s="101">
        <f t="shared" si="328"/>
        <v>0</v>
      </c>
      <c r="V315" s="101">
        <f t="shared" si="329"/>
        <v>-120518.74797920152</v>
      </c>
      <c r="W315" s="101">
        <f t="shared" si="330"/>
        <v>-223491.16688384171</v>
      </c>
      <c r="X315" s="101">
        <f t="shared" si="331"/>
        <v>-55481.563942795015</v>
      </c>
      <c r="Y315" s="101">
        <f t="shared" si="332"/>
        <v>-84813.064923196347</v>
      </c>
      <c r="Z315" s="101">
        <f t="shared" si="333"/>
        <v>-86126.668138853696</v>
      </c>
      <c r="AA315" s="101">
        <f t="shared" si="334"/>
        <v>-76642.349466337415</v>
      </c>
      <c r="AB315" s="101">
        <f t="shared" si="335"/>
        <v>-51309.932047774448</v>
      </c>
      <c r="AC315" s="101">
        <f t="shared" si="336"/>
        <v>-43779.374285963415</v>
      </c>
      <c r="AD315" s="101">
        <f t="shared" si="337"/>
        <v>-60725.479729728977</v>
      </c>
      <c r="AE315" s="101"/>
      <c r="AF315" s="101">
        <f t="shared" si="338"/>
        <v>-704477.72020997736</v>
      </c>
      <c r="AG315" s="101"/>
      <c r="AH315" s="101">
        <f t="shared" si="339"/>
        <v>-96841.051821480476</v>
      </c>
      <c r="AI315" s="101"/>
      <c r="AJ315" s="101">
        <f t="shared" si="340"/>
        <v>0</v>
      </c>
      <c r="AK315" s="101">
        <f>SUM(H315:AJ315)</f>
        <v>-4414265.7425975818</v>
      </c>
      <c r="AL315" s="98" t="str">
        <f t="shared" si="342"/>
        <v>ok</v>
      </c>
    </row>
    <row r="316" spans="1:38" x14ac:dyDescent="0.25">
      <c r="A316" s="97">
        <v>923</v>
      </c>
      <c r="B316" s="97" t="s">
        <v>1244</v>
      </c>
      <c r="C316" s="97" t="s">
        <v>1245</v>
      </c>
      <c r="D316" s="97" t="s">
        <v>741</v>
      </c>
      <c r="F316" s="101">
        <f>'Jurisdictional Study'!F1096</f>
        <v>19133212.797257014</v>
      </c>
      <c r="H316" s="101">
        <f t="shared" si="317"/>
        <v>2084636.5621173657</v>
      </c>
      <c r="I316" s="101">
        <f t="shared" si="318"/>
        <v>1965140.501115026</v>
      </c>
      <c r="J316" s="101">
        <f t="shared" si="319"/>
        <v>2018212.8607938571</v>
      </c>
      <c r="K316" s="101">
        <f t="shared" si="320"/>
        <v>4346383.0482226592</v>
      </c>
      <c r="L316" s="101">
        <f t="shared" si="321"/>
        <v>0</v>
      </c>
      <c r="M316" s="101">
        <f t="shared" si="322"/>
        <v>0</v>
      </c>
      <c r="N316" s="101"/>
      <c r="O316" s="101">
        <f t="shared" si="323"/>
        <v>1286177.024712919</v>
      </c>
      <c r="P316" s="101">
        <f t="shared" si="324"/>
        <v>0</v>
      </c>
      <c r="Q316" s="101">
        <f t="shared" si="325"/>
        <v>0</v>
      </c>
      <c r="R316" s="101"/>
      <c r="S316" s="101">
        <f t="shared" si="326"/>
        <v>0</v>
      </c>
      <c r="T316" s="101">
        <f t="shared" si="327"/>
        <v>479380.42521757865</v>
      </c>
      <c r="U316" s="101">
        <f t="shared" si="328"/>
        <v>0</v>
      </c>
      <c r="V316" s="101">
        <f t="shared" si="329"/>
        <v>522376.98987921252</v>
      </c>
      <c r="W316" s="101">
        <f t="shared" si="330"/>
        <v>968701.09405319649</v>
      </c>
      <c r="X316" s="101">
        <f t="shared" si="331"/>
        <v>240479.53411555456</v>
      </c>
      <c r="Y316" s="101">
        <f t="shared" si="332"/>
        <v>367614.12062341819</v>
      </c>
      <c r="Z316" s="101">
        <f t="shared" si="333"/>
        <v>373307.80816329509</v>
      </c>
      <c r="AA316" s="101">
        <f t="shared" si="334"/>
        <v>332198.93570754025</v>
      </c>
      <c r="AB316" s="101">
        <f t="shared" si="335"/>
        <v>222397.99453151383</v>
      </c>
      <c r="AC316" s="101">
        <f t="shared" si="336"/>
        <v>189757.51193701112</v>
      </c>
      <c r="AD316" s="101">
        <f t="shared" si="337"/>
        <v>263208.78570412379</v>
      </c>
      <c r="AE316" s="101"/>
      <c r="AF316" s="101">
        <f t="shared" si="338"/>
        <v>3053491.320568365</v>
      </c>
      <c r="AG316" s="101"/>
      <c r="AH316" s="101">
        <f t="shared" si="339"/>
        <v>419748.27979437629</v>
      </c>
      <c r="AI316" s="101"/>
      <c r="AJ316" s="101">
        <f t="shared" si="340"/>
        <v>0</v>
      </c>
      <c r="AK316" s="101">
        <f t="shared" si="341"/>
        <v>19133212.79725701</v>
      </c>
      <c r="AL316" s="98" t="str">
        <f t="shared" si="342"/>
        <v>ok</v>
      </c>
    </row>
    <row r="317" spans="1:38" x14ac:dyDescent="0.25">
      <c r="A317" s="97">
        <v>924</v>
      </c>
      <c r="B317" s="97" t="s">
        <v>1246</v>
      </c>
      <c r="C317" s="97" t="s">
        <v>1247</v>
      </c>
      <c r="D317" s="97" t="s">
        <v>196</v>
      </c>
      <c r="F317" s="101">
        <f>'Jurisdictional Study'!F1089</f>
        <v>5543868.9752872689</v>
      </c>
      <c r="H317" s="101">
        <f t="shared" si="317"/>
        <v>1154196.2601319388</v>
      </c>
      <c r="I317" s="101">
        <f t="shared" si="318"/>
        <v>1209093.6365587346</v>
      </c>
      <c r="J317" s="101">
        <f t="shared" si="319"/>
        <v>993870.89216258761</v>
      </c>
      <c r="K317" s="101">
        <f t="shared" si="320"/>
        <v>0</v>
      </c>
      <c r="L317" s="101">
        <f t="shared" si="321"/>
        <v>0</v>
      </c>
      <c r="M317" s="101">
        <f t="shared" si="322"/>
        <v>0</v>
      </c>
      <c r="N317" s="101"/>
      <c r="O317" s="101">
        <f t="shared" si="323"/>
        <v>744464.54269416269</v>
      </c>
      <c r="P317" s="101">
        <f t="shared" si="324"/>
        <v>0</v>
      </c>
      <c r="Q317" s="101">
        <f t="shared" si="325"/>
        <v>0</v>
      </c>
      <c r="R317" s="101"/>
      <c r="S317" s="101">
        <f t="shared" si="326"/>
        <v>0</v>
      </c>
      <c r="T317" s="101">
        <f t="shared" si="327"/>
        <v>174617.19454872946</v>
      </c>
      <c r="U317" s="101">
        <f t="shared" si="328"/>
        <v>0</v>
      </c>
      <c r="V317" s="101">
        <f t="shared" si="329"/>
        <v>190278.95106087715</v>
      </c>
      <c r="W317" s="101">
        <f t="shared" si="330"/>
        <v>352855.18244321377</v>
      </c>
      <c r="X317" s="101">
        <f t="shared" si="331"/>
        <v>87596.112366466696</v>
      </c>
      <c r="Y317" s="101">
        <f t="shared" si="332"/>
        <v>133905.64788002032</v>
      </c>
      <c r="Z317" s="101">
        <f t="shared" si="333"/>
        <v>135979.60770931275</v>
      </c>
      <c r="AA317" s="101">
        <f t="shared" si="334"/>
        <v>121005.45440293316</v>
      </c>
      <c r="AB317" s="101">
        <f t="shared" si="335"/>
        <v>81009.80314482098</v>
      </c>
      <c r="AC317" s="101">
        <f t="shared" si="336"/>
        <v>69120.31162713583</v>
      </c>
      <c r="AD317" s="101">
        <f t="shared" si="337"/>
        <v>95875.378556334239</v>
      </c>
      <c r="AE317" s="101"/>
      <c r="AF317" s="101">
        <f t="shared" si="338"/>
        <v>0</v>
      </c>
      <c r="AG317" s="101"/>
      <c r="AH317" s="101">
        <f t="shared" si="339"/>
        <v>0</v>
      </c>
      <c r="AI317" s="101"/>
      <c r="AJ317" s="101">
        <f t="shared" si="340"/>
        <v>0</v>
      </c>
      <c r="AK317" s="101">
        <f t="shared" si="341"/>
        <v>5543868.9752872679</v>
      </c>
      <c r="AL317" s="98" t="str">
        <f t="shared" si="342"/>
        <v>ok</v>
      </c>
    </row>
    <row r="318" spans="1:38" x14ac:dyDescent="0.25">
      <c r="A318" s="97">
        <v>925</v>
      </c>
      <c r="B318" s="97" t="s">
        <v>1222</v>
      </c>
      <c r="C318" s="97" t="s">
        <v>1223</v>
      </c>
      <c r="D318" s="97" t="s">
        <v>741</v>
      </c>
      <c r="F318" s="101">
        <f>'Jurisdictional Study'!F1097</f>
        <v>3904092.4577877838</v>
      </c>
      <c r="H318" s="101">
        <f t="shared" si="317"/>
        <v>425365.77445884229</v>
      </c>
      <c r="I318" s="101">
        <f t="shared" si="318"/>
        <v>400982.85061651381</v>
      </c>
      <c r="J318" s="101">
        <f t="shared" si="319"/>
        <v>411812.15572771966</v>
      </c>
      <c r="K318" s="101">
        <f t="shared" si="320"/>
        <v>886870.46221821336</v>
      </c>
      <c r="L318" s="101">
        <f t="shared" si="321"/>
        <v>0</v>
      </c>
      <c r="M318" s="101">
        <f t="shared" si="322"/>
        <v>0</v>
      </c>
      <c r="N318" s="101"/>
      <c r="O318" s="101">
        <f t="shared" si="323"/>
        <v>262441.75898579427</v>
      </c>
      <c r="P318" s="101">
        <f t="shared" si="324"/>
        <v>0</v>
      </c>
      <c r="Q318" s="101">
        <f t="shared" si="325"/>
        <v>0</v>
      </c>
      <c r="R318" s="101"/>
      <c r="S318" s="101">
        <f t="shared" si="326"/>
        <v>0</v>
      </c>
      <c r="T318" s="101">
        <f t="shared" si="327"/>
        <v>97816.583254191326</v>
      </c>
      <c r="U318" s="101">
        <f t="shared" si="328"/>
        <v>0</v>
      </c>
      <c r="V318" s="101">
        <f t="shared" si="329"/>
        <v>106589.94325311083</v>
      </c>
      <c r="W318" s="101">
        <f t="shared" si="330"/>
        <v>197661.45263831705</v>
      </c>
      <c r="X318" s="101">
        <f t="shared" si="331"/>
        <v>49069.351046336196</v>
      </c>
      <c r="Y318" s="101">
        <f t="shared" si="332"/>
        <v>75010.900203228259</v>
      </c>
      <c r="Z318" s="101">
        <f t="shared" si="333"/>
        <v>76172.685357503055</v>
      </c>
      <c r="AA318" s="101">
        <f t="shared" si="334"/>
        <v>67784.505044906444</v>
      </c>
      <c r="AB318" s="101">
        <f t="shared" si="335"/>
        <v>45379.850330316105</v>
      </c>
      <c r="AC318" s="101">
        <f t="shared" si="336"/>
        <v>38719.627435914364</v>
      </c>
      <c r="AD318" s="101">
        <f t="shared" si="337"/>
        <v>53707.207774235852</v>
      </c>
      <c r="AE318" s="101"/>
      <c r="AF318" s="101">
        <f t="shared" si="338"/>
        <v>623058.58199938352</v>
      </c>
      <c r="AG318" s="101"/>
      <c r="AH318" s="101">
        <f t="shared" si="339"/>
        <v>85648.767443257311</v>
      </c>
      <c r="AI318" s="101"/>
      <c r="AJ318" s="101">
        <f t="shared" si="340"/>
        <v>0</v>
      </c>
      <c r="AK318" s="101">
        <f t="shared" si="341"/>
        <v>3904092.4577877829</v>
      </c>
      <c r="AL318" s="98" t="str">
        <f t="shared" si="342"/>
        <v>ok</v>
      </c>
    </row>
    <row r="319" spans="1:38" x14ac:dyDescent="0.25">
      <c r="A319" s="97">
        <v>926</v>
      </c>
      <c r="B319" s="97" t="s">
        <v>1224</v>
      </c>
      <c r="C319" s="97" t="s">
        <v>263</v>
      </c>
      <c r="D319" s="97" t="s">
        <v>741</v>
      </c>
      <c r="F319" s="101">
        <f>'Jurisdictional Study'!F1098+'Jurisdictional Study'!F1099</f>
        <v>38912105.991353229</v>
      </c>
      <c r="H319" s="101">
        <f t="shared" si="317"/>
        <v>4239622.4679103745</v>
      </c>
      <c r="I319" s="101">
        <f t="shared" si="318"/>
        <v>3996597.763144698</v>
      </c>
      <c r="J319" s="101">
        <f t="shared" si="319"/>
        <v>4104533.4928581081</v>
      </c>
      <c r="K319" s="101">
        <f t="shared" si="320"/>
        <v>8839441.637094399</v>
      </c>
      <c r="L319" s="101">
        <f t="shared" si="321"/>
        <v>0</v>
      </c>
      <c r="M319" s="101">
        <f t="shared" si="322"/>
        <v>0</v>
      </c>
      <c r="N319" s="101"/>
      <c r="O319" s="101">
        <f t="shared" si="323"/>
        <v>2615758.1185971778</v>
      </c>
      <c r="P319" s="101">
        <f t="shared" si="324"/>
        <v>0</v>
      </c>
      <c r="Q319" s="101">
        <f t="shared" si="325"/>
        <v>0</v>
      </c>
      <c r="R319" s="101"/>
      <c r="S319" s="101">
        <f t="shared" si="326"/>
        <v>0</v>
      </c>
      <c r="T319" s="101">
        <f t="shared" si="327"/>
        <v>974938.29781272507</v>
      </c>
      <c r="U319" s="101">
        <f t="shared" si="328"/>
        <v>0</v>
      </c>
      <c r="V319" s="101">
        <f t="shared" si="329"/>
        <v>1062382.4139215171</v>
      </c>
      <c r="W319" s="101">
        <f t="shared" si="330"/>
        <v>1970092.5320363212</v>
      </c>
      <c r="X319" s="101">
        <f t="shared" si="331"/>
        <v>489074.42881716281</v>
      </c>
      <c r="Y319" s="101">
        <f t="shared" si="332"/>
        <v>747633.95866622624</v>
      </c>
      <c r="Z319" s="101">
        <f t="shared" si="333"/>
        <v>759213.47619843588</v>
      </c>
      <c r="AA319" s="101">
        <f t="shared" si="334"/>
        <v>675608.44764762803</v>
      </c>
      <c r="AB319" s="101">
        <f t="shared" si="335"/>
        <v>452301.15962099779</v>
      </c>
      <c r="AC319" s="101">
        <f t="shared" si="336"/>
        <v>385918.68994458794</v>
      </c>
      <c r="AD319" s="101">
        <f t="shared" si="337"/>
        <v>535299.96638319746</v>
      </c>
      <c r="AE319" s="101"/>
      <c r="AF319" s="101">
        <f t="shared" si="338"/>
        <v>6210027.5143893957</v>
      </c>
      <c r="AG319" s="101"/>
      <c r="AH319" s="101">
        <f t="shared" si="339"/>
        <v>853661.62631027354</v>
      </c>
      <c r="AI319" s="101"/>
      <c r="AJ319" s="101">
        <f t="shared" si="340"/>
        <v>0</v>
      </c>
      <c r="AK319" s="101">
        <f t="shared" si="341"/>
        <v>38912105.991353229</v>
      </c>
      <c r="AL319" s="98" t="str">
        <f t="shared" si="342"/>
        <v>ok</v>
      </c>
    </row>
    <row r="320" spans="1:38" x14ac:dyDescent="0.25">
      <c r="A320" s="97">
        <v>928</v>
      </c>
      <c r="B320" s="97" t="s">
        <v>573</v>
      </c>
      <c r="C320" s="97" t="s">
        <v>264</v>
      </c>
      <c r="D320" s="97" t="s">
        <v>196</v>
      </c>
      <c r="F320" s="101">
        <f>'Jurisdictional Study'!F1114</f>
        <v>1800306.6730721656</v>
      </c>
      <c r="H320" s="101">
        <f t="shared" si="317"/>
        <v>374811.74941418861</v>
      </c>
      <c r="I320" s="101">
        <f t="shared" si="318"/>
        <v>392639.03096717555</v>
      </c>
      <c r="J320" s="101">
        <f t="shared" si="319"/>
        <v>322747.95946810371</v>
      </c>
      <c r="K320" s="101">
        <f t="shared" si="320"/>
        <v>0</v>
      </c>
      <c r="L320" s="101">
        <f t="shared" si="321"/>
        <v>0</v>
      </c>
      <c r="M320" s="101">
        <f t="shared" si="322"/>
        <v>0</v>
      </c>
      <c r="N320" s="101"/>
      <c r="O320" s="101">
        <f t="shared" si="323"/>
        <v>241756.16163592145</v>
      </c>
      <c r="P320" s="101">
        <f t="shared" si="324"/>
        <v>0</v>
      </c>
      <c r="Q320" s="101">
        <f t="shared" si="325"/>
        <v>0</v>
      </c>
      <c r="R320" s="101"/>
      <c r="S320" s="101">
        <f t="shared" si="326"/>
        <v>0</v>
      </c>
      <c r="T320" s="101">
        <f t="shared" si="327"/>
        <v>56704.893636655383</v>
      </c>
      <c r="U320" s="101">
        <f t="shared" si="328"/>
        <v>0</v>
      </c>
      <c r="V320" s="101">
        <f t="shared" si="329"/>
        <v>61790.866066115603</v>
      </c>
      <c r="W320" s="101">
        <f t="shared" si="330"/>
        <v>114585.59760563196</v>
      </c>
      <c r="X320" s="101">
        <f t="shared" si="331"/>
        <v>28445.813985053217</v>
      </c>
      <c r="Y320" s="101">
        <f t="shared" si="332"/>
        <v>43484.294545031262</v>
      </c>
      <c r="Z320" s="101">
        <f t="shared" si="333"/>
        <v>44157.78876666649</v>
      </c>
      <c r="AA320" s="101">
        <f t="shared" si="334"/>
        <v>39295.107444064721</v>
      </c>
      <c r="AB320" s="101">
        <f t="shared" si="335"/>
        <v>26306.987022240464</v>
      </c>
      <c r="AC320" s="101">
        <f t="shared" si="336"/>
        <v>22446.013573167496</v>
      </c>
      <c r="AD320" s="101">
        <f t="shared" si="337"/>
        <v>31134.408942149392</v>
      </c>
      <c r="AE320" s="101"/>
      <c r="AF320" s="101">
        <f t="shared" si="338"/>
        <v>0</v>
      </c>
      <c r="AG320" s="101"/>
      <c r="AH320" s="101">
        <f t="shared" si="339"/>
        <v>0</v>
      </c>
      <c r="AI320" s="101"/>
      <c r="AJ320" s="101">
        <f t="shared" si="340"/>
        <v>0</v>
      </c>
      <c r="AK320" s="101">
        <f t="shared" si="341"/>
        <v>1800306.6730721649</v>
      </c>
      <c r="AL320" s="98" t="str">
        <f t="shared" si="342"/>
        <v>ok</v>
      </c>
    </row>
    <row r="321" spans="1:38" x14ac:dyDescent="0.25">
      <c r="A321" s="97">
        <v>929</v>
      </c>
      <c r="B321" s="97" t="s">
        <v>321</v>
      </c>
      <c r="C321" s="97" t="s">
        <v>488</v>
      </c>
      <c r="D321" s="97" t="s">
        <v>741</v>
      </c>
      <c r="F321" s="101">
        <f>'Jurisdictional Study'!F1117</f>
        <v>0</v>
      </c>
      <c r="H321" s="101">
        <f t="shared" si="317"/>
        <v>0</v>
      </c>
      <c r="I321" s="101">
        <f t="shared" si="318"/>
        <v>0</v>
      </c>
      <c r="J321" s="101">
        <f t="shared" si="319"/>
        <v>0</v>
      </c>
      <c r="K321" s="101">
        <f t="shared" si="320"/>
        <v>0</v>
      </c>
      <c r="L321" s="101">
        <f t="shared" si="321"/>
        <v>0</v>
      </c>
      <c r="M321" s="101">
        <f t="shared" si="322"/>
        <v>0</v>
      </c>
      <c r="N321" s="101"/>
      <c r="O321" s="101">
        <f t="shared" si="323"/>
        <v>0</v>
      </c>
      <c r="P321" s="101">
        <f t="shared" si="324"/>
        <v>0</v>
      </c>
      <c r="Q321" s="101">
        <f t="shared" si="325"/>
        <v>0</v>
      </c>
      <c r="R321" s="101"/>
      <c r="S321" s="101">
        <f t="shared" si="326"/>
        <v>0</v>
      </c>
      <c r="T321" s="101">
        <f t="shared" si="327"/>
        <v>0</v>
      </c>
      <c r="U321" s="101">
        <f t="shared" si="328"/>
        <v>0</v>
      </c>
      <c r="V321" s="101">
        <f t="shared" si="329"/>
        <v>0</v>
      </c>
      <c r="W321" s="101">
        <f t="shared" si="330"/>
        <v>0</v>
      </c>
      <c r="X321" s="101">
        <f t="shared" si="331"/>
        <v>0</v>
      </c>
      <c r="Y321" s="101">
        <f t="shared" si="332"/>
        <v>0</v>
      </c>
      <c r="Z321" s="101">
        <f t="shared" si="333"/>
        <v>0</v>
      </c>
      <c r="AA321" s="101">
        <f t="shared" si="334"/>
        <v>0</v>
      </c>
      <c r="AB321" s="101">
        <f t="shared" si="335"/>
        <v>0</v>
      </c>
      <c r="AC321" s="101">
        <f t="shared" si="336"/>
        <v>0</v>
      </c>
      <c r="AD321" s="101">
        <f t="shared" si="337"/>
        <v>0</v>
      </c>
      <c r="AE321" s="101"/>
      <c r="AF321" s="101">
        <f t="shared" si="338"/>
        <v>0</v>
      </c>
      <c r="AG321" s="101"/>
      <c r="AH321" s="101">
        <f t="shared" si="339"/>
        <v>0</v>
      </c>
      <c r="AI321" s="101"/>
      <c r="AJ321" s="101">
        <f t="shared" si="340"/>
        <v>0</v>
      </c>
      <c r="AK321" s="101">
        <f t="shared" si="341"/>
        <v>0</v>
      </c>
      <c r="AL321" s="98" t="str">
        <f t="shared" si="342"/>
        <v>ok</v>
      </c>
    </row>
    <row r="322" spans="1:38" x14ac:dyDescent="0.25">
      <c r="A322" s="97">
        <v>930</v>
      </c>
      <c r="B322" s="97" t="s">
        <v>265</v>
      </c>
      <c r="C322" s="97" t="s">
        <v>266</v>
      </c>
      <c r="D322" s="97" t="s">
        <v>741</v>
      </c>
      <c r="F322" s="101">
        <f>'Jurisdictional Study'!F1103+'Jurisdictional Study'!F1104</f>
        <v>5197262.0211860752</v>
      </c>
      <c r="H322" s="101">
        <f t="shared" si="317"/>
        <v>566261.53417484276</v>
      </c>
      <c r="I322" s="101">
        <f t="shared" si="318"/>
        <v>533802.14817889384</v>
      </c>
      <c r="J322" s="101">
        <f t="shared" si="319"/>
        <v>548218.49122887338</v>
      </c>
      <c r="K322" s="101">
        <f t="shared" si="320"/>
        <v>1180632.4314384384</v>
      </c>
      <c r="L322" s="101">
        <f t="shared" si="321"/>
        <v>0</v>
      </c>
      <c r="M322" s="101">
        <f t="shared" si="322"/>
        <v>0</v>
      </c>
      <c r="N322" s="101"/>
      <c r="O322" s="101">
        <f t="shared" si="323"/>
        <v>349371.48684307112</v>
      </c>
      <c r="P322" s="101">
        <f t="shared" si="324"/>
        <v>0</v>
      </c>
      <c r="Q322" s="101">
        <f t="shared" si="325"/>
        <v>0</v>
      </c>
      <c r="R322" s="101"/>
      <c r="S322" s="101">
        <f t="shared" si="326"/>
        <v>0</v>
      </c>
      <c r="T322" s="101">
        <f t="shared" si="327"/>
        <v>130216.7965246556</v>
      </c>
      <c r="U322" s="101">
        <f t="shared" si="328"/>
        <v>0</v>
      </c>
      <c r="V322" s="101">
        <f t="shared" si="329"/>
        <v>141896.19480059057</v>
      </c>
      <c r="W322" s="101">
        <f t="shared" si="330"/>
        <v>263133.71723570913</v>
      </c>
      <c r="X322" s="101">
        <f t="shared" si="331"/>
        <v>65322.806095088868</v>
      </c>
      <c r="Y322" s="101">
        <f t="shared" si="332"/>
        <v>99857.087662857899</v>
      </c>
      <c r="Z322" s="101">
        <f t="shared" si="333"/>
        <v>101403.69597820287</v>
      </c>
      <c r="AA322" s="101">
        <f t="shared" si="334"/>
        <v>90237.062135155502</v>
      </c>
      <c r="AB322" s="101">
        <f t="shared" si="335"/>
        <v>60411.215973738217</v>
      </c>
      <c r="AC322" s="101">
        <f t="shared" si="336"/>
        <v>51544.898416975644</v>
      </c>
      <c r="AD322" s="101">
        <f t="shared" si="337"/>
        <v>71496.880324179641</v>
      </c>
      <c r="AE322" s="101"/>
      <c r="AF322" s="101">
        <f t="shared" si="338"/>
        <v>829436.99213372113</v>
      </c>
      <c r="AG322" s="101"/>
      <c r="AH322" s="101">
        <f t="shared" si="339"/>
        <v>114018.5820410804</v>
      </c>
      <c r="AI322" s="101"/>
      <c r="AJ322" s="101">
        <f t="shared" si="340"/>
        <v>0</v>
      </c>
      <c r="AK322" s="101">
        <f t="shared" si="341"/>
        <v>5197262.0211860733</v>
      </c>
      <c r="AL322" s="98" t="str">
        <f t="shared" si="342"/>
        <v>ok</v>
      </c>
    </row>
    <row r="323" spans="1:38" x14ac:dyDescent="0.25">
      <c r="A323" s="97">
        <v>931</v>
      </c>
      <c r="B323" s="97" t="s">
        <v>267</v>
      </c>
      <c r="C323" s="97" t="s">
        <v>268</v>
      </c>
      <c r="D323" s="97" t="s">
        <v>186</v>
      </c>
      <c r="F323" s="101">
        <f>'Jurisdictional Study'!F1105</f>
        <v>1831133.6799085943</v>
      </c>
      <c r="H323" s="101">
        <f t="shared" si="317"/>
        <v>383662.67107956141</v>
      </c>
      <c r="I323" s="101">
        <f t="shared" si="318"/>
        <v>401910.93162474554</v>
      </c>
      <c r="J323" s="101">
        <f t="shared" si="319"/>
        <v>330369.43054358586</v>
      </c>
      <c r="K323" s="101">
        <f t="shared" si="320"/>
        <v>0</v>
      </c>
      <c r="L323" s="101">
        <f t="shared" si="321"/>
        <v>0</v>
      </c>
      <c r="M323" s="101">
        <f t="shared" si="322"/>
        <v>0</v>
      </c>
      <c r="N323" s="101"/>
      <c r="O323" s="101">
        <f t="shared" si="323"/>
        <v>241214.34765703842</v>
      </c>
      <c r="P323" s="101">
        <f t="shared" si="324"/>
        <v>0</v>
      </c>
      <c r="Q323" s="101">
        <f t="shared" si="325"/>
        <v>0</v>
      </c>
      <c r="R323" s="101"/>
      <c r="S323" s="101">
        <f t="shared" si="326"/>
        <v>0</v>
      </c>
      <c r="T323" s="101">
        <f t="shared" si="327"/>
        <v>57385.873721027601</v>
      </c>
      <c r="U323" s="101">
        <f t="shared" si="328"/>
        <v>0</v>
      </c>
      <c r="V323" s="101">
        <f t="shared" si="329"/>
        <v>62532.92458150156</v>
      </c>
      <c r="W323" s="101">
        <f t="shared" si="330"/>
        <v>115961.67830909495</v>
      </c>
      <c r="X323" s="101">
        <f t="shared" si="331"/>
        <v>28787.425291684012</v>
      </c>
      <c r="Y323" s="101">
        <f t="shared" si="332"/>
        <v>44006.505886399515</v>
      </c>
      <c r="Z323" s="101">
        <f t="shared" si="333"/>
        <v>44688.088230989546</v>
      </c>
      <c r="AA323" s="101">
        <f t="shared" si="334"/>
        <v>39767.010023657545</v>
      </c>
      <c r="AB323" s="101">
        <f t="shared" si="335"/>
        <v>26622.912740341162</v>
      </c>
      <c r="AC323" s="101">
        <f t="shared" si="336"/>
        <v>22715.572111004072</v>
      </c>
      <c r="AD323" s="101">
        <f t="shared" si="337"/>
        <v>31508.308107963156</v>
      </c>
      <c r="AE323" s="101"/>
      <c r="AF323" s="101">
        <f t="shared" si="338"/>
        <v>0</v>
      </c>
      <c r="AG323" s="101"/>
      <c r="AH323" s="101">
        <f t="shared" si="339"/>
        <v>0</v>
      </c>
      <c r="AI323" s="101"/>
      <c r="AJ323" s="101">
        <f t="shared" si="340"/>
        <v>0</v>
      </c>
      <c r="AK323" s="101">
        <f t="shared" si="341"/>
        <v>1831133.6799085939</v>
      </c>
      <c r="AL323" s="98" t="str">
        <f t="shared" si="342"/>
        <v>ok</v>
      </c>
    </row>
    <row r="324" spans="1:38" x14ac:dyDescent="0.25">
      <c r="A324" s="97">
        <v>935</v>
      </c>
      <c r="B324" s="97" t="s">
        <v>269</v>
      </c>
      <c r="C324" s="97" t="s">
        <v>1620</v>
      </c>
      <c r="D324" s="97" t="s">
        <v>186</v>
      </c>
      <c r="F324" s="101">
        <f>'Jurisdictional Study'!F1106</f>
        <v>873720.0683666378</v>
      </c>
      <c r="H324" s="101">
        <f t="shared" si="317"/>
        <v>183063.51900102364</v>
      </c>
      <c r="I324" s="101">
        <f t="shared" si="318"/>
        <v>191770.62303501551</v>
      </c>
      <c r="J324" s="101">
        <f t="shared" si="319"/>
        <v>157634.80548028462</v>
      </c>
      <c r="K324" s="101">
        <f t="shared" si="320"/>
        <v>0</v>
      </c>
      <c r="L324" s="101">
        <f t="shared" si="321"/>
        <v>0</v>
      </c>
      <c r="M324" s="101">
        <f t="shared" si="322"/>
        <v>0</v>
      </c>
      <c r="N324" s="101"/>
      <c r="O324" s="101">
        <f t="shared" si="323"/>
        <v>115094.71899203004</v>
      </c>
      <c r="P324" s="101">
        <f t="shared" si="324"/>
        <v>0</v>
      </c>
      <c r="Q324" s="101">
        <f t="shared" si="325"/>
        <v>0</v>
      </c>
      <c r="R324" s="101"/>
      <c r="S324" s="101">
        <f t="shared" si="326"/>
        <v>0</v>
      </c>
      <c r="T324" s="101">
        <f t="shared" si="327"/>
        <v>27381.501449592855</v>
      </c>
      <c r="U324" s="101">
        <f t="shared" si="328"/>
        <v>0</v>
      </c>
      <c r="V324" s="101">
        <f t="shared" si="329"/>
        <v>29837.401681805481</v>
      </c>
      <c r="W324" s="101">
        <f t="shared" si="330"/>
        <v>55330.774924739548</v>
      </c>
      <c r="X324" s="101">
        <f t="shared" si="331"/>
        <v>13735.835602786337</v>
      </c>
      <c r="Y324" s="101">
        <f t="shared" si="332"/>
        <v>20997.575301854056</v>
      </c>
      <c r="Z324" s="101">
        <f t="shared" si="333"/>
        <v>21322.790319876345</v>
      </c>
      <c r="AA324" s="101">
        <f t="shared" si="334"/>
        <v>18974.712276790866</v>
      </c>
      <c r="AB324" s="101">
        <f t="shared" si="335"/>
        <v>12703.04478303902</v>
      </c>
      <c r="AC324" s="101">
        <f t="shared" si="336"/>
        <v>10838.668654057243</v>
      </c>
      <c r="AD324" s="101">
        <f t="shared" si="337"/>
        <v>15034.096863742279</v>
      </c>
      <c r="AE324" s="101"/>
      <c r="AF324" s="101">
        <f t="shared" si="338"/>
        <v>0</v>
      </c>
      <c r="AG324" s="101"/>
      <c r="AH324" s="101">
        <f t="shared" si="339"/>
        <v>0</v>
      </c>
      <c r="AI324" s="101"/>
      <c r="AJ324" s="101">
        <f t="shared" si="340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270</v>
      </c>
      <c r="C326" s="97" t="s">
        <v>271</v>
      </c>
      <c r="F326" s="100">
        <f t="shared" ref="F326:M326" si="343">SUM(F313:F325)</f>
        <v>113859772.5342399</v>
      </c>
      <c r="G326" s="100">
        <f t="shared" si="343"/>
        <v>0</v>
      </c>
      <c r="H326" s="100">
        <f t="shared" si="343"/>
        <v>13406310.890450487</v>
      </c>
      <c r="I326" s="100">
        <f t="shared" si="343"/>
        <v>12857643.192941865</v>
      </c>
      <c r="J326" s="100">
        <f t="shared" si="343"/>
        <v>12754805.846240658</v>
      </c>
      <c r="K326" s="100">
        <f t="shared" si="343"/>
        <v>23582095.645816974</v>
      </c>
      <c r="L326" s="100">
        <f t="shared" si="343"/>
        <v>0</v>
      </c>
      <c r="M326" s="100">
        <f t="shared" si="343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44">SUM(S313:S325)</f>
        <v>0</v>
      </c>
      <c r="T326" s="100">
        <f t="shared" si="344"/>
        <v>2917055.5799609735</v>
      </c>
      <c r="U326" s="100">
        <f t="shared" si="344"/>
        <v>0</v>
      </c>
      <c r="V326" s="100">
        <f t="shared" si="344"/>
        <v>3178691.980338492</v>
      </c>
      <c r="W326" s="100">
        <f t="shared" si="344"/>
        <v>5894598.0750875203</v>
      </c>
      <c r="X326" s="100">
        <f t="shared" si="344"/>
        <v>1463330.8536530335</v>
      </c>
      <c r="Y326" s="100">
        <f t="shared" si="344"/>
        <v>2236951.6263628732</v>
      </c>
      <c r="Z326" s="100">
        <f t="shared" si="344"/>
        <v>2271598.0201976104</v>
      </c>
      <c r="AA326" s="100">
        <f t="shared" si="344"/>
        <v>2021448.3280641935</v>
      </c>
      <c r="AB326" s="100">
        <f t="shared" si="344"/>
        <v>1353303.7161995764</v>
      </c>
      <c r="AC326" s="100">
        <f t="shared" si="344"/>
        <v>1154684.6302373202</v>
      </c>
      <c r="AD326" s="100">
        <f t="shared" si="344"/>
        <v>1601639.5677493166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837</v>
      </c>
      <c r="C328" s="97" t="s">
        <v>838</v>
      </c>
      <c r="F328" s="100">
        <f>F279+F288+F302+F326</f>
        <v>933774238.57748604</v>
      </c>
      <c r="G328" s="100"/>
      <c r="H328" s="100">
        <f t="shared" ref="H328:M328" si="345">H279+H288+H302+H326</f>
        <v>37625250.163491994</v>
      </c>
      <c r="I328" s="100">
        <f t="shared" si="345"/>
        <v>35951279.322969064</v>
      </c>
      <c r="J328" s="100">
        <f t="shared" si="345"/>
        <v>35933655.745627098</v>
      </c>
      <c r="K328" s="100">
        <f t="shared" si="345"/>
        <v>640387546.76813221</v>
      </c>
      <c r="L328" s="100">
        <f t="shared" si="345"/>
        <v>0</v>
      </c>
      <c r="M328" s="100">
        <f t="shared" si="345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6">S279+S288+S302+S326</f>
        <v>0</v>
      </c>
      <c r="T328" s="100">
        <f t="shared" si="346"/>
        <v>7427614.6646774616</v>
      </c>
      <c r="U328" s="100">
        <f t="shared" si="346"/>
        <v>0</v>
      </c>
      <c r="V328" s="100">
        <f t="shared" si="346"/>
        <v>13725969.833519794</v>
      </c>
      <c r="W328" s="100">
        <f t="shared" si="346"/>
        <v>21967220.025919598</v>
      </c>
      <c r="X328" s="100">
        <f t="shared" si="346"/>
        <v>6950051.3594861059</v>
      </c>
      <c r="Y328" s="100">
        <f t="shared" si="346"/>
        <v>10263920.520944357</v>
      </c>
      <c r="Z328" s="100">
        <f t="shared" si="346"/>
        <v>3048697.3971412508</v>
      </c>
      <c r="AA328" s="100">
        <f t="shared" si="346"/>
        <v>2712973.0706882412</v>
      </c>
      <c r="AB328" s="100">
        <f t="shared" si="346"/>
        <v>1785764.9899127069</v>
      </c>
      <c r="AC328" s="100">
        <f t="shared" si="346"/>
        <v>12338780.799421292</v>
      </c>
      <c r="AD328" s="100">
        <f t="shared" si="346"/>
        <v>1970658.9614352717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1352</v>
      </c>
      <c r="C330" s="97" t="s">
        <v>795</v>
      </c>
      <c r="F330" s="102">
        <f>F328-F215-F216-F217-F218</f>
        <v>883154931.91190779</v>
      </c>
      <c r="G330" s="102">
        <f t="shared" ref="G330:M330" si="347">G328-G215</f>
        <v>0</v>
      </c>
      <c r="H330" s="102">
        <f t="shared" si="347"/>
        <v>35117936.311067909</v>
      </c>
      <c r="I330" s="102">
        <f t="shared" si="347"/>
        <v>33324709.363822792</v>
      </c>
      <c r="J330" s="102">
        <f t="shared" si="347"/>
        <v>33774624.096056968</v>
      </c>
      <c r="K330" s="102">
        <f t="shared" si="347"/>
        <v>597061155.56369448</v>
      </c>
      <c r="L330" s="102">
        <f t="shared" si="347"/>
        <v>0</v>
      </c>
      <c r="M330" s="102">
        <f t="shared" si="347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8">S328-S215</f>
        <v>0</v>
      </c>
      <c r="T330" s="102">
        <f t="shared" si="348"/>
        <v>7427614.6646774616</v>
      </c>
      <c r="U330" s="102">
        <f t="shared" si="348"/>
        <v>0</v>
      </c>
      <c r="V330" s="102">
        <f t="shared" si="348"/>
        <v>13725969.833519794</v>
      </c>
      <c r="W330" s="102">
        <f t="shared" si="348"/>
        <v>21967220.025919598</v>
      </c>
      <c r="X330" s="102">
        <f t="shared" si="348"/>
        <v>6950051.3594861059</v>
      </c>
      <c r="Y330" s="102">
        <f t="shared" si="348"/>
        <v>10263920.520944357</v>
      </c>
      <c r="Z330" s="102">
        <f t="shared" si="348"/>
        <v>3048697.3971412508</v>
      </c>
      <c r="AA330" s="102">
        <f t="shared" si="348"/>
        <v>2712973.0706882412</v>
      </c>
      <c r="AB330" s="102">
        <f t="shared" si="348"/>
        <v>1785764.9899127069</v>
      </c>
      <c r="AC330" s="102">
        <f t="shared" si="348"/>
        <v>12338780.799421292</v>
      </c>
      <c r="AD330" s="102">
        <f t="shared" si="348"/>
        <v>1970658.9614352717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839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1559</v>
      </c>
      <c r="Y358" s="97"/>
      <c r="AL358" s="98"/>
    </row>
    <row r="359" spans="1:38" x14ac:dyDescent="0.25">
      <c r="A359" s="97">
        <v>500</v>
      </c>
      <c r="B359" s="97" t="s">
        <v>1551</v>
      </c>
      <c r="C359" s="97" t="s">
        <v>1621</v>
      </c>
      <c r="D359" s="97" t="s">
        <v>742</v>
      </c>
      <c r="F359" s="100">
        <f>'Jurisdictional Study'!F1324</f>
        <v>7176310.5488311965</v>
      </c>
      <c r="H359" s="101">
        <f t="shared" ref="H359:H364" si="349">IF(VLOOKUP($D359,$C$5:$AJ$644,6,)=0,0,((VLOOKUP($D359,$C$5:$AJ$644,6,)/VLOOKUP($D359,$C$5:$AJ$644,4,))*$F359))</f>
        <v>2127494.798009533</v>
      </c>
      <c r="I359" s="101">
        <f t="shared" ref="I359:I364" si="350">IF(VLOOKUP($D359,$C$5:$AJ$644,7,)=0,0,((VLOOKUP($D359,$C$5:$AJ$644,7,)/VLOOKUP($D359,$C$5:$AJ$644,4,))*$F359))</f>
        <v>2005542.0064366513</v>
      </c>
      <c r="J359" s="101">
        <f t="shared" ref="J359:J364" si="351">IF(VLOOKUP($D359,$C$5:$AJ$644,8,)=0,0,((VLOOKUP($D359,$C$5:$AJ$644,8,)/VLOOKUP($D359,$C$5:$AJ$644,4,))*$F359))</f>
        <v>2059705.4856668729</v>
      </c>
      <c r="K359" s="101">
        <f t="shared" ref="K359:K364" si="352">IF(VLOOKUP($D359,$C$5:$AJ$644,9,)=0,0,((VLOOKUP($D359,$C$5:$AJ$644,9,)/VLOOKUP($D359,$C$5:$AJ$644,4,))*$F359))</f>
        <v>983568.25871814007</v>
      </c>
      <c r="L359" s="101">
        <f t="shared" ref="L359:L364" si="353">IF(VLOOKUP($D359,$C$5:$AJ$644,10,)=0,0,((VLOOKUP($D359,$C$5:$AJ$644,10,)/VLOOKUP($D359,$C$5:$AJ$644,4,))*$F359))</f>
        <v>0</v>
      </c>
      <c r="M359" s="101">
        <f t="shared" ref="M359:M364" si="354">IF(VLOOKUP($D359,$C$5:$AJ$644,11,)=0,0,((VLOOKUP($D359,$C$5:$AJ$644,11,)/VLOOKUP($D359,$C$5:$AJ$644,4,))*$F359))</f>
        <v>0</v>
      </c>
      <c r="N359" s="101"/>
      <c r="O359" s="101">
        <f t="shared" ref="O359:O364" si="355">IF(VLOOKUP($D359,$C$5:$AJ$644,13,)=0,0,((VLOOKUP($D359,$C$5:$AJ$644,13,)/VLOOKUP($D359,$C$5:$AJ$644,4,))*$F359))</f>
        <v>0</v>
      </c>
      <c r="P359" s="101">
        <f t="shared" ref="P359:P364" si="356">IF(VLOOKUP($D359,$C$5:$AJ$644,14,)=0,0,((VLOOKUP($D359,$C$5:$AJ$644,14,)/VLOOKUP($D359,$C$5:$AJ$644,4,))*$F359))</f>
        <v>0</v>
      </c>
      <c r="Q359" s="101">
        <f t="shared" ref="Q359:Q364" si="357">IF(VLOOKUP($D359,$C$5:$AJ$644,15,)=0,0,((VLOOKUP($D359,$C$5:$AJ$644,15,)/VLOOKUP($D359,$C$5:$AJ$644,4,))*$F359))</f>
        <v>0</v>
      </c>
      <c r="R359" s="101"/>
      <c r="S359" s="101">
        <f t="shared" ref="S359:S364" si="358">IF(VLOOKUP($D359,$C$5:$AJ$644,17,)=0,0,((VLOOKUP($D359,$C$5:$AJ$644,17,)/VLOOKUP($D359,$C$5:$AJ$644,4,))*$F359))</f>
        <v>0</v>
      </c>
      <c r="T359" s="101">
        <f t="shared" ref="T359:T364" si="359">IF(VLOOKUP($D359,$C$5:$AJ$644,18,)=0,0,((VLOOKUP($D359,$C$5:$AJ$644,18,)/VLOOKUP($D359,$C$5:$AJ$644,4,))*$F359))</f>
        <v>0</v>
      </c>
      <c r="U359" s="101">
        <f t="shared" ref="U359:U364" si="360">IF(VLOOKUP($D359,$C$5:$AJ$644,19,)=0,0,((VLOOKUP($D359,$C$5:$AJ$644,19,)/VLOOKUP($D359,$C$5:$AJ$644,4,))*$F359))</f>
        <v>0</v>
      </c>
      <c r="V359" s="101">
        <f t="shared" ref="V359:V364" si="361">IF(VLOOKUP($D359,$C$5:$AJ$644,20,)=0,0,((VLOOKUP($D359,$C$5:$AJ$644,20,)/VLOOKUP($D359,$C$5:$AJ$644,4,))*$F359))</f>
        <v>0</v>
      </c>
      <c r="W359" s="101">
        <f t="shared" ref="W359:W364" si="362">IF(VLOOKUP($D359,$C$5:$AJ$644,21,)=0,0,((VLOOKUP($D359,$C$5:$AJ$644,21,)/VLOOKUP($D359,$C$5:$AJ$644,4,))*$F359))</f>
        <v>0</v>
      </c>
      <c r="X359" s="101">
        <f t="shared" ref="X359:X364" si="363">IF(VLOOKUP($D359,$C$5:$AJ$644,22,)=0,0,((VLOOKUP($D359,$C$5:$AJ$644,22,)/VLOOKUP($D359,$C$5:$AJ$644,4,))*$F359))</f>
        <v>0</v>
      </c>
      <c r="Y359" s="101">
        <f t="shared" ref="Y359:Y364" si="364">IF(VLOOKUP($D359,$C$5:$AJ$644,23,)=0,0,((VLOOKUP($D359,$C$5:$AJ$644,23,)/VLOOKUP($D359,$C$5:$AJ$644,4,))*$F359))</f>
        <v>0</v>
      </c>
      <c r="Z359" s="101">
        <f t="shared" ref="Z359:Z364" si="365">IF(VLOOKUP($D359,$C$5:$AJ$644,24,)=0,0,((VLOOKUP($D359,$C$5:$AJ$644,24,)/VLOOKUP($D359,$C$5:$AJ$644,4,))*$F359))</f>
        <v>0</v>
      </c>
      <c r="AA359" s="101">
        <f t="shared" ref="AA359:AA364" si="366">IF(VLOOKUP($D359,$C$5:$AJ$644,25,)=0,0,((VLOOKUP($D359,$C$5:$AJ$644,25,)/VLOOKUP($D359,$C$5:$AJ$644,4,))*$F359))</f>
        <v>0</v>
      </c>
      <c r="AB359" s="101">
        <f t="shared" ref="AB359:AB364" si="367">IF(VLOOKUP($D359,$C$5:$AJ$644,26,)=0,0,((VLOOKUP($D359,$C$5:$AJ$644,26,)/VLOOKUP($D359,$C$5:$AJ$644,4,))*$F359))</f>
        <v>0</v>
      </c>
      <c r="AC359" s="101">
        <f t="shared" ref="AC359:AC364" si="368">IF(VLOOKUP($D359,$C$5:$AJ$644,27,)=0,0,((VLOOKUP($D359,$C$5:$AJ$644,27,)/VLOOKUP($D359,$C$5:$AJ$644,4,))*$F359))</f>
        <v>0</v>
      </c>
      <c r="AD359" s="101">
        <f t="shared" ref="AD359:AD364" si="369">IF(VLOOKUP($D359,$C$5:$AJ$644,28,)=0,0,((VLOOKUP($D359,$C$5:$AJ$644,28,)/VLOOKUP($D359,$C$5:$AJ$644,4,))*$F359))</f>
        <v>0</v>
      </c>
      <c r="AE359" s="101"/>
      <c r="AF359" s="101">
        <f t="shared" ref="AF359:AF364" si="370">IF(VLOOKUP($D359,$C$5:$AJ$644,30,)=0,0,((VLOOKUP($D359,$C$5:$AJ$644,30,)/VLOOKUP($D359,$C$5:$AJ$644,4,))*$F359))</f>
        <v>0</v>
      </c>
      <c r="AG359" s="101"/>
      <c r="AH359" s="101">
        <f t="shared" ref="AH359:AH364" si="371">IF(VLOOKUP($D359,$C$5:$AJ$644,32,)=0,0,((VLOOKUP($D359,$C$5:$AJ$644,32,)/VLOOKUP($D359,$C$5:$AJ$644,4,))*$F359))</f>
        <v>0</v>
      </c>
      <c r="AI359" s="101"/>
      <c r="AJ359" s="101">
        <f t="shared" ref="AJ359:AJ364" si="372">IF(VLOOKUP($D359,$C$5:$AJ$644,34,)=0,0,((VLOOKUP($D359,$C$5:$AJ$644,34,)/VLOOKUP($D359,$C$5:$AJ$644,4,))*$F359))</f>
        <v>0</v>
      </c>
      <c r="AK359" s="101">
        <f t="shared" ref="AK359:AK377" si="373">SUM(H359:AJ359)</f>
        <v>7176310.5488311974</v>
      </c>
      <c r="AL359" s="98" t="str">
        <f t="shared" ref="AL359:AL377" si="374">IF(ABS(AK359-F359)&lt;1,"ok","err")</f>
        <v>ok</v>
      </c>
    </row>
    <row r="360" spans="1:38" x14ac:dyDescent="0.25">
      <c r="A360" s="111">
        <v>501</v>
      </c>
      <c r="B360" s="97" t="s">
        <v>1553</v>
      </c>
      <c r="C360" s="97" t="s">
        <v>1622</v>
      </c>
      <c r="D360" s="97" t="s">
        <v>110</v>
      </c>
      <c r="F360" s="101">
        <f>'Jurisdictional Study'!F1315</f>
        <v>2518295.3741893796</v>
      </c>
      <c r="H360" s="101">
        <f t="shared" si="349"/>
        <v>0</v>
      </c>
      <c r="I360" s="101">
        <f t="shared" si="350"/>
        <v>0</v>
      </c>
      <c r="J360" s="101">
        <f t="shared" si="351"/>
        <v>0</v>
      </c>
      <c r="K360" s="101">
        <f t="shared" si="352"/>
        <v>2518295.3741893796</v>
      </c>
      <c r="L360" s="101">
        <f t="shared" si="353"/>
        <v>0</v>
      </c>
      <c r="M360" s="101">
        <f t="shared" si="354"/>
        <v>0</v>
      </c>
      <c r="N360" s="101"/>
      <c r="O360" s="101">
        <f t="shared" si="355"/>
        <v>0</v>
      </c>
      <c r="P360" s="101">
        <f t="shared" si="356"/>
        <v>0</v>
      </c>
      <c r="Q360" s="101">
        <f t="shared" si="357"/>
        <v>0</v>
      </c>
      <c r="R360" s="101"/>
      <c r="S360" s="101">
        <f t="shared" si="358"/>
        <v>0</v>
      </c>
      <c r="T360" s="101">
        <f t="shared" si="359"/>
        <v>0</v>
      </c>
      <c r="U360" s="101">
        <f t="shared" si="360"/>
        <v>0</v>
      </c>
      <c r="V360" s="101">
        <f t="shared" si="361"/>
        <v>0</v>
      </c>
      <c r="W360" s="101">
        <f t="shared" si="362"/>
        <v>0</v>
      </c>
      <c r="X360" s="101">
        <f t="shared" si="363"/>
        <v>0</v>
      </c>
      <c r="Y360" s="101">
        <f t="shared" si="364"/>
        <v>0</v>
      </c>
      <c r="Z360" s="101">
        <f t="shared" si="365"/>
        <v>0</v>
      </c>
      <c r="AA360" s="101">
        <f t="shared" si="366"/>
        <v>0</v>
      </c>
      <c r="AB360" s="101">
        <f t="shared" si="367"/>
        <v>0</v>
      </c>
      <c r="AC360" s="101">
        <f t="shared" si="368"/>
        <v>0</v>
      </c>
      <c r="AD360" s="101">
        <f t="shared" si="369"/>
        <v>0</v>
      </c>
      <c r="AE360" s="101"/>
      <c r="AF360" s="101">
        <f t="shared" si="370"/>
        <v>0</v>
      </c>
      <c r="AG360" s="101"/>
      <c r="AH360" s="101">
        <f t="shared" si="371"/>
        <v>0</v>
      </c>
      <c r="AI360" s="101"/>
      <c r="AJ360" s="101">
        <f t="shared" si="372"/>
        <v>0</v>
      </c>
      <c r="AK360" s="101">
        <f t="shared" si="373"/>
        <v>2518295.3741893796</v>
      </c>
      <c r="AL360" s="98" t="str">
        <f t="shared" si="374"/>
        <v>ok</v>
      </c>
    </row>
    <row r="361" spans="1:38" x14ac:dyDescent="0.25">
      <c r="A361" s="97">
        <v>502</v>
      </c>
      <c r="B361" s="97" t="s">
        <v>1555</v>
      </c>
      <c r="C361" s="97" t="s">
        <v>1623</v>
      </c>
      <c r="D361" s="97" t="s">
        <v>734</v>
      </c>
      <c r="F361" s="101">
        <f>'Jurisdictional Study'!F1325</f>
        <v>8257131.4473512508</v>
      </c>
      <c r="H361" s="101">
        <f t="shared" si="349"/>
        <v>2836708.4205598361</v>
      </c>
      <c r="I361" s="101">
        <f t="shared" si="350"/>
        <v>2674101.9074490941</v>
      </c>
      <c r="J361" s="101">
        <f t="shared" si="351"/>
        <v>2746321.1193423206</v>
      </c>
      <c r="K361" s="101">
        <f t="shared" si="352"/>
        <v>0</v>
      </c>
      <c r="L361" s="101">
        <f t="shared" si="353"/>
        <v>0</v>
      </c>
      <c r="M361" s="101">
        <f t="shared" si="354"/>
        <v>0</v>
      </c>
      <c r="N361" s="101"/>
      <c r="O361" s="101">
        <f t="shared" si="355"/>
        <v>0</v>
      </c>
      <c r="P361" s="101">
        <f t="shared" si="356"/>
        <v>0</v>
      </c>
      <c r="Q361" s="101">
        <f t="shared" si="357"/>
        <v>0</v>
      </c>
      <c r="R361" s="101"/>
      <c r="S361" s="101">
        <f t="shared" si="358"/>
        <v>0</v>
      </c>
      <c r="T361" s="101">
        <f t="shared" si="359"/>
        <v>0</v>
      </c>
      <c r="U361" s="101">
        <f t="shared" si="360"/>
        <v>0</v>
      </c>
      <c r="V361" s="101">
        <f t="shared" si="361"/>
        <v>0</v>
      </c>
      <c r="W361" s="101">
        <f t="shared" si="362"/>
        <v>0</v>
      </c>
      <c r="X361" s="101">
        <f t="shared" si="363"/>
        <v>0</v>
      </c>
      <c r="Y361" s="101">
        <f t="shared" si="364"/>
        <v>0</v>
      </c>
      <c r="Z361" s="101">
        <f t="shared" si="365"/>
        <v>0</v>
      </c>
      <c r="AA361" s="101">
        <f t="shared" si="366"/>
        <v>0</v>
      </c>
      <c r="AB361" s="101">
        <f t="shared" si="367"/>
        <v>0</v>
      </c>
      <c r="AC361" s="101">
        <f t="shared" si="368"/>
        <v>0</v>
      </c>
      <c r="AD361" s="101">
        <f t="shared" si="369"/>
        <v>0</v>
      </c>
      <c r="AE361" s="101"/>
      <c r="AF361" s="101">
        <f t="shared" si="370"/>
        <v>0</v>
      </c>
      <c r="AG361" s="101"/>
      <c r="AH361" s="101">
        <f t="shared" si="371"/>
        <v>0</v>
      </c>
      <c r="AI361" s="101"/>
      <c r="AJ361" s="101">
        <f t="shared" si="372"/>
        <v>0</v>
      </c>
      <c r="AK361" s="101">
        <f t="shared" si="373"/>
        <v>8257131.4473512508</v>
      </c>
      <c r="AL361" s="98" t="str">
        <f t="shared" si="374"/>
        <v>ok</v>
      </c>
    </row>
    <row r="362" spans="1:38" x14ac:dyDescent="0.25">
      <c r="A362" s="97">
        <v>505</v>
      </c>
      <c r="B362" s="97" t="s">
        <v>1557</v>
      </c>
      <c r="C362" s="97" t="s">
        <v>1624</v>
      </c>
      <c r="D362" s="97" t="s">
        <v>734</v>
      </c>
      <c r="F362" s="101">
        <f>'Jurisdictional Study'!F1326</f>
        <v>5890263.7626936706</v>
      </c>
      <c r="H362" s="101">
        <f t="shared" si="349"/>
        <v>2023579.3654843117</v>
      </c>
      <c r="I362" s="101">
        <f t="shared" si="350"/>
        <v>1907583.2404545445</v>
      </c>
      <c r="J362" s="101">
        <f t="shared" si="351"/>
        <v>1959101.1567548143</v>
      </c>
      <c r="K362" s="101">
        <f t="shared" si="352"/>
        <v>0</v>
      </c>
      <c r="L362" s="101">
        <f t="shared" si="353"/>
        <v>0</v>
      </c>
      <c r="M362" s="101">
        <f t="shared" si="354"/>
        <v>0</v>
      </c>
      <c r="N362" s="101"/>
      <c r="O362" s="101">
        <f t="shared" si="355"/>
        <v>0</v>
      </c>
      <c r="P362" s="101">
        <f t="shared" si="356"/>
        <v>0</v>
      </c>
      <c r="Q362" s="101">
        <f t="shared" si="357"/>
        <v>0</v>
      </c>
      <c r="R362" s="101"/>
      <c r="S362" s="101">
        <f t="shared" si="358"/>
        <v>0</v>
      </c>
      <c r="T362" s="101">
        <f t="shared" si="359"/>
        <v>0</v>
      </c>
      <c r="U362" s="101">
        <f t="shared" si="360"/>
        <v>0</v>
      </c>
      <c r="V362" s="101">
        <f t="shared" si="361"/>
        <v>0</v>
      </c>
      <c r="W362" s="101">
        <f t="shared" si="362"/>
        <v>0</v>
      </c>
      <c r="X362" s="101">
        <f t="shared" si="363"/>
        <v>0</v>
      </c>
      <c r="Y362" s="101">
        <f t="shared" si="364"/>
        <v>0</v>
      </c>
      <c r="Z362" s="101">
        <f t="shared" si="365"/>
        <v>0</v>
      </c>
      <c r="AA362" s="101">
        <f t="shared" si="366"/>
        <v>0</v>
      </c>
      <c r="AB362" s="101">
        <f t="shared" si="367"/>
        <v>0</v>
      </c>
      <c r="AC362" s="101">
        <f t="shared" si="368"/>
        <v>0</v>
      </c>
      <c r="AD362" s="101">
        <f t="shared" si="369"/>
        <v>0</v>
      </c>
      <c r="AE362" s="101"/>
      <c r="AF362" s="101">
        <f t="shared" si="370"/>
        <v>0</v>
      </c>
      <c r="AG362" s="101"/>
      <c r="AH362" s="101">
        <f t="shared" si="371"/>
        <v>0</v>
      </c>
      <c r="AI362" s="101"/>
      <c r="AJ362" s="101">
        <f t="shared" si="372"/>
        <v>0</v>
      </c>
      <c r="AK362" s="101">
        <f t="shared" si="373"/>
        <v>5890263.7626936706</v>
      </c>
      <c r="AL362" s="98" t="str">
        <f t="shared" si="374"/>
        <v>ok</v>
      </c>
    </row>
    <row r="363" spans="1:38" x14ac:dyDescent="0.25">
      <c r="A363" s="97">
        <v>506</v>
      </c>
      <c r="B363" s="97" t="s">
        <v>1560</v>
      </c>
      <c r="C363" s="97" t="s">
        <v>1625</v>
      </c>
      <c r="D363" s="97" t="s">
        <v>734</v>
      </c>
      <c r="F363" s="101">
        <f>'Jurisdictional Study'!F1327</f>
        <v>1708295.6629641708</v>
      </c>
      <c r="H363" s="101">
        <f t="shared" si="349"/>
        <v>586878.9570366845</v>
      </c>
      <c r="I363" s="101">
        <f t="shared" si="350"/>
        <v>553237.73394510895</v>
      </c>
      <c r="J363" s="101">
        <f t="shared" si="351"/>
        <v>568178.97198237735</v>
      </c>
      <c r="K363" s="101">
        <f t="shared" si="352"/>
        <v>0</v>
      </c>
      <c r="L363" s="101">
        <f t="shared" si="353"/>
        <v>0</v>
      </c>
      <c r="M363" s="101">
        <f t="shared" si="354"/>
        <v>0</v>
      </c>
      <c r="N363" s="101"/>
      <c r="O363" s="101">
        <f t="shared" si="355"/>
        <v>0</v>
      </c>
      <c r="P363" s="101">
        <f t="shared" si="356"/>
        <v>0</v>
      </c>
      <c r="Q363" s="101">
        <f t="shared" si="357"/>
        <v>0</v>
      </c>
      <c r="R363" s="101"/>
      <c r="S363" s="101">
        <f t="shared" si="358"/>
        <v>0</v>
      </c>
      <c r="T363" s="101">
        <f t="shared" si="359"/>
        <v>0</v>
      </c>
      <c r="U363" s="101">
        <f t="shared" si="360"/>
        <v>0</v>
      </c>
      <c r="V363" s="101">
        <f t="shared" si="361"/>
        <v>0</v>
      </c>
      <c r="W363" s="101">
        <f t="shared" si="362"/>
        <v>0</v>
      </c>
      <c r="X363" s="101">
        <f t="shared" si="363"/>
        <v>0</v>
      </c>
      <c r="Y363" s="101">
        <f t="shared" si="364"/>
        <v>0</v>
      </c>
      <c r="Z363" s="101">
        <f t="shared" si="365"/>
        <v>0</v>
      </c>
      <c r="AA363" s="101">
        <f t="shared" si="366"/>
        <v>0</v>
      </c>
      <c r="AB363" s="101">
        <f t="shared" si="367"/>
        <v>0</v>
      </c>
      <c r="AC363" s="101">
        <f t="shared" si="368"/>
        <v>0</v>
      </c>
      <c r="AD363" s="101">
        <f t="shared" si="369"/>
        <v>0</v>
      </c>
      <c r="AE363" s="101"/>
      <c r="AF363" s="101">
        <f t="shared" si="370"/>
        <v>0</v>
      </c>
      <c r="AG363" s="101"/>
      <c r="AH363" s="101">
        <f t="shared" si="371"/>
        <v>0</v>
      </c>
      <c r="AI363" s="101"/>
      <c r="AJ363" s="101">
        <f t="shared" si="372"/>
        <v>0</v>
      </c>
      <c r="AK363" s="101">
        <f t="shared" si="373"/>
        <v>1708295.6629641708</v>
      </c>
      <c r="AL363" s="98" t="str">
        <f t="shared" si="374"/>
        <v>ok</v>
      </c>
    </row>
    <row r="364" spans="1:38" x14ac:dyDescent="0.25">
      <c r="A364" s="97">
        <v>507</v>
      </c>
      <c r="B364" s="97" t="s">
        <v>372</v>
      </c>
      <c r="C364" s="97" t="s">
        <v>138</v>
      </c>
      <c r="D364" s="97" t="s">
        <v>734</v>
      </c>
      <c r="F364" s="101">
        <v>0</v>
      </c>
      <c r="H364" s="101">
        <f t="shared" si="349"/>
        <v>0</v>
      </c>
      <c r="I364" s="101">
        <f t="shared" si="350"/>
        <v>0</v>
      </c>
      <c r="J364" s="101">
        <f t="shared" si="351"/>
        <v>0</v>
      </c>
      <c r="K364" s="101">
        <f t="shared" si="352"/>
        <v>0</v>
      </c>
      <c r="L364" s="101">
        <f t="shared" si="353"/>
        <v>0</v>
      </c>
      <c r="M364" s="101">
        <f t="shared" si="354"/>
        <v>0</v>
      </c>
      <c r="N364" s="101"/>
      <c r="O364" s="101">
        <f t="shared" si="355"/>
        <v>0</v>
      </c>
      <c r="P364" s="101">
        <f t="shared" si="356"/>
        <v>0</v>
      </c>
      <c r="Q364" s="101">
        <f t="shared" si="357"/>
        <v>0</v>
      </c>
      <c r="R364" s="101"/>
      <c r="S364" s="101">
        <f t="shared" si="358"/>
        <v>0</v>
      </c>
      <c r="T364" s="101">
        <f t="shared" si="359"/>
        <v>0</v>
      </c>
      <c r="U364" s="101">
        <f t="shared" si="360"/>
        <v>0</v>
      </c>
      <c r="V364" s="101">
        <f t="shared" si="361"/>
        <v>0</v>
      </c>
      <c r="W364" s="101">
        <f t="shared" si="362"/>
        <v>0</v>
      </c>
      <c r="X364" s="101">
        <f t="shared" si="363"/>
        <v>0</v>
      </c>
      <c r="Y364" s="101">
        <f t="shared" si="364"/>
        <v>0</v>
      </c>
      <c r="Z364" s="101">
        <f t="shared" si="365"/>
        <v>0</v>
      </c>
      <c r="AA364" s="101">
        <f t="shared" si="366"/>
        <v>0</v>
      </c>
      <c r="AB364" s="101">
        <f t="shared" si="367"/>
        <v>0</v>
      </c>
      <c r="AC364" s="101">
        <f t="shared" si="368"/>
        <v>0</v>
      </c>
      <c r="AD364" s="101">
        <f t="shared" si="369"/>
        <v>0</v>
      </c>
      <c r="AE364" s="101"/>
      <c r="AF364" s="101">
        <f t="shared" si="370"/>
        <v>0</v>
      </c>
      <c r="AG364" s="101"/>
      <c r="AH364" s="101">
        <f t="shared" si="371"/>
        <v>0</v>
      </c>
      <c r="AI364" s="101"/>
      <c r="AJ364" s="101">
        <f t="shared" si="372"/>
        <v>0</v>
      </c>
      <c r="AK364" s="101">
        <f t="shared" si="373"/>
        <v>0</v>
      </c>
      <c r="AL364" s="98" t="str">
        <f t="shared" si="374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1562</v>
      </c>
      <c r="C366" s="97" t="s">
        <v>732</v>
      </c>
      <c r="F366" s="100">
        <f>SUM(F359:F365)</f>
        <v>25550296.796029665</v>
      </c>
      <c r="H366" s="100">
        <f t="shared" ref="H366:M366" si="375">SUM(H359:H365)</f>
        <v>7574661.5410903646</v>
      </c>
      <c r="I366" s="100">
        <f t="shared" si="375"/>
        <v>7140464.8882853985</v>
      </c>
      <c r="J366" s="100">
        <f t="shared" si="375"/>
        <v>7333306.7337463852</v>
      </c>
      <c r="K366" s="100">
        <f t="shared" si="375"/>
        <v>3501863.6329075196</v>
      </c>
      <c r="L366" s="100">
        <f t="shared" si="375"/>
        <v>0</v>
      </c>
      <c r="M366" s="100">
        <f t="shared" si="375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6">SUM(S359:S365)</f>
        <v>0</v>
      </c>
      <c r="T366" s="100">
        <f t="shared" si="376"/>
        <v>0</v>
      </c>
      <c r="U366" s="100">
        <f t="shared" si="376"/>
        <v>0</v>
      </c>
      <c r="V366" s="100">
        <f t="shared" si="376"/>
        <v>0</v>
      </c>
      <c r="W366" s="100">
        <f t="shared" si="376"/>
        <v>0</v>
      </c>
      <c r="X366" s="100">
        <f t="shared" si="376"/>
        <v>0</v>
      </c>
      <c r="Y366" s="100">
        <f t="shared" si="376"/>
        <v>0</v>
      </c>
      <c r="Z366" s="100">
        <f t="shared" si="376"/>
        <v>0</v>
      </c>
      <c r="AA366" s="100">
        <f t="shared" si="376"/>
        <v>0</v>
      </c>
      <c r="AB366" s="100">
        <f t="shared" si="376"/>
        <v>0</v>
      </c>
      <c r="AC366" s="100">
        <f t="shared" si="376"/>
        <v>0</v>
      </c>
      <c r="AD366" s="100">
        <f t="shared" si="376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73"/>
        <v>25550296.796029668</v>
      </c>
      <c r="AL366" s="98" t="str">
        <f t="shared" si="374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1563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585</v>
      </c>
      <c r="C369" s="97" t="s">
        <v>1626</v>
      </c>
      <c r="D369" s="97" t="s">
        <v>743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73"/>
        <v>8497622</v>
      </c>
      <c r="AL369" s="98" t="str">
        <f t="shared" si="374"/>
        <v>ok</v>
      </c>
    </row>
    <row r="370" spans="1:38" x14ac:dyDescent="0.25">
      <c r="A370" s="97">
        <v>511</v>
      </c>
      <c r="B370" s="97" t="s">
        <v>584</v>
      </c>
      <c r="C370" s="97" t="s">
        <v>1627</v>
      </c>
      <c r="D370" s="97" t="s">
        <v>734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73"/>
        <v>1238874.0419501355</v>
      </c>
      <c r="AL370" s="98" t="str">
        <f t="shared" si="374"/>
        <v>ok</v>
      </c>
    </row>
    <row r="371" spans="1:38" x14ac:dyDescent="0.25">
      <c r="A371" s="97">
        <v>512</v>
      </c>
      <c r="B371" s="97" t="s">
        <v>1566</v>
      </c>
      <c r="C371" s="97" t="s">
        <v>1628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73"/>
        <v>9213874.4899729565</v>
      </c>
      <c r="AL371" s="98" t="str">
        <f t="shared" si="374"/>
        <v>ok</v>
      </c>
    </row>
    <row r="372" spans="1:38" x14ac:dyDescent="0.25">
      <c r="A372" s="97">
        <v>513</v>
      </c>
      <c r="B372" s="97" t="s">
        <v>1567</v>
      </c>
      <c r="C372" s="97" t="s">
        <v>1629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73"/>
        <v>1992105.4662811111</v>
      </c>
      <c r="AL372" s="98" t="str">
        <f t="shared" si="374"/>
        <v>ok</v>
      </c>
    </row>
    <row r="373" spans="1:38" x14ac:dyDescent="0.25">
      <c r="A373" s="97">
        <v>514</v>
      </c>
      <c r="B373" s="97" t="s">
        <v>1570</v>
      </c>
      <c r="C373" s="97" t="s">
        <v>1630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73"/>
        <v>397543.52902510809</v>
      </c>
      <c r="AL373" s="98" t="str">
        <f t="shared" si="374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1572</v>
      </c>
      <c r="C375" s="97" t="s">
        <v>1040</v>
      </c>
      <c r="F375" s="100">
        <f>SUM(F369:F374)</f>
        <v>21340019.527229313</v>
      </c>
      <c r="H375" s="100">
        <f t="shared" ref="H375:M375" si="377">SUM(H369:H374)</f>
        <v>707231.10985912965</v>
      </c>
      <c r="I375" s="100">
        <f t="shared" si="377"/>
        <v>666691.03041207197</v>
      </c>
      <c r="J375" s="100">
        <f t="shared" si="377"/>
        <v>684696.29066730756</v>
      </c>
      <c r="K375" s="100">
        <f t="shared" si="377"/>
        <v>19281401.096290801</v>
      </c>
      <c r="L375" s="100">
        <f t="shared" si="377"/>
        <v>0</v>
      </c>
      <c r="M375" s="100">
        <f t="shared" si="377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8">SUM(S369:S374)</f>
        <v>0</v>
      </c>
      <c r="T375" s="100">
        <f t="shared" si="378"/>
        <v>0</v>
      </c>
      <c r="U375" s="100">
        <f t="shared" si="378"/>
        <v>0</v>
      </c>
      <c r="V375" s="100">
        <f t="shared" si="378"/>
        <v>0</v>
      </c>
      <c r="W375" s="100">
        <f t="shared" si="378"/>
        <v>0</v>
      </c>
      <c r="X375" s="100">
        <f t="shared" si="378"/>
        <v>0</v>
      </c>
      <c r="Y375" s="100">
        <f t="shared" si="378"/>
        <v>0</v>
      </c>
      <c r="Z375" s="100">
        <f t="shared" si="378"/>
        <v>0</v>
      </c>
      <c r="AA375" s="100">
        <f t="shared" si="378"/>
        <v>0</v>
      </c>
      <c r="AB375" s="100">
        <f t="shared" si="378"/>
        <v>0</v>
      </c>
      <c r="AC375" s="100">
        <f t="shared" si="378"/>
        <v>0</v>
      </c>
      <c r="AD375" s="100">
        <f t="shared" si="378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73"/>
        <v>21340019.527229309</v>
      </c>
      <c r="AL375" s="98" t="str">
        <f t="shared" si="374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1573</v>
      </c>
      <c r="F377" s="100">
        <f>F366+F375</f>
        <v>46890316.323258981</v>
      </c>
      <c r="H377" s="100">
        <f t="shared" ref="H377:M377" si="379">H366+H375</f>
        <v>8281892.650949494</v>
      </c>
      <c r="I377" s="100">
        <f t="shared" si="379"/>
        <v>7807155.9186974708</v>
      </c>
      <c r="J377" s="100">
        <f t="shared" si="379"/>
        <v>8018003.0244136928</v>
      </c>
      <c r="K377" s="100">
        <f t="shared" si="379"/>
        <v>22783264.729198322</v>
      </c>
      <c r="L377" s="100">
        <f t="shared" si="379"/>
        <v>0</v>
      </c>
      <c r="M377" s="100">
        <f t="shared" si="379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80">S366+S375</f>
        <v>0</v>
      </c>
      <c r="T377" s="100">
        <f t="shared" si="380"/>
        <v>0</v>
      </c>
      <c r="U377" s="100">
        <f t="shared" si="380"/>
        <v>0</v>
      </c>
      <c r="V377" s="100">
        <f t="shared" si="380"/>
        <v>0</v>
      </c>
      <c r="W377" s="100">
        <f t="shared" si="380"/>
        <v>0</v>
      </c>
      <c r="X377" s="100">
        <f t="shared" si="380"/>
        <v>0</v>
      </c>
      <c r="Y377" s="100">
        <f t="shared" si="380"/>
        <v>0</v>
      </c>
      <c r="Z377" s="100">
        <f t="shared" si="380"/>
        <v>0</v>
      </c>
      <c r="AA377" s="100">
        <f t="shared" si="380"/>
        <v>0</v>
      </c>
      <c r="AB377" s="100">
        <f t="shared" si="380"/>
        <v>0</v>
      </c>
      <c r="AC377" s="100">
        <f t="shared" si="380"/>
        <v>0</v>
      </c>
      <c r="AD377" s="100">
        <f t="shared" si="380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73"/>
        <v>46890316.323258981</v>
      </c>
      <c r="AL377" s="98" t="str">
        <f t="shared" si="374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1663</v>
      </c>
      <c r="Y379" s="97"/>
      <c r="AL379" s="98"/>
    </row>
    <row r="380" spans="1:38" x14ac:dyDescent="0.25">
      <c r="A380" s="112">
        <v>535</v>
      </c>
      <c r="B380" s="97" t="s">
        <v>1551</v>
      </c>
      <c r="C380" s="97" t="s">
        <v>1812</v>
      </c>
      <c r="D380" s="97" t="s">
        <v>744</v>
      </c>
      <c r="F380" s="100">
        <f>'Jurisdictional Study'!F1331</f>
        <v>0</v>
      </c>
      <c r="H380" s="101">
        <f t="shared" ref="H380:H385" si="381">IF(VLOOKUP($D380,$C$5:$AJ$644,6,)=0,0,((VLOOKUP($D380,$C$5:$AJ$644,6,)/VLOOKUP($D380,$C$5:$AJ$644,4,))*$F380))</f>
        <v>0</v>
      </c>
      <c r="I380" s="101">
        <f t="shared" ref="I380:I385" si="382">IF(VLOOKUP($D380,$C$5:$AJ$644,7,)=0,0,((VLOOKUP($D380,$C$5:$AJ$644,7,)/VLOOKUP($D380,$C$5:$AJ$644,4,))*$F380))</f>
        <v>0</v>
      </c>
      <c r="J380" s="101">
        <f t="shared" ref="J380:J385" si="383">IF(VLOOKUP($D380,$C$5:$AJ$644,8,)=0,0,((VLOOKUP($D380,$C$5:$AJ$644,8,)/VLOOKUP($D380,$C$5:$AJ$644,4,))*$F380))</f>
        <v>0</v>
      </c>
      <c r="K380" s="101">
        <f t="shared" ref="K380:K385" si="384">IF(VLOOKUP($D380,$C$5:$AJ$644,9,)=0,0,((VLOOKUP($D380,$C$5:$AJ$644,9,)/VLOOKUP($D380,$C$5:$AJ$644,4,))*$F380))</f>
        <v>0</v>
      </c>
      <c r="L380" s="101">
        <f t="shared" ref="L380:L385" si="385">IF(VLOOKUP($D380,$C$5:$AJ$644,10,)=0,0,((VLOOKUP($D380,$C$5:$AJ$644,10,)/VLOOKUP($D380,$C$5:$AJ$644,4,))*$F380))</f>
        <v>0</v>
      </c>
      <c r="M380" s="101">
        <f t="shared" ref="M380:M385" si="386">IF(VLOOKUP($D380,$C$5:$AJ$644,11,)=0,0,((VLOOKUP($D380,$C$5:$AJ$644,11,)/VLOOKUP($D380,$C$5:$AJ$644,4,))*$F380))</f>
        <v>0</v>
      </c>
      <c r="N380" s="101"/>
      <c r="O380" s="101">
        <f t="shared" ref="O380:O385" si="387">IF(VLOOKUP($D380,$C$5:$AJ$644,13,)=0,0,((VLOOKUP($D380,$C$5:$AJ$644,13,)/VLOOKUP($D380,$C$5:$AJ$644,4,))*$F380))</f>
        <v>0</v>
      </c>
      <c r="P380" s="101">
        <f t="shared" ref="P380:P385" si="388">IF(VLOOKUP($D380,$C$5:$AJ$644,14,)=0,0,((VLOOKUP($D380,$C$5:$AJ$644,14,)/VLOOKUP($D380,$C$5:$AJ$644,4,))*$F380))</f>
        <v>0</v>
      </c>
      <c r="Q380" s="101">
        <f t="shared" ref="Q380:Q385" si="389">IF(VLOOKUP($D380,$C$5:$AJ$644,15,)=0,0,((VLOOKUP($D380,$C$5:$AJ$644,15,)/VLOOKUP($D380,$C$5:$AJ$644,4,))*$F380))</f>
        <v>0</v>
      </c>
      <c r="R380" s="101"/>
      <c r="S380" s="101">
        <f t="shared" ref="S380:S385" si="390">IF(VLOOKUP($D380,$C$5:$AJ$644,17,)=0,0,((VLOOKUP($D380,$C$5:$AJ$644,17,)/VLOOKUP($D380,$C$5:$AJ$644,4,))*$F380))</f>
        <v>0</v>
      </c>
      <c r="T380" s="101">
        <f t="shared" ref="T380:T385" si="391">IF(VLOOKUP($D380,$C$5:$AJ$644,18,)=0,0,((VLOOKUP($D380,$C$5:$AJ$644,18,)/VLOOKUP($D380,$C$5:$AJ$644,4,))*$F380))</f>
        <v>0</v>
      </c>
      <c r="U380" s="101">
        <f t="shared" ref="U380:U385" si="392">IF(VLOOKUP($D380,$C$5:$AJ$644,19,)=0,0,((VLOOKUP($D380,$C$5:$AJ$644,19,)/VLOOKUP($D380,$C$5:$AJ$644,4,))*$F380))</f>
        <v>0</v>
      </c>
      <c r="V380" s="101">
        <f t="shared" ref="V380:V385" si="393">IF(VLOOKUP($D380,$C$5:$AJ$644,20,)=0,0,((VLOOKUP($D380,$C$5:$AJ$644,20,)/VLOOKUP($D380,$C$5:$AJ$644,4,))*$F380))</f>
        <v>0</v>
      </c>
      <c r="W380" s="101">
        <f t="shared" ref="W380:W385" si="394">IF(VLOOKUP($D380,$C$5:$AJ$644,21,)=0,0,((VLOOKUP($D380,$C$5:$AJ$644,21,)/VLOOKUP($D380,$C$5:$AJ$644,4,))*$F380))</f>
        <v>0</v>
      </c>
      <c r="X380" s="101">
        <f t="shared" ref="X380:X385" si="395">IF(VLOOKUP($D380,$C$5:$AJ$644,22,)=0,0,((VLOOKUP($D380,$C$5:$AJ$644,22,)/VLOOKUP($D380,$C$5:$AJ$644,4,))*$F380))</f>
        <v>0</v>
      </c>
      <c r="Y380" s="101">
        <f t="shared" ref="Y380:Y385" si="396">IF(VLOOKUP($D380,$C$5:$AJ$644,23,)=0,0,((VLOOKUP($D380,$C$5:$AJ$644,23,)/VLOOKUP($D380,$C$5:$AJ$644,4,))*$F380))</f>
        <v>0</v>
      </c>
      <c r="Z380" s="101">
        <f t="shared" ref="Z380:Z385" si="397">IF(VLOOKUP($D380,$C$5:$AJ$644,24,)=0,0,((VLOOKUP($D380,$C$5:$AJ$644,24,)/VLOOKUP($D380,$C$5:$AJ$644,4,))*$F380))</f>
        <v>0</v>
      </c>
      <c r="AA380" s="101">
        <f t="shared" ref="AA380:AA385" si="398">IF(VLOOKUP($D380,$C$5:$AJ$644,25,)=0,0,((VLOOKUP($D380,$C$5:$AJ$644,25,)/VLOOKUP($D380,$C$5:$AJ$644,4,))*$F380))</f>
        <v>0</v>
      </c>
      <c r="AB380" s="101">
        <f t="shared" ref="AB380:AB385" si="399">IF(VLOOKUP($D380,$C$5:$AJ$644,26,)=0,0,((VLOOKUP($D380,$C$5:$AJ$644,26,)/VLOOKUP($D380,$C$5:$AJ$644,4,))*$F380))</f>
        <v>0</v>
      </c>
      <c r="AC380" s="101">
        <f t="shared" ref="AC380:AC385" si="400">IF(VLOOKUP($D380,$C$5:$AJ$644,27,)=0,0,((VLOOKUP($D380,$C$5:$AJ$644,27,)/VLOOKUP($D380,$C$5:$AJ$644,4,))*$F380))</f>
        <v>0</v>
      </c>
      <c r="AD380" s="101">
        <f t="shared" ref="AD380:AD385" si="401">IF(VLOOKUP($D380,$C$5:$AJ$644,28,)=0,0,((VLOOKUP($D380,$C$5:$AJ$644,28,)/VLOOKUP($D380,$C$5:$AJ$644,4,))*$F380))</f>
        <v>0</v>
      </c>
      <c r="AE380" s="101"/>
      <c r="AF380" s="101">
        <f t="shared" ref="AF380:AF385" si="402">IF(VLOOKUP($D380,$C$5:$AJ$644,30,)=0,0,((VLOOKUP($D380,$C$5:$AJ$644,30,)/VLOOKUP($D380,$C$5:$AJ$644,4,))*$F380))</f>
        <v>0</v>
      </c>
      <c r="AG380" s="101"/>
      <c r="AH380" s="101">
        <f t="shared" ref="AH380:AH385" si="403">IF(VLOOKUP($D380,$C$5:$AJ$644,32,)=0,0,((VLOOKUP($D380,$C$5:$AJ$644,32,)/VLOOKUP($D380,$C$5:$AJ$644,4,))*$F380))</f>
        <v>0</v>
      </c>
      <c r="AI380" s="101"/>
      <c r="AJ380" s="101">
        <f t="shared" ref="AJ380:AJ385" si="404">IF(VLOOKUP($D380,$C$5:$AJ$644,34,)=0,0,((VLOOKUP($D380,$C$5:$AJ$644,34,)/VLOOKUP($D380,$C$5:$AJ$644,4,))*$F380))</f>
        <v>0</v>
      </c>
      <c r="AK380" s="101">
        <f t="shared" ref="AK380:AK385" si="405">SUM(H380:AJ380)</f>
        <v>0</v>
      </c>
      <c r="AL380" s="98" t="str">
        <f t="shared" ref="AL380:AL385" si="406">IF(ABS(AK380-F380)&lt;1,"ok","err")</f>
        <v>ok</v>
      </c>
    </row>
    <row r="381" spans="1:38" x14ac:dyDescent="0.25">
      <c r="A381" s="113">
        <v>536</v>
      </c>
      <c r="B381" s="97" t="s">
        <v>1670</v>
      </c>
      <c r="C381" s="97" t="s">
        <v>1813</v>
      </c>
      <c r="D381" s="97" t="s">
        <v>734</v>
      </c>
      <c r="F381" s="101">
        <v>0</v>
      </c>
      <c r="H381" s="101">
        <f t="shared" si="381"/>
        <v>0</v>
      </c>
      <c r="I381" s="101">
        <f t="shared" si="382"/>
        <v>0</v>
      </c>
      <c r="J381" s="101">
        <f t="shared" si="383"/>
        <v>0</v>
      </c>
      <c r="K381" s="101">
        <f t="shared" si="384"/>
        <v>0</v>
      </c>
      <c r="L381" s="101">
        <f t="shared" si="385"/>
        <v>0</v>
      </c>
      <c r="M381" s="101">
        <f t="shared" si="386"/>
        <v>0</v>
      </c>
      <c r="N381" s="101"/>
      <c r="O381" s="101">
        <f t="shared" si="387"/>
        <v>0</v>
      </c>
      <c r="P381" s="101">
        <f t="shared" si="388"/>
        <v>0</v>
      </c>
      <c r="Q381" s="101">
        <f t="shared" si="389"/>
        <v>0</v>
      </c>
      <c r="R381" s="101"/>
      <c r="S381" s="101">
        <f t="shared" si="390"/>
        <v>0</v>
      </c>
      <c r="T381" s="101">
        <f t="shared" si="391"/>
        <v>0</v>
      </c>
      <c r="U381" s="101">
        <f t="shared" si="392"/>
        <v>0</v>
      </c>
      <c r="V381" s="101">
        <f t="shared" si="393"/>
        <v>0</v>
      </c>
      <c r="W381" s="101">
        <f t="shared" si="394"/>
        <v>0</v>
      </c>
      <c r="X381" s="101">
        <f t="shared" si="395"/>
        <v>0</v>
      </c>
      <c r="Y381" s="101">
        <f t="shared" si="396"/>
        <v>0</v>
      </c>
      <c r="Z381" s="101">
        <f t="shared" si="397"/>
        <v>0</v>
      </c>
      <c r="AA381" s="101">
        <f t="shared" si="398"/>
        <v>0</v>
      </c>
      <c r="AB381" s="101">
        <f t="shared" si="399"/>
        <v>0</v>
      </c>
      <c r="AC381" s="101">
        <f t="shared" si="400"/>
        <v>0</v>
      </c>
      <c r="AD381" s="101">
        <f t="shared" si="401"/>
        <v>0</v>
      </c>
      <c r="AE381" s="101"/>
      <c r="AF381" s="101">
        <f t="shared" si="402"/>
        <v>0</v>
      </c>
      <c r="AG381" s="101"/>
      <c r="AH381" s="101">
        <f t="shared" si="403"/>
        <v>0</v>
      </c>
      <c r="AI381" s="101"/>
      <c r="AJ381" s="101">
        <f t="shared" si="404"/>
        <v>0</v>
      </c>
      <c r="AK381" s="101">
        <f t="shared" si="405"/>
        <v>0</v>
      </c>
      <c r="AL381" s="98" t="str">
        <f t="shared" si="406"/>
        <v>ok</v>
      </c>
    </row>
    <row r="382" spans="1:38" x14ac:dyDescent="0.25">
      <c r="A382" s="97">
        <v>537</v>
      </c>
      <c r="B382" s="97" t="s">
        <v>1669</v>
      </c>
      <c r="C382" s="97" t="s">
        <v>1814</v>
      </c>
      <c r="D382" s="97" t="s">
        <v>734</v>
      </c>
      <c r="F382" s="101">
        <v>0</v>
      </c>
      <c r="H382" s="101">
        <f t="shared" si="381"/>
        <v>0</v>
      </c>
      <c r="I382" s="101">
        <f t="shared" si="382"/>
        <v>0</v>
      </c>
      <c r="J382" s="101">
        <f t="shared" si="383"/>
        <v>0</v>
      </c>
      <c r="K382" s="101">
        <f t="shared" si="384"/>
        <v>0</v>
      </c>
      <c r="L382" s="101">
        <f t="shared" si="385"/>
        <v>0</v>
      </c>
      <c r="M382" s="101">
        <f t="shared" si="386"/>
        <v>0</v>
      </c>
      <c r="N382" s="101"/>
      <c r="O382" s="101">
        <f t="shared" si="387"/>
        <v>0</v>
      </c>
      <c r="P382" s="101">
        <f t="shared" si="388"/>
        <v>0</v>
      </c>
      <c r="Q382" s="101">
        <f t="shared" si="389"/>
        <v>0</v>
      </c>
      <c r="R382" s="101"/>
      <c r="S382" s="101">
        <f t="shared" si="390"/>
        <v>0</v>
      </c>
      <c r="T382" s="101">
        <f t="shared" si="391"/>
        <v>0</v>
      </c>
      <c r="U382" s="101">
        <f t="shared" si="392"/>
        <v>0</v>
      </c>
      <c r="V382" s="101">
        <f t="shared" si="393"/>
        <v>0</v>
      </c>
      <c r="W382" s="101">
        <f t="shared" si="394"/>
        <v>0</v>
      </c>
      <c r="X382" s="101">
        <f t="shared" si="395"/>
        <v>0</v>
      </c>
      <c r="Y382" s="101">
        <f t="shared" si="396"/>
        <v>0</v>
      </c>
      <c r="Z382" s="101">
        <f t="shared" si="397"/>
        <v>0</v>
      </c>
      <c r="AA382" s="101">
        <f t="shared" si="398"/>
        <v>0</v>
      </c>
      <c r="AB382" s="101">
        <f t="shared" si="399"/>
        <v>0</v>
      </c>
      <c r="AC382" s="101">
        <f t="shared" si="400"/>
        <v>0</v>
      </c>
      <c r="AD382" s="101">
        <f t="shared" si="401"/>
        <v>0</v>
      </c>
      <c r="AE382" s="101"/>
      <c r="AF382" s="101">
        <f t="shared" si="402"/>
        <v>0</v>
      </c>
      <c r="AG382" s="101"/>
      <c r="AH382" s="101">
        <f t="shared" si="403"/>
        <v>0</v>
      </c>
      <c r="AI382" s="101"/>
      <c r="AJ382" s="101">
        <f t="shared" si="404"/>
        <v>0</v>
      </c>
      <c r="AK382" s="101">
        <f t="shared" si="405"/>
        <v>0</v>
      </c>
      <c r="AL382" s="98" t="str">
        <f t="shared" si="406"/>
        <v>ok</v>
      </c>
    </row>
    <row r="383" spans="1:38" x14ac:dyDescent="0.25">
      <c r="A383" s="111">
        <v>538</v>
      </c>
      <c r="B383" s="97" t="s">
        <v>1557</v>
      </c>
      <c r="C383" s="97" t="s">
        <v>1815</v>
      </c>
      <c r="D383" s="97" t="s">
        <v>734</v>
      </c>
      <c r="F383" s="101">
        <f>'Jurisdictional Study'!F1332</f>
        <v>0</v>
      </c>
      <c r="H383" s="101">
        <f t="shared" si="381"/>
        <v>0</v>
      </c>
      <c r="I383" s="101">
        <f t="shared" si="382"/>
        <v>0</v>
      </c>
      <c r="J383" s="101">
        <f t="shared" si="383"/>
        <v>0</v>
      </c>
      <c r="K383" s="101">
        <f t="shared" si="384"/>
        <v>0</v>
      </c>
      <c r="L383" s="101">
        <f t="shared" si="385"/>
        <v>0</v>
      </c>
      <c r="M383" s="101">
        <f t="shared" si="386"/>
        <v>0</v>
      </c>
      <c r="N383" s="101"/>
      <c r="O383" s="101">
        <f t="shared" si="387"/>
        <v>0</v>
      </c>
      <c r="P383" s="101">
        <f t="shared" si="388"/>
        <v>0</v>
      </c>
      <c r="Q383" s="101">
        <f t="shared" si="389"/>
        <v>0</v>
      </c>
      <c r="R383" s="101"/>
      <c r="S383" s="101">
        <f t="shared" si="390"/>
        <v>0</v>
      </c>
      <c r="T383" s="101">
        <f t="shared" si="391"/>
        <v>0</v>
      </c>
      <c r="U383" s="101">
        <f t="shared" si="392"/>
        <v>0</v>
      </c>
      <c r="V383" s="101">
        <f t="shared" si="393"/>
        <v>0</v>
      </c>
      <c r="W383" s="101">
        <f t="shared" si="394"/>
        <v>0</v>
      </c>
      <c r="X383" s="101">
        <f t="shared" si="395"/>
        <v>0</v>
      </c>
      <c r="Y383" s="101">
        <f t="shared" si="396"/>
        <v>0</v>
      </c>
      <c r="Z383" s="101">
        <f t="shared" si="397"/>
        <v>0</v>
      </c>
      <c r="AA383" s="101">
        <f t="shared" si="398"/>
        <v>0</v>
      </c>
      <c r="AB383" s="101">
        <f t="shared" si="399"/>
        <v>0</v>
      </c>
      <c r="AC383" s="101">
        <f t="shared" si="400"/>
        <v>0</v>
      </c>
      <c r="AD383" s="101">
        <f t="shared" si="401"/>
        <v>0</v>
      </c>
      <c r="AE383" s="101"/>
      <c r="AF383" s="101">
        <f t="shared" si="402"/>
        <v>0</v>
      </c>
      <c r="AG383" s="101"/>
      <c r="AH383" s="101">
        <f t="shared" si="403"/>
        <v>0</v>
      </c>
      <c r="AI383" s="101"/>
      <c r="AJ383" s="101">
        <f t="shared" si="404"/>
        <v>0</v>
      </c>
      <c r="AK383" s="101">
        <f t="shared" si="405"/>
        <v>0</v>
      </c>
      <c r="AL383" s="98" t="str">
        <f t="shared" si="406"/>
        <v>ok</v>
      </c>
    </row>
    <row r="384" spans="1:38" x14ac:dyDescent="0.25">
      <c r="A384" s="97">
        <v>539</v>
      </c>
      <c r="B384" s="97" t="s">
        <v>674</v>
      </c>
      <c r="C384" s="97" t="s">
        <v>1816</v>
      </c>
      <c r="D384" s="97" t="s">
        <v>734</v>
      </c>
      <c r="F384" s="101">
        <f>'Jurisdictional Study'!F1333</f>
        <v>0</v>
      </c>
      <c r="H384" s="101">
        <f t="shared" si="381"/>
        <v>0</v>
      </c>
      <c r="I384" s="101">
        <f t="shared" si="382"/>
        <v>0</v>
      </c>
      <c r="J384" s="101">
        <f t="shared" si="383"/>
        <v>0</v>
      </c>
      <c r="K384" s="101">
        <f t="shared" si="384"/>
        <v>0</v>
      </c>
      <c r="L384" s="101">
        <f t="shared" si="385"/>
        <v>0</v>
      </c>
      <c r="M384" s="101">
        <f t="shared" si="386"/>
        <v>0</v>
      </c>
      <c r="N384" s="101"/>
      <c r="O384" s="101">
        <f t="shared" si="387"/>
        <v>0</v>
      </c>
      <c r="P384" s="101">
        <f t="shared" si="388"/>
        <v>0</v>
      </c>
      <c r="Q384" s="101">
        <f t="shared" si="389"/>
        <v>0</v>
      </c>
      <c r="R384" s="101"/>
      <c r="S384" s="101">
        <f t="shared" si="390"/>
        <v>0</v>
      </c>
      <c r="T384" s="101">
        <f t="shared" si="391"/>
        <v>0</v>
      </c>
      <c r="U384" s="101">
        <f t="shared" si="392"/>
        <v>0</v>
      </c>
      <c r="V384" s="101">
        <f t="shared" si="393"/>
        <v>0</v>
      </c>
      <c r="W384" s="101">
        <f t="shared" si="394"/>
        <v>0</v>
      </c>
      <c r="X384" s="101">
        <f t="shared" si="395"/>
        <v>0</v>
      </c>
      <c r="Y384" s="101">
        <f t="shared" si="396"/>
        <v>0</v>
      </c>
      <c r="Z384" s="101">
        <f t="shared" si="397"/>
        <v>0</v>
      </c>
      <c r="AA384" s="101">
        <f t="shared" si="398"/>
        <v>0</v>
      </c>
      <c r="AB384" s="101">
        <f t="shared" si="399"/>
        <v>0</v>
      </c>
      <c r="AC384" s="101">
        <f t="shared" si="400"/>
        <v>0</v>
      </c>
      <c r="AD384" s="101">
        <f t="shared" si="401"/>
        <v>0</v>
      </c>
      <c r="AE384" s="101"/>
      <c r="AF384" s="101">
        <f t="shared" si="402"/>
        <v>0</v>
      </c>
      <c r="AG384" s="101"/>
      <c r="AH384" s="101">
        <f t="shared" si="403"/>
        <v>0</v>
      </c>
      <c r="AI384" s="101"/>
      <c r="AJ384" s="101">
        <f t="shared" si="404"/>
        <v>0</v>
      </c>
      <c r="AK384" s="101">
        <f t="shared" si="405"/>
        <v>0</v>
      </c>
      <c r="AL384" s="98" t="str">
        <f t="shared" si="406"/>
        <v>ok</v>
      </c>
    </row>
    <row r="385" spans="1:38" x14ac:dyDescent="0.25">
      <c r="A385" s="111">
        <v>540</v>
      </c>
      <c r="B385" s="97" t="s">
        <v>372</v>
      </c>
      <c r="C385" s="97" t="s">
        <v>1817</v>
      </c>
      <c r="D385" s="97" t="s">
        <v>734</v>
      </c>
      <c r="F385" s="101">
        <v>0</v>
      </c>
      <c r="H385" s="101">
        <f t="shared" si="381"/>
        <v>0</v>
      </c>
      <c r="I385" s="101">
        <f t="shared" si="382"/>
        <v>0</v>
      </c>
      <c r="J385" s="101">
        <f t="shared" si="383"/>
        <v>0</v>
      </c>
      <c r="K385" s="101">
        <f t="shared" si="384"/>
        <v>0</v>
      </c>
      <c r="L385" s="101">
        <f t="shared" si="385"/>
        <v>0</v>
      </c>
      <c r="M385" s="101">
        <f t="shared" si="386"/>
        <v>0</v>
      </c>
      <c r="N385" s="101"/>
      <c r="O385" s="101">
        <f t="shared" si="387"/>
        <v>0</v>
      </c>
      <c r="P385" s="101">
        <f t="shared" si="388"/>
        <v>0</v>
      </c>
      <c r="Q385" s="101">
        <f t="shared" si="389"/>
        <v>0</v>
      </c>
      <c r="R385" s="101"/>
      <c r="S385" s="101">
        <f t="shared" si="390"/>
        <v>0</v>
      </c>
      <c r="T385" s="101">
        <f t="shared" si="391"/>
        <v>0</v>
      </c>
      <c r="U385" s="101">
        <f t="shared" si="392"/>
        <v>0</v>
      </c>
      <c r="V385" s="101">
        <f t="shared" si="393"/>
        <v>0</v>
      </c>
      <c r="W385" s="101">
        <f t="shared" si="394"/>
        <v>0</v>
      </c>
      <c r="X385" s="101">
        <f t="shared" si="395"/>
        <v>0</v>
      </c>
      <c r="Y385" s="101">
        <f t="shared" si="396"/>
        <v>0</v>
      </c>
      <c r="Z385" s="101">
        <f t="shared" si="397"/>
        <v>0</v>
      </c>
      <c r="AA385" s="101">
        <f t="shared" si="398"/>
        <v>0</v>
      </c>
      <c r="AB385" s="101">
        <f t="shared" si="399"/>
        <v>0</v>
      </c>
      <c r="AC385" s="101">
        <f t="shared" si="400"/>
        <v>0</v>
      </c>
      <c r="AD385" s="101">
        <f t="shared" si="401"/>
        <v>0</v>
      </c>
      <c r="AE385" s="101"/>
      <c r="AF385" s="101">
        <f t="shared" si="402"/>
        <v>0</v>
      </c>
      <c r="AG385" s="101"/>
      <c r="AH385" s="101">
        <f t="shared" si="403"/>
        <v>0</v>
      </c>
      <c r="AI385" s="101"/>
      <c r="AJ385" s="101">
        <f t="shared" si="404"/>
        <v>0</v>
      </c>
      <c r="AK385" s="101">
        <f t="shared" si="405"/>
        <v>0</v>
      </c>
      <c r="AL385" s="98" t="str">
        <f t="shared" si="406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1666</v>
      </c>
      <c r="C387" s="97" t="s">
        <v>735</v>
      </c>
      <c r="F387" s="100">
        <f>SUM(F380:F386)</f>
        <v>0</v>
      </c>
      <c r="H387" s="100">
        <f t="shared" ref="H387:M387" si="407">SUM(H380:H386)</f>
        <v>0</v>
      </c>
      <c r="I387" s="100">
        <f t="shared" si="407"/>
        <v>0</v>
      </c>
      <c r="J387" s="100">
        <f t="shared" si="407"/>
        <v>0</v>
      </c>
      <c r="K387" s="100">
        <f t="shared" si="407"/>
        <v>0</v>
      </c>
      <c r="L387" s="100">
        <f t="shared" si="407"/>
        <v>0</v>
      </c>
      <c r="M387" s="100">
        <f t="shared" si="407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8">SUM(S380:S386)</f>
        <v>0</v>
      </c>
      <c r="T387" s="100">
        <f t="shared" si="408"/>
        <v>0</v>
      </c>
      <c r="U387" s="100">
        <f t="shared" si="408"/>
        <v>0</v>
      </c>
      <c r="V387" s="100">
        <f t="shared" si="408"/>
        <v>0</v>
      </c>
      <c r="W387" s="100">
        <f t="shared" si="408"/>
        <v>0</v>
      </c>
      <c r="X387" s="100">
        <f t="shared" si="408"/>
        <v>0</v>
      </c>
      <c r="Y387" s="100">
        <f t="shared" si="408"/>
        <v>0</v>
      </c>
      <c r="Z387" s="100">
        <f t="shared" si="408"/>
        <v>0</v>
      </c>
      <c r="AA387" s="100">
        <f t="shared" si="408"/>
        <v>0</v>
      </c>
      <c r="AB387" s="100">
        <f t="shared" si="408"/>
        <v>0</v>
      </c>
      <c r="AC387" s="100">
        <f t="shared" si="408"/>
        <v>0</v>
      </c>
      <c r="AD387" s="100">
        <f t="shared" si="408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1664</v>
      </c>
      <c r="F389" s="100"/>
      <c r="Y389" s="97"/>
      <c r="AL389" s="98"/>
    </row>
    <row r="390" spans="1:38" x14ac:dyDescent="0.25">
      <c r="A390" s="112">
        <v>541</v>
      </c>
      <c r="B390" s="97" t="s">
        <v>585</v>
      </c>
      <c r="C390" s="97" t="s">
        <v>1818</v>
      </c>
      <c r="D390" s="97" t="s">
        <v>745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584</v>
      </c>
      <c r="C391" s="97" t="s">
        <v>1819</v>
      </c>
      <c r="D391" s="97" t="s">
        <v>734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1665</v>
      </c>
      <c r="C392" s="97" t="s">
        <v>1820</v>
      </c>
      <c r="D392" s="97" t="s">
        <v>734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1567</v>
      </c>
      <c r="C393" s="97" t="s">
        <v>1821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1671</v>
      </c>
      <c r="C394" s="97" t="s">
        <v>1822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1668</v>
      </c>
      <c r="C396" s="97" t="s">
        <v>736</v>
      </c>
      <c r="F396" s="100">
        <f>SUM(F390:F395)</f>
        <v>213876.6313868115</v>
      </c>
      <c r="H396" s="100">
        <f t="shared" ref="H396:M396" si="409">SUM(H390:H395)</f>
        <v>73476.563269507024</v>
      </c>
      <c r="I396" s="100">
        <f t="shared" si="409"/>
        <v>69264.721240900704</v>
      </c>
      <c r="J396" s="100">
        <f t="shared" si="409"/>
        <v>71135.346876403753</v>
      </c>
      <c r="K396" s="100">
        <f t="shared" si="409"/>
        <v>0</v>
      </c>
      <c r="L396" s="100">
        <f t="shared" si="409"/>
        <v>0</v>
      </c>
      <c r="M396" s="100">
        <f t="shared" si="409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10">SUM(S390:S395)</f>
        <v>0</v>
      </c>
      <c r="T396" s="100">
        <f t="shared" si="410"/>
        <v>0</v>
      </c>
      <c r="U396" s="100">
        <f t="shared" si="410"/>
        <v>0</v>
      </c>
      <c r="V396" s="100">
        <f t="shared" si="410"/>
        <v>0</v>
      </c>
      <c r="W396" s="100">
        <f t="shared" si="410"/>
        <v>0</v>
      </c>
      <c r="X396" s="100">
        <f t="shared" si="410"/>
        <v>0</v>
      </c>
      <c r="Y396" s="100">
        <f t="shared" si="410"/>
        <v>0</v>
      </c>
      <c r="Z396" s="100">
        <f t="shared" si="410"/>
        <v>0</v>
      </c>
      <c r="AA396" s="100">
        <f t="shared" si="410"/>
        <v>0</v>
      </c>
      <c r="AB396" s="100">
        <f t="shared" si="410"/>
        <v>0</v>
      </c>
      <c r="AC396" s="100">
        <f t="shared" si="410"/>
        <v>0</v>
      </c>
      <c r="AD396" s="100">
        <f t="shared" si="410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1667</v>
      </c>
      <c r="F398" s="100">
        <f>F387+F396</f>
        <v>213876.6313868115</v>
      </c>
      <c r="H398" s="100">
        <f t="shared" ref="H398:M398" si="411">H387+H396</f>
        <v>73476.563269507024</v>
      </c>
      <c r="I398" s="100">
        <f t="shared" si="411"/>
        <v>69264.721240900704</v>
      </c>
      <c r="J398" s="100">
        <f t="shared" si="411"/>
        <v>71135.346876403753</v>
      </c>
      <c r="K398" s="100">
        <f t="shared" si="411"/>
        <v>0</v>
      </c>
      <c r="L398" s="100">
        <f t="shared" si="411"/>
        <v>0</v>
      </c>
      <c r="M398" s="100">
        <f t="shared" si="411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12">S387+S396</f>
        <v>0</v>
      </c>
      <c r="T398" s="100">
        <f t="shared" si="412"/>
        <v>0</v>
      </c>
      <c r="U398" s="100">
        <f t="shared" si="412"/>
        <v>0</v>
      </c>
      <c r="V398" s="100">
        <f t="shared" si="412"/>
        <v>0</v>
      </c>
      <c r="W398" s="100">
        <f t="shared" si="412"/>
        <v>0</v>
      </c>
      <c r="X398" s="100">
        <f t="shared" si="412"/>
        <v>0</v>
      </c>
      <c r="Y398" s="100">
        <f t="shared" si="412"/>
        <v>0</v>
      </c>
      <c r="Z398" s="100">
        <f t="shared" si="412"/>
        <v>0</v>
      </c>
      <c r="AA398" s="100">
        <f t="shared" si="412"/>
        <v>0</v>
      </c>
      <c r="AB398" s="100">
        <f t="shared" si="412"/>
        <v>0</v>
      </c>
      <c r="AC398" s="100">
        <f t="shared" si="412"/>
        <v>0</v>
      </c>
      <c r="AD398" s="100">
        <f t="shared" si="412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1574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1551</v>
      </c>
      <c r="C401" s="97" t="s">
        <v>1631</v>
      </c>
      <c r="D401" s="97" t="s">
        <v>734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13">SUM(H401:AJ401)</f>
        <v>848267.98828943609</v>
      </c>
      <c r="AL401" s="98" t="str">
        <f t="shared" ref="AL401:AL407" si="414">IF(ABS(AK401-F401)&lt;1,"ok","err")</f>
        <v>ok</v>
      </c>
    </row>
    <row r="402" spans="1:38" x14ac:dyDescent="0.25">
      <c r="A402" s="97">
        <v>547</v>
      </c>
      <c r="B402" s="97" t="s">
        <v>1553</v>
      </c>
      <c r="C402" s="97" t="s">
        <v>1632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13"/>
        <v>0</v>
      </c>
      <c r="AL402" s="98" t="str">
        <f t="shared" si="414"/>
        <v>ok</v>
      </c>
    </row>
    <row r="403" spans="1:38" x14ac:dyDescent="0.25">
      <c r="A403" s="97">
        <v>548</v>
      </c>
      <c r="B403" s="97" t="s">
        <v>1577</v>
      </c>
      <c r="C403" s="97" t="s">
        <v>1633</v>
      </c>
      <c r="D403" s="97" t="s">
        <v>734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13"/>
        <v>327050.66979425657</v>
      </c>
      <c r="AL403" s="98" t="str">
        <f t="shared" si="414"/>
        <v>ok</v>
      </c>
    </row>
    <row r="404" spans="1:38" x14ac:dyDescent="0.25">
      <c r="A404" s="97">
        <v>549</v>
      </c>
      <c r="B404" s="97" t="s">
        <v>1579</v>
      </c>
      <c r="C404" s="97" t="s">
        <v>1634</v>
      </c>
      <c r="D404" s="97" t="s">
        <v>734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13"/>
        <v>1662761.3567689024</v>
      </c>
      <c r="AL404" s="98" t="str">
        <f t="shared" si="414"/>
        <v>ok</v>
      </c>
    </row>
    <row r="405" spans="1:38" x14ac:dyDescent="0.25">
      <c r="A405" s="97">
        <v>550</v>
      </c>
      <c r="B405" s="97" t="s">
        <v>372</v>
      </c>
      <c r="C405" s="97" t="s">
        <v>1635</v>
      </c>
      <c r="D405" s="97" t="s">
        <v>734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13"/>
        <v>0</v>
      </c>
      <c r="AL405" s="98" t="str">
        <f t="shared" si="414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1582</v>
      </c>
      <c r="C407" s="97" t="s">
        <v>737</v>
      </c>
      <c r="F407" s="100">
        <f>SUM(F401:F406)</f>
        <v>2838080.0148525946</v>
      </c>
      <c r="H407" s="100">
        <f t="shared" ref="H407:M407" si="415">SUM(H401:H406)</f>
        <v>975012.39112979174</v>
      </c>
      <c r="I407" s="100">
        <f t="shared" si="415"/>
        <v>919122.48576895334</v>
      </c>
      <c r="J407" s="100">
        <f t="shared" si="415"/>
        <v>943945.13795384974</v>
      </c>
      <c r="K407" s="100">
        <f t="shared" si="415"/>
        <v>0</v>
      </c>
      <c r="L407" s="100">
        <f t="shared" si="415"/>
        <v>0</v>
      </c>
      <c r="M407" s="100">
        <f t="shared" si="415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6">SUM(S401:S406)</f>
        <v>0</v>
      </c>
      <c r="T407" s="100">
        <f t="shared" si="416"/>
        <v>0</v>
      </c>
      <c r="U407" s="100">
        <f t="shared" si="416"/>
        <v>0</v>
      </c>
      <c r="V407" s="100">
        <f t="shared" si="416"/>
        <v>0</v>
      </c>
      <c r="W407" s="100">
        <f t="shared" si="416"/>
        <v>0</v>
      </c>
      <c r="X407" s="100">
        <f t="shared" si="416"/>
        <v>0</v>
      </c>
      <c r="Y407" s="100">
        <f t="shared" si="416"/>
        <v>0</v>
      </c>
      <c r="Z407" s="100">
        <f t="shared" si="416"/>
        <v>0</v>
      </c>
      <c r="AA407" s="100">
        <f t="shared" si="416"/>
        <v>0</v>
      </c>
      <c r="AB407" s="100">
        <f t="shared" si="416"/>
        <v>0</v>
      </c>
      <c r="AC407" s="100">
        <f t="shared" si="416"/>
        <v>0</v>
      </c>
      <c r="AD407" s="100">
        <f t="shared" si="416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13"/>
        <v>2838080.0148525946</v>
      </c>
      <c r="AL407" s="98" t="str">
        <f t="shared" si="414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1583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585</v>
      </c>
      <c r="C410" s="97" t="s">
        <v>1636</v>
      </c>
      <c r="D410" s="97" t="s">
        <v>734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7">SUM(H410:AJ410)</f>
        <v>201321.65433513024</v>
      </c>
      <c r="AL410" s="98" t="str">
        <f t="shared" ref="AL410:AL417" si="418">IF(ABS(AK410-F410)&lt;1,"ok","err")</f>
        <v>ok</v>
      </c>
    </row>
    <row r="411" spans="1:38" x14ac:dyDescent="0.25">
      <c r="A411" s="97">
        <v>552</v>
      </c>
      <c r="B411" s="97" t="s">
        <v>584</v>
      </c>
      <c r="C411" s="97" t="s">
        <v>1637</v>
      </c>
      <c r="D411" s="97" t="s">
        <v>734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7"/>
        <v>0</v>
      </c>
      <c r="AL411" s="98" t="str">
        <f t="shared" si="418"/>
        <v>ok</v>
      </c>
    </row>
    <row r="412" spans="1:38" x14ac:dyDescent="0.25">
      <c r="A412" s="97">
        <v>553</v>
      </c>
      <c r="B412" s="97" t="s">
        <v>1586</v>
      </c>
      <c r="C412" s="97" t="s">
        <v>1638</v>
      </c>
      <c r="D412" s="97" t="s">
        <v>734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7"/>
        <v>1017670.1209554366</v>
      </c>
      <c r="AL412" s="98" t="str">
        <f t="shared" si="418"/>
        <v>ok</v>
      </c>
    </row>
    <row r="413" spans="1:38" x14ac:dyDescent="0.25">
      <c r="A413" s="97">
        <v>554</v>
      </c>
      <c r="B413" s="97" t="s">
        <v>1588</v>
      </c>
      <c r="C413" s="97" t="s">
        <v>1639</v>
      </c>
      <c r="D413" s="97" t="s">
        <v>734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7"/>
        <v>1600551.1800908926</v>
      </c>
      <c r="AL413" s="98" t="str">
        <f t="shared" si="418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1591</v>
      </c>
      <c r="C415" s="97" t="s">
        <v>217</v>
      </c>
      <c r="F415" s="100">
        <f>SUM(F410:F414)</f>
        <v>2819542.9553814596</v>
      </c>
      <c r="H415" s="100">
        <f t="shared" ref="H415:M415" si="419">SUM(H410:H414)</f>
        <v>968644.04965073522</v>
      </c>
      <c r="I415" s="100">
        <f t="shared" si="419"/>
        <v>913119.19196088857</v>
      </c>
      <c r="J415" s="100">
        <f t="shared" si="419"/>
        <v>937779.71376983565</v>
      </c>
      <c r="K415" s="100">
        <f t="shared" si="419"/>
        <v>0</v>
      </c>
      <c r="L415" s="100">
        <f t="shared" si="419"/>
        <v>0</v>
      </c>
      <c r="M415" s="100">
        <f t="shared" si="419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20">SUM(S410:S414)</f>
        <v>0</v>
      </c>
      <c r="T415" s="100">
        <f t="shared" si="420"/>
        <v>0</v>
      </c>
      <c r="U415" s="100">
        <f t="shared" si="420"/>
        <v>0</v>
      </c>
      <c r="V415" s="100">
        <f t="shared" si="420"/>
        <v>0</v>
      </c>
      <c r="W415" s="100">
        <f t="shared" si="420"/>
        <v>0</v>
      </c>
      <c r="X415" s="100">
        <f t="shared" si="420"/>
        <v>0</v>
      </c>
      <c r="Y415" s="100">
        <f t="shared" si="420"/>
        <v>0</v>
      </c>
      <c r="Z415" s="100">
        <f t="shared" si="420"/>
        <v>0</v>
      </c>
      <c r="AA415" s="100">
        <f t="shared" si="420"/>
        <v>0</v>
      </c>
      <c r="AB415" s="100">
        <f t="shared" si="420"/>
        <v>0</v>
      </c>
      <c r="AC415" s="100">
        <f t="shared" si="420"/>
        <v>0</v>
      </c>
      <c r="AD415" s="100">
        <f t="shared" si="420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7"/>
        <v>2819542.9553814596</v>
      </c>
      <c r="AL415" s="98" t="str">
        <f t="shared" si="418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1590</v>
      </c>
      <c r="F417" s="100">
        <f>F407+F415</f>
        <v>5657622.9702340541</v>
      </c>
      <c r="H417" s="100">
        <f t="shared" ref="H417:M417" si="421">H407+H415</f>
        <v>1943656.440780527</v>
      </c>
      <c r="I417" s="100">
        <f t="shared" si="421"/>
        <v>1832241.6777298418</v>
      </c>
      <c r="J417" s="100">
        <f t="shared" si="421"/>
        <v>1881724.8517236854</v>
      </c>
      <c r="K417" s="100">
        <f t="shared" si="421"/>
        <v>0</v>
      </c>
      <c r="L417" s="100">
        <f t="shared" si="421"/>
        <v>0</v>
      </c>
      <c r="M417" s="100">
        <f t="shared" si="421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22">S407+S415</f>
        <v>0</v>
      </c>
      <c r="T417" s="100">
        <f t="shared" si="422"/>
        <v>0</v>
      </c>
      <c r="U417" s="100">
        <f t="shared" si="422"/>
        <v>0</v>
      </c>
      <c r="V417" s="100">
        <f t="shared" si="422"/>
        <v>0</v>
      </c>
      <c r="W417" s="100">
        <f t="shared" si="422"/>
        <v>0</v>
      </c>
      <c r="X417" s="100">
        <f t="shared" si="422"/>
        <v>0</v>
      </c>
      <c r="Y417" s="100">
        <f t="shared" si="422"/>
        <v>0</v>
      </c>
      <c r="Z417" s="100">
        <f t="shared" si="422"/>
        <v>0</v>
      </c>
      <c r="AA417" s="100">
        <f t="shared" si="422"/>
        <v>0</v>
      </c>
      <c r="AB417" s="100">
        <f t="shared" si="422"/>
        <v>0</v>
      </c>
      <c r="AC417" s="100">
        <f t="shared" si="422"/>
        <v>0</v>
      </c>
      <c r="AD417" s="100">
        <f t="shared" si="422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7"/>
        <v>5657622.9702340541</v>
      </c>
      <c r="AL417" s="98" t="str">
        <f t="shared" si="418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1683</v>
      </c>
      <c r="C419" s="97" t="s">
        <v>1685</v>
      </c>
      <c r="F419" s="100">
        <f>F417+F377+F398</f>
        <v>52761815.924879842</v>
      </c>
      <c r="H419" s="100">
        <f t="shared" ref="H419:M419" si="423">H417+H377+H398</f>
        <v>10299025.654999528</v>
      </c>
      <c r="I419" s="100">
        <f t="shared" si="423"/>
        <v>9708662.3176682126</v>
      </c>
      <c r="J419" s="100">
        <f t="shared" si="423"/>
        <v>9970863.223013781</v>
      </c>
      <c r="K419" s="100">
        <f t="shared" si="423"/>
        <v>22783264.729198322</v>
      </c>
      <c r="L419" s="100">
        <f t="shared" si="423"/>
        <v>0</v>
      </c>
      <c r="M419" s="100">
        <f t="shared" si="423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24">S417+S377+S398</f>
        <v>0</v>
      </c>
      <c r="T419" s="100">
        <f t="shared" si="424"/>
        <v>0</v>
      </c>
      <c r="U419" s="100">
        <f t="shared" si="424"/>
        <v>0</v>
      </c>
      <c r="V419" s="100">
        <f t="shared" si="424"/>
        <v>0</v>
      </c>
      <c r="W419" s="100">
        <f t="shared" si="424"/>
        <v>0</v>
      </c>
      <c r="X419" s="100">
        <f t="shared" si="424"/>
        <v>0</v>
      </c>
      <c r="Y419" s="100">
        <f t="shared" si="424"/>
        <v>0</v>
      </c>
      <c r="Z419" s="100">
        <f t="shared" si="424"/>
        <v>0</v>
      </c>
      <c r="AA419" s="100">
        <f t="shared" si="424"/>
        <v>0</v>
      </c>
      <c r="AB419" s="100">
        <f t="shared" si="424"/>
        <v>0</v>
      </c>
      <c r="AC419" s="100">
        <f t="shared" si="424"/>
        <v>0</v>
      </c>
      <c r="AD419" s="100">
        <f t="shared" si="424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803</v>
      </c>
      <c r="Y421" s="97"/>
      <c r="AL421" s="98"/>
    </row>
    <row r="422" spans="1:38" x14ac:dyDescent="0.25">
      <c r="A422" s="97">
        <v>555</v>
      </c>
      <c r="B422" s="97" t="s">
        <v>480</v>
      </c>
      <c r="C422" s="97" t="s">
        <v>1054</v>
      </c>
      <c r="D422" s="97" t="s">
        <v>804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1600</v>
      </c>
      <c r="C423" s="97" t="s">
        <v>1809</v>
      </c>
      <c r="D423" s="97" t="s">
        <v>734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498</v>
      </c>
      <c r="C424" s="97" t="s">
        <v>999</v>
      </c>
      <c r="D424" s="97" t="s">
        <v>734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1056</v>
      </c>
      <c r="C426" s="97" t="s">
        <v>998</v>
      </c>
      <c r="F426" s="100">
        <f>SUM(F422:F424)</f>
        <v>1829188.5454651404</v>
      </c>
      <c r="G426" s="100"/>
      <c r="H426" s="100">
        <f t="shared" ref="H426:M426" si="425">SUM(H422:H424)</f>
        <v>628411.28093910462</v>
      </c>
      <c r="I426" s="100">
        <f t="shared" si="425"/>
        <v>592389.33153734112</v>
      </c>
      <c r="J426" s="100">
        <f t="shared" si="425"/>
        <v>608387.93298869464</v>
      </c>
      <c r="K426" s="100">
        <f t="shared" si="425"/>
        <v>0</v>
      </c>
      <c r="L426" s="100">
        <f t="shared" si="425"/>
        <v>0</v>
      </c>
      <c r="M426" s="100">
        <f t="shared" si="425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6">SUM(S422:S424)</f>
        <v>0</v>
      </c>
      <c r="T426" s="100">
        <f t="shared" si="426"/>
        <v>0</v>
      </c>
      <c r="U426" s="100">
        <f t="shared" si="426"/>
        <v>0</v>
      </c>
      <c r="V426" s="100">
        <f t="shared" si="426"/>
        <v>0</v>
      </c>
      <c r="W426" s="100">
        <f t="shared" si="426"/>
        <v>0</v>
      </c>
      <c r="X426" s="100">
        <f t="shared" si="426"/>
        <v>0</v>
      </c>
      <c r="Y426" s="100">
        <f t="shared" si="426"/>
        <v>0</v>
      </c>
      <c r="Z426" s="100">
        <f t="shared" si="426"/>
        <v>0</v>
      </c>
      <c r="AA426" s="100">
        <f t="shared" si="426"/>
        <v>0</v>
      </c>
      <c r="AB426" s="100">
        <f t="shared" si="426"/>
        <v>0</v>
      </c>
      <c r="AC426" s="100">
        <f t="shared" si="426"/>
        <v>0</v>
      </c>
      <c r="AD426" s="100">
        <f t="shared" si="426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1058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475</v>
      </c>
      <c r="C429" s="97" t="s">
        <v>1055</v>
      </c>
      <c r="D429" s="97" t="s">
        <v>490</v>
      </c>
      <c r="F429" s="100">
        <f>'Jurisdictional Study'!F1359</f>
        <v>1648654.4511149053</v>
      </c>
      <c r="G429" s="100"/>
      <c r="H429" s="101">
        <f t="shared" ref="H429:H438" si="427">IF(VLOOKUP($D429,$C$5:$AJ$644,6,)=0,0,((VLOOKUP($D429,$C$5:$AJ$644,6,)/VLOOKUP($D429,$C$5:$AJ$644,4,))*$F429))</f>
        <v>0</v>
      </c>
      <c r="I429" s="101">
        <f t="shared" ref="I429:I438" si="428">IF(VLOOKUP($D429,$C$5:$AJ$644,7,)=0,0,((VLOOKUP($D429,$C$5:$AJ$644,7,)/VLOOKUP($D429,$C$5:$AJ$644,4,))*$F429))</f>
        <v>0</v>
      </c>
      <c r="J429" s="101">
        <f t="shared" ref="J429:J438" si="429">IF(VLOOKUP($D429,$C$5:$AJ$644,8,)=0,0,((VLOOKUP($D429,$C$5:$AJ$644,8,)/VLOOKUP($D429,$C$5:$AJ$644,4,))*$F429))</f>
        <v>0</v>
      </c>
      <c r="K429" s="101">
        <f t="shared" ref="K429:K438" si="430">IF(VLOOKUP($D429,$C$5:$AJ$644,9,)=0,0,((VLOOKUP($D429,$C$5:$AJ$644,9,)/VLOOKUP($D429,$C$5:$AJ$644,4,))*$F429))</f>
        <v>0</v>
      </c>
      <c r="L429" s="101">
        <f t="shared" ref="L429:L438" si="431">IF(VLOOKUP($D429,$C$5:$AJ$644,10,)=0,0,((VLOOKUP($D429,$C$5:$AJ$644,10,)/VLOOKUP($D429,$C$5:$AJ$644,4,))*$F429))</f>
        <v>0</v>
      </c>
      <c r="M429" s="101">
        <f t="shared" ref="M429:M438" si="432">IF(VLOOKUP($D429,$C$5:$AJ$644,11,)=0,0,((VLOOKUP($D429,$C$5:$AJ$644,11,)/VLOOKUP($D429,$C$5:$AJ$644,4,))*$F429))</f>
        <v>0</v>
      </c>
      <c r="N429" s="101"/>
      <c r="O429" s="101">
        <f t="shared" ref="O429:O438" si="433">IF(VLOOKUP($D429,$C$5:$AJ$644,13,)=0,0,((VLOOKUP($D429,$C$5:$AJ$644,13,)/VLOOKUP($D429,$C$5:$AJ$644,4,))*$F429))</f>
        <v>1648654.4511149053</v>
      </c>
      <c r="P429" s="101">
        <f t="shared" ref="P429:P438" si="434">IF(VLOOKUP($D429,$C$5:$AJ$644,14,)=0,0,((VLOOKUP($D429,$C$5:$AJ$644,14,)/VLOOKUP($D429,$C$5:$AJ$644,4,))*$F429))</f>
        <v>0</v>
      </c>
      <c r="Q429" s="101">
        <f t="shared" ref="Q429:Q438" si="435">IF(VLOOKUP($D429,$C$5:$AJ$644,15,)=0,0,((VLOOKUP($D429,$C$5:$AJ$644,15,)/VLOOKUP($D429,$C$5:$AJ$644,4,))*$F429))</f>
        <v>0</v>
      </c>
      <c r="R429" s="101"/>
      <c r="S429" s="101">
        <f t="shared" ref="S429:S438" si="436">IF(VLOOKUP($D429,$C$5:$AJ$644,17,)=0,0,((VLOOKUP($D429,$C$5:$AJ$644,17,)/VLOOKUP($D429,$C$5:$AJ$644,4,))*$F429))</f>
        <v>0</v>
      </c>
      <c r="T429" s="101">
        <f t="shared" ref="T429:T438" si="437">IF(VLOOKUP($D429,$C$5:$AJ$644,18,)=0,0,((VLOOKUP($D429,$C$5:$AJ$644,18,)/VLOOKUP($D429,$C$5:$AJ$644,4,))*$F429))</f>
        <v>0</v>
      </c>
      <c r="U429" s="101">
        <f t="shared" ref="U429:U438" si="438">IF(VLOOKUP($D429,$C$5:$AJ$644,19,)=0,0,((VLOOKUP($D429,$C$5:$AJ$644,19,)/VLOOKUP($D429,$C$5:$AJ$644,4,))*$F429))</f>
        <v>0</v>
      </c>
      <c r="V429" s="101">
        <f t="shared" ref="V429:V438" si="439">IF(VLOOKUP($D429,$C$5:$AJ$644,20,)=0,0,((VLOOKUP($D429,$C$5:$AJ$644,20,)/VLOOKUP($D429,$C$5:$AJ$644,4,))*$F429))</f>
        <v>0</v>
      </c>
      <c r="W429" s="101">
        <f t="shared" ref="W429:W438" si="440">IF(VLOOKUP($D429,$C$5:$AJ$644,21,)=0,0,((VLOOKUP($D429,$C$5:$AJ$644,21,)/VLOOKUP($D429,$C$5:$AJ$644,4,))*$F429))</f>
        <v>0</v>
      </c>
      <c r="X429" s="101">
        <f t="shared" ref="X429:X438" si="441">IF(VLOOKUP($D429,$C$5:$AJ$644,22,)=0,0,((VLOOKUP($D429,$C$5:$AJ$644,22,)/VLOOKUP($D429,$C$5:$AJ$644,4,))*$F429))</f>
        <v>0</v>
      </c>
      <c r="Y429" s="101">
        <f t="shared" ref="Y429:Y438" si="442">IF(VLOOKUP($D429,$C$5:$AJ$644,23,)=0,0,((VLOOKUP($D429,$C$5:$AJ$644,23,)/VLOOKUP($D429,$C$5:$AJ$644,4,))*$F429))</f>
        <v>0</v>
      </c>
      <c r="Z429" s="101">
        <f t="shared" ref="Z429:Z438" si="443">IF(VLOOKUP($D429,$C$5:$AJ$644,24,)=0,0,((VLOOKUP($D429,$C$5:$AJ$644,24,)/VLOOKUP($D429,$C$5:$AJ$644,4,))*$F429))</f>
        <v>0</v>
      </c>
      <c r="AA429" s="101">
        <f t="shared" ref="AA429:AA438" si="444">IF(VLOOKUP($D429,$C$5:$AJ$644,25,)=0,0,((VLOOKUP($D429,$C$5:$AJ$644,25,)/VLOOKUP($D429,$C$5:$AJ$644,4,))*$F429))</f>
        <v>0</v>
      </c>
      <c r="AB429" s="101">
        <f t="shared" ref="AB429:AB438" si="445">IF(VLOOKUP($D429,$C$5:$AJ$644,26,)=0,0,((VLOOKUP($D429,$C$5:$AJ$644,26,)/VLOOKUP($D429,$C$5:$AJ$644,4,))*$F429))</f>
        <v>0</v>
      </c>
      <c r="AC429" s="101">
        <f t="shared" ref="AC429:AC438" si="446">IF(VLOOKUP($D429,$C$5:$AJ$644,27,)=0,0,((VLOOKUP($D429,$C$5:$AJ$644,27,)/VLOOKUP($D429,$C$5:$AJ$644,4,))*$F429))</f>
        <v>0</v>
      </c>
      <c r="AD429" s="101">
        <f t="shared" ref="AD429:AD438" si="447">IF(VLOOKUP($D429,$C$5:$AJ$644,28,)=0,0,((VLOOKUP($D429,$C$5:$AJ$644,28,)/VLOOKUP($D429,$C$5:$AJ$644,4,))*$F429))</f>
        <v>0</v>
      </c>
      <c r="AE429" s="101"/>
      <c r="AF429" s="101">
        <f t="shared" ref="AF429:AF438" si="448">IF(VLOOKUP($D429,$C$5:$AJ$644,30,)=0,0,((VLOOKUP($D429,$C$5:$AJ$644,30,)/VLOOKUP($D429,$C$5:$AJ$644,4,))*$F429))</f>
        <v>0</v>
      </c>
      <c r="AG429" s="101"/>
      <c r="AH429" s="101">
        <f t="shared" ref="AH429:AH438" si="449">IF(VLOOKUP($D429,$C$5:$AJ$644,32,)=0,0,((VLOOKUP($D429,$C$5:$AJ$644,32,)/VLOOKUP($D429,$C$5:$AJ$644,4,))*$F429))</f>
        <v>0</v>
      </c>
      <c r="AI429" s="101"/>
      <c r="AJ429" s="101">
        <f t="shared" ref="AJ429:AJ438" si="450">IF(VLOOKUP($D429,$C$5:$AJ$644,34,)=0,0,((VLOOKUP($D429,$C$5:$AJ$644,34,)/VLOOKUP($D429,$C$5:$AJ$644,4,))*$F429))</f>
        <v>0</v>
      </c>
      <c r="AK429" s="101">
        <f t="shared" ref="AK429:AK438" si="451">SUM(H429:AJ429)</f>
        <v>1648654.4511149053</v>
      </c>
      <c r="AL429" s="98" t="str">
        <f t="shared" ref="AL429:AL438" si="452">IF(ABS(AK429-F429)&lt;1,"ok","err")</f>
        <v>ok</v>
      </c>
    </row>
    <row r="430" spans="1:38" x14ac:dyDescent="0.25">
      <c r="A430" s="97">
        <v>561</v>
      </c>
      <c r="B430" s="97" t="s">
        <v>808</v>
      </c>
      <c r="C430" s="97" t="s">
        <v>1000</v>
      </c>
      <c r="D430" s="97" t="s">
        <v>490</v>
      </c>
      <c r="F430" s="101">
        <f>'Jurisdictional Study'!F1360</f>
        <v>3065460.3901622416</v>
      </c>
      <c r="G430" s="100"/>
      <c r="H430" s="101">
        <f t="shared" si="427"/>
        <v>0</v>
      </c>
      <c r="I430" s="101">
        <f t="shared" si="428"/>
        <v>0</v>
      </c>
      <c r="J430" s="101">
        <f t="shared" si="429"/>
        <v>0</v>
      </c>
      <c r="K430" s="101">
        <f t="shared" si="430"/>
        <v>0</v>
      </c>
      <c r="L430" s="101">
        <f t="shared" si="431"/>
        <v>0</v>
      </c>
      <c r="M430" s="101">
        <f t="shared" si="432"/>
        <v>0</v>
      </c>
      <c r="N430" s="101"/>
      <c r="O430" s="101">
        <f t="shared" si="433"/>
        <v>3065460.3901622416</v>
      </c>
      <c r="P430" s="101">
        <f t="shared" si="434"/>
        <v>0</v>
      </c>
      <c r="Q430" s="101">
        <f t="shared" si="435"/>
        <v>0</v>
      </c>
      <c r="R430" s="101"/>
      <c r="S430" s="101">
        <f t="shared" si="436"/>
        <v>0</v>
      </c>
      <c r="T430" s="101">
        <f t="shared" si="437"/>
        <v>0</v>
      </c>
      <c r="U430" s="101">
        <f t="shared" si="438"/>
        <v>0</v>
      </c>
      <c r="V430" s="101">
        <f t="shared" si="439"/>
        <v>0</v>
      </c>
      <c r="W430" s="101">
        <f t="shared" si="440"/>
        <v>0</v>
      </c>
      <c r="X430" s="101">
        <f t="shared" si="441"/>
        <v>0</v>
      </c>
      <c r="Y430" s="101">
        <f t="shared" si="442"/>
        <v>0</v>
      </c>
      <c r="Z430" s="101">
        <f t="shared" si="443"/>
        <v>0</v>
      </c>
      <c r="AA430" s="101">
        <f t="shared" si="444"/>
        <v>0</v>
      </c>
      <c r="AB430" s="101">
        <f t="shared" si="445"/>
        <v>0</v>
      </c>
      <c r="AC430" s="101">
        <f t="shared" si="446"/>
        <v>0</v>
      </c>
      <c r="AD430" s="101">
        <f t="shared" si="447"/>
        <v>0</v>
      </c>
      <c r="AE430" s="101"/>
      <c r="AF430" s="101">
        <f t="shared" si="448"/>
        <v>0</v>
      </c>
      <c r="AG430" s="101"/>
      <c r="AH430" s="101">
        <f t="shared" si="449"/>
        <v>0</v>
      </c>
      <c r="AI430" s="101"/>
      <c r="AJ430" s="101">
        <f t="shared" si="450"/>
        <v>0</v>
      </c>
      <c r="AK430" s="101">
        <f t="shared" si="451"/>
        <v>3065460.3901622416</v>
      </c>
      <c r="AL430" s="98" t="str">
        <f t="shared" si="452"/>
        <v>ok</v>
      </c>
    </row>
    <row r="431" spans="1:38" x14ac:dyDescent="0.25">
      <c r="A431" s="97">
        <v>562</v>
      </c>
      <c r="B431" s="97" t="s">
        <v>473</v>
      </c>
      <c r="C431" s="97" t="s">
        <v>1001</v>
      </c>
      <c r="D431" s="97" t="s">
        <v>490</v>
      </c>
      <c r="F431" s="101">
        <f>'Jurisdictional Study'!F1361</f>
        <v>505134.89586892055</v>
      </c>
      <c r="G431" s="100"/>
      <c r="H431" s="101">
        <f t="shared" si="427"/>
        <v>0</v>
      </c>
      <c r="I431" s="101">
        <f t="shared" si="428"/>
        <v>0</v>
      </c>
      <c r="J431" s="101">
        <f t="shared" si="429"/>
        <v>0</v>
      </c>
      <c r="K431" s="101">
        <f t="shared" si="430"/>
        <v>0</v>
      </c>
      <c r="L431" s="101">
        <f t="shared" si="431"/>
        <v>0</v>
      </c>
      <c r="M431" s="101">
        <f t="shared" si="432"/>
        <v>0</v>
      </c>
      <c r="N431" s="101"/>
      <c r="O431" s="101">
        <f t="shared" si="433"/>
        <v>505134.89586892055</v>
      </c>
      <c r="P431" s="101">
        <f t="shared" si="434"/>
        <v>0</v>
      </c>
      <c r="Q431" s="101">
        <f t="shared" si="435"/>
        <v>0</v>
      </c>
      <c r="R431" s="101"/>
      <c r="S431" s="101">
        <f t="shared" si="436"/>
        <v>0</v>
      </c>
      <c r="T431" s="101">
        <f t="shared" si="437"/>
        <v>0</v>
      </c>
      <c r="U431" s="101">
        <f t="shared" si="438"/>
        <v>0</v>
      </c>
      <c r="V431" s="101">
        <f t="shared" si="439"/>
        <v>0</v>
      </c>
      <c r="W431" s="101">
        <f t="shared" si="440"/>
        <v>0</v>
      </c>
      <c r="X431" s="101">
        <f t="shared" si="441"/>
        <v>0</v>
      </c>
      <c r="Y431" s="101">
        <f t="shared" si="442"/>
        <v>0</v>
      </c>
      <c r="Z431" s="101">
        <f t="shared" si="443"/>
        <v>0</v>
      </c>
      <c r="AA431" s="101">
        <f t="shared" si="444"/>
        <v>0</v>
      </c>
      <c r="AB431" s="101">
        <f t="shared" si="445"/>
        <v>0</v>
      </c>
      <c r="AC431" s="101">
        <f t="shared" si="446"/>
        <v>0</v>
      </c>
      <c r="AD431" s="101">
        <f t="shared" si="447"/>
        <v>0</v>
      </c>
      <c r="AE431" s="101"/>
      <c r="AF431" s="101">
        <f t="shared" si="448"/>
        <v>0</v>
      </c>
      <c r="AG431" s="101"/>
      <c r="AH431" s="101">
        <f t="shared" si="449"/>
        <v>0</v>
      </c>
      <c r="AI431" s="101"/>
      <c r="AJ431" s="101">
        <f t="shared" si="450"/>
        <v>0</v>
      </c>
      <c r="AK431" s="101">
        <f t="shared" si="451"/>
        <v>505134.89586892055</v>
      </c>
      <c r="AL431" s="98" t="str">
        <f t="shared" si="452"/>
        <v>ok</v>
      </c>
    </row>
    <row r="432" spans="1:38" x14ac:dyDescent="0.25">
      <c r="A432" s="97">
        <v>563</v>
      </c>
      <c r="B432" s="97" t="s">
        <v>810</v>
      </c>
      <c r="C432" s="97" t="s">
        <v>1002</v>
      </c>
      <c r="D432" s="97" t="s">
        <v>490</v>
      </c>
      <c r="F432" s="101">
        <f>'Jurisdictional Study'!F1362</f>
        <v>0</v>
      </c>
      <c r="G432" s="100"/>
      <c r="H432" s="101">
        <f t="shared" si="427"/>
        <v>0</v>
      </c>
      <c r="I432" s="101">
        <f t="shared" si="428"/>
        <v>0</v>
      </c>
      <c r="J432" s="101">
        <f t="shared" si="429"/>
        <v>0</v>
      </c>
      <c r="K432" s="101">
        <f t="shared" si="430"/>
        <v>0</v>
      </c>
      <c r="L432" s="101">
        <f t="shared" si="431"/>
        <v>0</v>
      </c>
      <c r="M432" s="101">
        <f t="shared" si="432"/>
        <v>0</v>
      </c>
      <c r="N432" s="101"/>
      <c r="O432" s="101">
        <f t="shared" si="433"/>
        <v>0</v>
      </c>
      <c r="P432" s="101">
        <f t="shared" si="434"/>
        <v>0</v>
      </c>
      <c r="Q432" s="101">
        <f t="shared" si="435"/>
        <v>0</v>
      </c>
      <c r="R432" s="101"/>
      <c r="S432" s="101">
        <f t="shared" si="436"/>
        <v>0</v>
      </c>
      <c r="T432" s="101">
        <f t="shared" si="437"/>
        <v>0</v>
      </c>
      <c r="U432" s="101">
        <f t="shared" si="438"/>
        <v>0</v>
      </c>
      <c r="V432" s="101">
        <f t="shared" si="439"/>
        <v>0</v>
      </c>
      <c r="W432" s="101">
        <f t="shared" si="440"/>
        <v>0</v>
      </c>
      <c r="X432" s="101">
        <f t="shared" si="441"/>
        <v>0</v>
      </c>
      <c r="Y432" s="101">
        <f t="shared" si="442"/>
        <v>0</v>
      </c>
      <c r="Z432" s="101">
        <f t="shared" si="443"/>
        <v>0</v>
      </c>
      <c r="AA432" s="101">
        <f t="shared" si="444"/>
        <v>0</v>
      </c>
      <c r="AB432" s="101">
        <f t="shared" si="445"/>
        <v>0</v>
      </c>
      <c r="AC432" s="101">
        <f t="shared" si="446"/>
        <v>0</v>
      </c>
      <c r="AD432" s="101">
        <f t="shared" si="447"/>
        <v>0</v>
      </c>
      <c r="AE432" s="101"/>
      <c r="AF432" s="101">
        <f t="shared" si="448"/>
        <v>0</v>
      </c>
      <c r="AG432" s="101"/>
      <c r="AH432" s="101">
        <f t="shared" si="449"/>
        <v>0</v>
      </c>
      <c r="AI432" s="101"/>
      <c r="AJ432" s="101">
        <f t="shared" si="450"/>
        <v>0</v>
      </c>
      <c r="AK432" s="101">
        <f t="shared" si="451"/>
        <v>0</v>
      </c>
      <c r="AL432" s="98" t="str">
        <f t="shared" si="452"/>
        <v>ok</v>
      </c>
    </row>
    <row r="433" spans="1:38" x14ac:dyDescent="0.25">
      <c r="A433" s="97">
        <v>566</v>
      </c>
      <c r="B433" s="97" t="s">
        <v>874</v>
      </c>
      <c r="C433" s="97" t="s">
        <v>878</v>
      </c>
      <c r="D433" s="97" t="s">
        <v>490</v>
      </c>
      <c r="F433" s="101">
        <f>'Jurisdictional Study'!F1364</f>
        <v>118041.54258528871</v>
      </c>
      <c r="G433" s="100"/>
      <c r="H433" s="101">
        <f t="shared" si="427"/>
        <v>0</v>
      </c>
      <c r="I433" s="101">
        <f t="shared" si="428"/>
        <v>0</v>
      </c>
      <c r="J433" s="101">
        <f t="shared" si="429"/>
        <v>0</v>
      </c>
      <c r="K433" s="101">
        <f t="shared" si="430"/>
        <v>0</v>
      </c>
      <c r="L433" s="101">
        <f t="shared" si="431"/>
        <v>0</v>
      </c>
      <c r="M433" s="101">
        <f t="shared" si="432"/>
        <v>0</v>
      </c>
      <c r="N433" s="101"/>
      <c r="O433" s="101">
        <f t="shared" si="433"/>
        <v>118041.54258528871</v>
      </c>
      <c r="P433" s="101">
        <f t="shared" si="434"/>
        <v>0</v>
      </c>
      <c r="Q433" s="101">
        <f t="shared" si="435"/>
        <v>0</v>
      </c>
      <c r="R433" s="101"/>
      <c r="S433" s="101">
        <f t="shared" si="436"/>
        <v>0</v>
      </c>
      <c r="T433" s="101">
        <f t="shared" si="437"/>
        <v>0</v>
      </c>
      <c r="U433" s="101">
        <f t="shared" si="438"/>
        <v>0</v>
      </c>
      <c r="V433" s="101">
        <f t="shared" si="439"/>
        <v>0</v>
      </c>
      <c r="W433" s="101">
        <f t="shared" si="440"/>
        <v>0</v>
      </c>
      <c r="X433" s="101">
        <f t="shared" si="441"/>
        <v>0</v>
      </c>
      <c r="Y433" s="101">
        <f t="shared" si="442"/>
        <v>0</v>
      </c>
      <c r="Z433" s="101">
        <f t="shared" si="443"/>
        <v>0</v>
      </c>
      <c r="AA433" s="101">
        <f t="shared" si="444"/>
        <v>0</v>
      </c>
      <c r="AB433" s="101">
        <f t="shared" si="445"/>
        <v>0</v>
      </c>
      <c r="AC433" s="101">
        <f t="shared" si="446"/>
        <v>0</v>
      </c>
      <c r="AD433" s="101">
        <f t="shared" si="447"/>
        <v>0</v>
      </c>
      <c r="AE433" s="101"/>
      <c r="AF433" s="101">
        <f t="shared" si="448"/>
        <v>0</v>
      </c>
      <c r="AG433" s="101"/>
      <c r="AH433" s="101">
        <f t="shared" si="449"/>
        <v>0</v>
      </c>
      <c r="AI433" s="101"/>
      <c r="AJ433" s="101">
        <f t="shared" si="450"/>
        <v>0</v>
      </c>
      <c r="AK433" s="101">
        <f t="shared" si="451"/>
        <v>118041.54258528871</v>
      </c>
      <c r="AL433" s="98" t="str">
        <f t="shared" si="452"/>
        <v>ok</v>
      </c>
    </row>
    <row r="434" spans="1:38" x14ac:dyDescent="0.25">
      <c r="A434" s="97">
        <v>568</v>
      </c>
      <c r="B434" s="97" t="s">
        <v>474</v>
      </c>
      <c r="C434" s="97" t="s">
        <v>1003</v>
      </c>
      <c r="D434" s="97" t="s">
        <v>490</v>
      </c>
      <c r="F434" s="101">
        <v>0</v>
      </c>
      <c r="G434" s="100"/>
      <c r="H434" s="101">
        <f t="shared" si="427"/>
        <v>0</v>
      </c>
      <c r="I434" s="101">
        <f t="shared" si="428"/>
        <v>0</v>
      </c>
      <c r="J434" s="101">
        <f t="shared" si="429"/>
        <v>0</v>
      </c>
      <c r="K434" s="101">
        <f t="shared" si="430"/>
        <v>0</v>
      </c>
      <c r="L434" s="101">
        <f t="shared" si="431"/>
        <v>0</v>
      </c>
      <c r="M434" s="101">
        <f t="shared" si="432"/>
        <v>0</v>
      </c>
      <c r="N434" s="101"/>
      <c r="O434" s="101">
        <f t="shared" si="433"/>
        <v>0</v>
      </c>
      <c r="P434" s="101">
        <f t="shared" si="434"/>
        <v>0</v>
      </c>
      <c r="Q434" s="101">
        <f t="shared" si="435"/>
        <v>0</v>
      </c>
      <c r="R434" s="101"/>
      <c r="S434" s="101">
        <f t="shared" si="436"/>
        <v>0</v>
      </c>
      <c r="T434" s="101">
        <f t="shared" si="437"/>
        <v>0</v>
      </c>
      <c r="U434" s="101">
        <f t="shared" si="438"/>
        <v>0</v>
      </c>
      <c r="V434" s="101">
        <f t="shared" si="439"/>
        <v>0</v>
      </c>
      <c r="W434" s="101">
        <f t="shared" si="440"/>
        <v>0</v>
      </c>
      <c r="X434" s="101">
        <f t="shared" si="441"/>
        <v>0</v>
      </c>
      <c r="Y434" s="101">
        <f t="shared" si="442"/>
        <v>0</v>
      </c>
      <c r="Z434" s="101">
        <f t="shared" si="443"/>
        <v>0</v>
      </c>
      <c r="AA434" s="101">
        <f t="shared" si="444"/>
        <v>0</v>
      </c>
      <c r="AB434" s="101">
        <f t="shared" si="445"/>
        <v>0</v>
      </c>
      <c r="AC434" s="101">
        <f t="shared" si="446"/>
        <v>0</v>
      </c>
      <c r="AD434" s="101">
        <f t="shared" si="447"/>
        <v>0</v>
      </c>
      <c r="AE434" s="101"/>
      <c r="AF434" s="101">
        <f t="shared" si="448"/>
        <v>0</v>
      </c>
      <c r="AG434" s="101"/>
      <c r="AH434" s="101">
        <f t="shared" si="449"/>
        <v>0</v>
      </c>
      <c r="AI434" s="101"/>
      <c r="AJ434" s="101">
        <f t="shared" si="450"/>
        <v>0</v>
      </c>
      <c r="AK434" s="101">
        <f t="shared" si="451"/>
        <v>0</v>
      </c>
      <c r="AL434" s="98" t="str">
        <f t="shared" si="452"/>
        <v>ok</v>
      </c>
    </row>
    <row r="435" spans="1:38" x14ac:dyDescent="0.25">
      <c r="A435" s="97">
        <v>570</v>
      </c>
      <c r="B435" s="97" t="s">
        <v>476</v>
      </c>
      <c r="C435" s="97" t="s">
        <v>1004</v>
      </c>
      <c r="D435" s="97" t="s">
        <v>490</v>
      </c>
      <c r="F435" s="101">
        <f>'Jurisdictional Study'!F1367</f>
        <v>937915.11876465706</v>
      </c>
      <c r="G435" s="100"/>
      <c r="H435" s="101">
        <f t="shared" si="427"/>
        <v>0</v>
      </c>
      <c r="I435" s="101">
        <f t="shared" si="428"/>
        <v>0</v>
      </c>
      <c r="J435" s="101">
        <f t="shared" si="429"/>
        <v>0</v>
      </c>
      <c r="K435" s="101">
        <f t="shared" si="430"/>
        <v>0</v>
      </c>
      <c r="L435" s="101">
        <f t="shared" si="431"/>
        <v>0</v>
      </c>
      <c r="M435" s="101">
        <f t="shared" si="432"/>
        <v>0</v>
      </c>
      <c r="N435" s="101"/>
      <c r="O435" s="101">
        <f t="shared" si="433"/>
        <v>937915.11876465706</v>
      </c>
      <c r="P435" s="101">
        <f t="shared" si="434"/>
        <v>0</v>
      </c>
      <c r="Q435" s="101">
        <f t="shared" si="435"/>
        <v>0</v>
      </c>
      <c r="R435" s="101"/>
      <c r="S435" s="101">
        <f t="shared" si="436"/>
        <v>0</v>
      </c>
      <c r="T435" s="101">
        <f t="shared" si="437"/>
        <v>0</v>
      </c>
      <c r="U435" s="101">
        <f t="shared" si="438"/>
        <v>0</v>
      </c>
      <c r="V435" s="101">
        <f t="shared" si="439"/>
        <v>0</v>
      </c>
      <c r="W435" s="101">
        <f t="shared" si="440"/>
        <v>0</v>
      </c>
      <c r="X435" s="101">
        <f t="shared" si="441"/>
        <v>0</v>
      </c>
      <c r="Y435" s="101">
        <f t="shared" si="442"/>
        <v>0</v>
      </c>
      <c r="Z435" s="101">
        <f t="shared" si="443"/>
        <v>0</v>
      </c>
      <c r="AA435" s="101">
        <f t="shared" si="444"/>
        <v>0</v>
      </c>
      <c r="AB435" s="101">
        <f t="shared" si="445"/>
        <v>0</v>
      </c>
      <c r="AC435" s="101">
        <f t="shared" si="446"/>
        <v>0</v>
      </c>
      <c r="AD435" s="101">
        <f t="shared" si="447"/>
        <v>0</v>
      </c>
      <c r="AE435" s="101"/>
      <c r="AF435" s="101">
        <f t="shared" si="448"/>
        <v>0</v>
      </c>
      <c r="AG435" s="101"/>
      <c r="AH435" s="101">
        <f t="shared" si="449"/>
        <v>0</v>
      </c>
      <c r="AI435" s="101"/>
      <c r="AJ435" s="101">
        <f t="shared" si="450"/>
        <v>0</v>
      </c>
      <c r="AK435" s="101">
        <f t="shared" si="451"/>
        <v>937915.11876465706</v>
      </c>
      <c r="AL435" s="98" t="str">
        <f t="shared" si="452"/>
        <v>ok</v>
      </c>
    </row>
    <row r="436" spans="1:38" x14ac:dyDescent="0.25">
      <c r="A436" s="97">
        <v>571</v>
      </c>
      <c r="B436" s="97" t="s">
        <v>477</v>
      </c>
      <c r="C436" s="97" t="s">
        <v>1005</v>
      </c>
      <c r="D436" s="97" t="s">
        <v>490</v>
      </c>
      <c r="F436" s="101">
        <f>'Jurisdictional Study'!F1368</f>
        <v>466792.94153682649</v>
      </c>
      <c r="G436" s="100"/>
      <c r="H436" s="101">
        <f t="shared" si="427"/>
        <v>0</v>
      </c>
      <c r="I436" s="101">
        <f t="shared" si="428"/>
        <v>0</v>
      </c>
      <c r="J436" s="101">
        <f t="shared" si="429"/>
        <v>0</v>
      </c>
      <c r="K436" s="101">
        <f t="shared" si="430"/>
        <v>0</v>
      </c>
      <c r="L436" s="101">
        <f t="shared" si="431"/>
        <v>0</v>
      </c>
      <c r="M436" s="101">
        <f t="shared" si="432"/>
        <v>0</v>
      </c>
      <c r="N436" s="101"/>
      <c r="O436" s="101">
        <f t="shared" si="433"/>
        <v>466792.94153682649</v>
      </c>
      <c r="P436" s="101">
        <f t="shared" si="434"/>
        <v>0</v>
      </c>
      <c r="Q436" s="101">
        <f t="shared" si="435"/>
        <v>0</v>
      </c>
      <c r="R436" s="101"/>
      <c r="S436" s="101">
        <f t="shared" si="436"/>
        <v>0</v>
      </c>
      <c r="T436" s="101">
        <f t="shared" si="437"/>
        <v>0</v>
      </c>
      <c r="U436" s="101">
        <f t="shared" si="438"/>
        <v>0</v>
      </c>
      <c r="V436" s="101">
        <f t="shared" si="439"/>
        <v>0</v>
      </c>
      <c r="W436" s="101">
        <f t="shared" si="440"/>
        <v>0</v>
      </c>
      <c r="X436" s="101">
        <f t="shared" si="441"/>
        <v>0</v>
      </c>
      <c r="Y436" s="101">
        <f t="shared" si="442"/>
        <v>0</v>
      </c>
      <c r="Z436" s="101">
        <f t="shared" si="443"/>
        <v>0</v>
      </c>
      <c r="AA436" s="101">
        <f t="shared" si="444"/>
        <v>0</v>
      </c>
      <c r="AB436" s="101">
        <f t="shared" si="445"/>
        <v>0</v>
      </c>
      <c r="AC436" s="101">
        <f t="shared" si="446"/>
        <v>0</v>
      </c>
      <c r="AD436" s="101">
        <f t="shared" si="447"/>
        <v>0</v>
      </c>
      <c r="AE436" s="101"/>
      <c r="AF436" s="101">
        <f t="shared" si="448"/>
        <v>0</v>
      </c>
      <c r="AG436" s="101"/>
      <c r="AH436" s="101">
        <f t="shared" si="449"/>
        <v>0</v>
      </c>
      <c r="AI436" s="101"/>
      <c r="AJ436" s="101">
        <f t="shared" si="450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1608</v>
      </c>
      <c r="C437" s="97" t="s">
        <v>1823</v>
      </c>
      <c r="D437" s="97" t="s">
        <v>490</v>
      </c>
      <c r="F437" s="101">
        <f>'Jurisdictional Study'!F1369</f>
        <v>0</v>
      </c>
      <c r="G437" s="100"/>
      <c r="H437" s="101">
        <f t="shared" si="427"/>
        <v>0</v>
      </c>
      <c r="I437" s="101">
        <f t="shared" si="428"/>
        <v>0</v>
      </c>
      <c r="J437" s="101">
        <f t="shared" si="429"/>
        <v>0</v>
      </c>
      <c r="K437" s="101">
        <f t="shared" si="430"/>
        <v>0</v>
      </c>
      <c r="L437" s="101">
        <f t="shared" si="431"/>
        <v>0</v>
      </c>
      <c r="M437" s="101">
        <f t="shared" si="432"/>
        <v>0</v>
      </c>
      <c r="N437" s="101"/>
      <c r="O437" s="101">
        <f t="shared" si="433"/>
        <v>0</v>
      </c>
      <c r="P437" s="101">
        <f t="shared" si="434"/>
        <v>0</v>
      </c>
      <c r="Q437" s="101">
        <f t="shared" si="435"/>
        <v>0</v>
      </c>
      <c r="R437" s="101"/>
      <c r="S437" s="101">
        <f t="shared" si="436"/>
        <v>0</v>
      </c>
      <c r="T437" s="101">
        <f t="shared" si="437"/>
        <v>0</v>
      </c>
      <c r="U437" s="101">
        <f t="shared" si="438"/>
        <v>0</v>
      </c>
      <c r="V437" s="101">
        <f t="shared" si="439"/>
        <v>0</v>
      </c>
      <c r="W437" s="101">
        <f t="shared" si="440"/>
        <v>0</v>
      </c>
      <c r="X437" s="101">
        <f t="shared" si="441"/>
        <v>0</v>
      </c>
      <c r="Y437" s="101">
        <f t="shared" si="442"/>
        <v>0</v>
      </c>
      <c r="Z437" s="101">
        <f t="shared" si="443"/>
        <v>0</v>
      </c>
      <c r="AA437" s="101">
        <f t="shared" si="444"/>
        <v>0</v>
      </c>
      <c r="AB437" s="101">
        <f t="shared" si="445"/>
        <v>0</v>
      </c>
      <c r="AC437" s="101">
        <f t="shared" si="446"/>
        <v>0</v>
      </c>
      <c r="AD437" s="101">
        <f t="shared" si="447"/>
        <v>0</v>
      </c>
      <c r="AE437" s="101"/>
      <c r="AF437" s="101">
        <f t="shared" si="448"/>
        <v>0</v>
      </c>
      <c r="AG437" s="101"/>
      <c r="AH437" s="101">
        <f t="shared" si="449"/>
        <v>0</v>
      </c>
      <c r="AI437" s="101"/>
      <c r="AJ437" s="101">
        <f t="shared" si="450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1610</v>
      </c>
      <c r="C438" s="97" t="s">
        <v>1824</v>
      </c>
      <c r="D438" s="97" t="s">
        <v>490</v>
      </c>
      <c r="F438" s="101">
        <f>'Jurisdictional Study'!F1370</f>
        <v>0</v>
      </c>
      <c r="G438" s="100"/>
      <c r="H438" s="101">
        <f t="shared" si="427"/>
        <v>0</v>
      </c>
      <c r="I438" s="101">
        <f t="shared" si="428"/>
        <v>0</v>
      </c>
      <c r="J438" s="101">
        <f t="shared" si="429"/>
        <v>0</v>
      </c>
      <c r="K438" s="101">
        <f t="shared" si="430"/>
        <v>0</v>
      </c>
      <c r="L438" s="101">
        <f t="shared" si="431"/>
        <v>0</v>
      </c>
      <c r="M438" s="101">
        <f t="shared" si="432"/>
        <v>0</v>
      </c>
      <c r="N438" s="101"/>
      <c r="O438" s="101">
        <f t="shared" si="433"/>
        <v>0</v>
      </c>
      <c r="P438" s="101">
        <f t="shared" si="434"/>
        <v>0</v>
      </c>
      <c r="Q438" s="101">
        <f t="shared" si="435"/>
        <v>0</v>
      </c>
      <c r="R438" s="101"/>
      <c r="S438" s="101">
        <f t="shared" si="436"/>
        <v>0</v>
      </c>
      <c r="T438" s="101">
        <f t="shared" si="437"/>
        <v>0</v>
      </c>
      <c r="U438" s="101">
        <f t="shared" si="438"/>
        <v>0</v>
      </c>
      <c r="V438" s="101">
        <f t="shared" si="439"/>
        <v>0</v>
      </c>
      <c r="W438" s="101">
        <f t="shared" si="440"/>
        <v>0</v>
      </c>
      <c r="X438" s="101">
        <f t="shared" si="441"/>
        <v>0</v>
      </c>
      <c r="Y438" s="101">
        <f t="shared" si="442"/>
        <v>0</v>
      </c>
      <c r="Z438" s="101">
        <f t="shared" si="443"/>
        <v>0</v>
      </c>
      <c r="AA438" s="101">
        <f t="shared" si="444"/>
        <v>0</v>
      </c>
      <c r="AB438" s="101">
        <f t="shared" si="445"/>
        <v>0</v>
      </c>
      <c r="AC438" s="101">
        <f t="shared" si="446"/>
        <v>0</v>
      </c>
      <c r="AD438" s="101">
        <f t="shared" si="447"/>
        <v>0</v>
      </c>
      <c r="AE438" s="101"/>
      <c r="AF438" s="101">
        <f t="shared" si="448"/>
        <v>0</v>
      </c>
      <c r="AG438" s="101"/>
      <c r="AH438" s="101">
        <f t="shared" si="449"/>
        <v>0</v>
      </c>
      <c r="AI438" s="101"/>
      <c r="AJ438" s="101">
        <f t="shared" si="450"/>
        <v>0</v>
      </c>
      <c r="AK438" s="101">
        <f t="shared" si="451"/>
        <v>0</v>
      </c>
      <c r="AL438" s="98" t="str">
        <f t="shared" si="452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1057</v>
      </c>
      <c r="C440" s="97" t="s">
        <v>738</v>
      </c>
      <c r="F440" s="102">
        <f>SUM(F429:F439)</f>
        <v>6741999.3400328392</v>
      </c>
      <c r="G440" s="102">
        <f>SUM(G429:G438)</f>
        <v>0</v>
      </c>
      <c r="H440" s="102">
        <f t="shared" ref="H440:M440" si="453">SUM(H429:H439)</f>
        <v>0</v>
      </c>
      <c r="I440" s="102">
        <f t="shared" si="453"/>
        <v>0</v>
      </c>
      <c r="J440" s="102">
        <f t="shared" si="453"/>
        <v>0</v>
      </c>
      <c r="K440" s="102">
        <f t="shared" si="453"/>
        <v>0</v>
      </c>
      <c r="L440" s="102">
        <f t="shared" si="453"/>
        <v>0</v>
      </c>
      <c r="M440" s="102">
        <f t="shared" si="453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54">SUM(S429:S439)</f>
        <v>0</v>
      </c>
      <c r="T440" s="102">
        <f t="shared" si="454"/>
        <v>0</v>
      </c>
      <c r="U440" s="102">
        <f t="shared" si="454"/>
        <v>0</v>
      </c>
      <c r="V440" s="102">
        <f t="shared" si="454"/>
        <v>0</v>
      </c>
      <c r="W440" s="102">
        <f t="shared" si="454"/>
        <v>0</v>
      </c>
      <c r="X440" s="102">
        <f t="shared" si="454"/>
        <v>0</v>
      </c>
      <c r="Y440" s="102">
        <f t="shared" si="454"/>
        <v>0</v>
      </c>
      <c r="Z440" s="102">
        <f t="shared" si="454"/>
        <v>0</v>
      </c>
      <c r="AA440" s="102">
        <f t="shared" si="454"/>
        <v>0</v>
      </c>
      <c r="AB440" s="102">
        <f t="shared" si="454"/>
        <v>0</v>
      </c>
      <c r="AC440" s="102">
        <f t="shared" si="454"/>
        <v>0</v>
      </c>
      <c r="AD440" s="102">
        <f t="shared" si="454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1059</v>
      </c>
      <c r="Y442" s="97"/>
      <c r="AL442" s="98"/>
    </row>
    <row r="443" spans="1:38" x14ac:dyDescent="0.25">
      <c r="A443" s="97">
        <v>580</v>
      </c>
      <c r="B443" s="97" t="s">
        <v>806</v>
      </c>
      <c r="C443" s="97" t="s">
        <v>1006</v>
      </c>
      <c r="D443" s="97" t="s">
        <v>746</v>
      </c>
      <c r="F443" s="100">
        <f>'Jurisdictional Study'!F1375</f>
        <v>1081710.9570623545</v>
      </c>
      <c r="H443" s="101">
        <f t="shared" ref="H443:H453" si="455">IF(VLOOKUP($D443,$C$5:$AJ$644,6,)=0,0,((VLOOKUP($D443,$C$5:$AJ$644,6,)/VLOOKUP($D443,$C$5:$AJ$644,4,))*$F443))</f>
        <v>0</v>
      </c>
      <c r="I443" s="101">
        <f t="shared" ref="I443:I453" si="456">IF(VLOOKUP($D443,$C$5:$AJ$644,7,)=0,0,((VLOOKUP($D443,$C$5:$AJ$644,7,)/VLOOKUP($D443,$C$5:$AJ$644,4,))*$F443))</f>
        <v>0</v>
      </c>
      <c r="J443" s="101">
        <f t="shared" ref="J443:J453" si="457">IF(VLOOKUP($D443,$C$5:$AJ$644,8,)=0,0,((VLOOKUP($D443,$C$5:$AJ$644,8,)/VLOOKUP($D443,$C$5:$AJ$644,4,))*$F443))</f>
        <v>0</v>
      </c>
      <c r="K443" s="101">
        <f t="shared" ref="K443:K453" si="458">IF(VLOOKUP($D443,$C$5:$AJ$644,9,)=0,0,((VLOOKUP($D443,$C$5:$AJ$644,9,)/VLOOKUP($D443,$C$5:$AJ$644,4,))*$F443))</f>
        <v>0</v>
      </c>
      <c r="L443" s="101">
        <f t="shared" ref="L443:L453" si="459">IF(VLOOKUP($D443,$C$5:$AJ$644,10,)=0,0,((VLOOKUP($D443,$C$5:$AJ$644,10,)/VLOOKUP($D443,$C$5:$AJ$644,4,))*$F443))</f>
        <v>0</v>
      </c>
      <c r="M443" s="101">
        <f t="shared" ref="M443:M453" si="460">IF(VLOOKUP($D443,$C$5:$AJ$644,11,)=0,0,((VLOOKUP($D443,$C$5:$AJ$644,11,)/VLOOKUP($D443,$C$5:$AJ$644,4,))*$F443))</f>
        <v>0</v>
      </c>
      <c r="N443" s="101"/>
      <c r="O443" s="101">
        <f t="shared" ref="O443:O453" si="461">IF(VLOOKUP($D443,$C$5:$AJ$644,13,)=0,0,((VLOOKUP($D443,$C$5:$AJ$644,13,)/VLOOKUP($D443,$C$5:$AJ$644,4,))*$F443))</f>
        <v>0</v>
      </c>
      <c r="P443" s="101">
        <f t="shared" ref="P443:P453" si="462">IF(VLOOKUP($D443,$C$5:$AJ$644,14,)=0,0,((VLOOKUP($D443,$C$5:$AJ$644,14,)/VLOOKUP($D443,$C$5:$AJ$644,4,))*$F443))</f>
        <v>0</v>
      </c>
      <c r="Q443" s="101">
        <f t="shared" ref="Q443:Q453" si="463">IF(VLOOKUP($D443,$C$5:$AJ$644,15,)=0,0,((VLOOKUP($D443,$C$5:$AJ$644,15,)/VLOOKUP($D443,$C$5:$AJ$644,4,))*$F443))</f>
        <v>0</v>
      </c>
      <c r="R443" s="101"/>
      <c r="S443" s="101">
        <f t="shared" ref="S443:S453" si="464">IF(VLOOKUP($D443,$C$5:$AJ$644,17,)=0,0,((VLOOKUP($D443,$C$5:$AJ$644,17,)/VLOOKUP($D443,$C$5:$AJ$644,4,))*$F443))</f>
        <v>0</v>
      </c>
      <c r="T443" s="101">
        <f t="shared" ref="T443:T453" si="465">IF(VLOOKUP($D443,$C$5:$AJ$644,18,)=0,0,((VLOOKUP($D443,$C$5:$AJ$644,18,)/VLOOKUP($D443,$C$5:$AJ$644,4,))*$F443))</f>
        <v>140662.97450661057</v>
      </c>
      <c r="U443" s="101">
        <f t="shared" ref="U443:U453" si="466">IF(VLOOKUP($D443,$C$5:$AJ$644,19,)=0,0,((VLOOKUP($D443,$C$5:$AJ$644,19,)/VLOOKUP($D443,$C$5:$AJ$644,4,))*$F443))</f>
        <v>0</v>
      </c>
      <c r="V443" s="101">
        <f t="shared" ref="V443:V453" si="467">IF(VLOOKUP($D443,$C$5:$AJ$644,20,)=0,0,((VLOOKUP($D443,$C$5:$AJ$644,20,)/VLOOKUP($D443,$C$5:$AJ$644,4,))*$F443))</f>
        <v>88540.676362337021</v>
      </c>
      <c r="W443" s="101">
        <f t="shared" ref="W443:W453" si="468">IF(VLOOKUP($D443,$C$5:$AJ$644,21,)=0,0,((VLOOKUP($D443,$C$5:$AJ$644,21,)/VLOOKUP($D443,$C$5:$AJ$644,4,))*$F443))</f>
        <v>143907.49673268551</v>
      </c>
      <c r="X443" s="101">
        <f t="shared" ref="X443:X453" si="469">IF(VLOOKUP($D443,$C$5:$AJ$644,22,)=0,0,((VLOOKUP($D443,$C$5:$AJ$644,22,)/VLOOKUP($D443,$C$5:$AJ$644,4,))*$F443))</f>
        <v>44432.592858928103</v>
      </c>
      <c r="Y443" s="101">
        <f t="shared" ref="Y443:Y453" si="470">IF(VLOOKUP($D443,$C$5:$AJ$644,23,)=0,0,((VLOOKUP($D443,$C$5:$AJ$644,23,)/VLOOKUP($D443,$C$5:$AJ$644,4,))*$F443))</f>
        <v>65825.925957736021</v>
      </c>
      <c r="Z443" s="101">
        <f t="shared" ref="Z443:Z453" si="471">IF(VLOOKUP($D443,$C$5:$AJ$644,24,)=0,0,((VLOOKUP($D443,$C$5:$AJ$644,24,)/VLOOKUP($D443,$C$5:$AJ$644,4,))*$F443))</f>
        <v>27397.915367322319</v>
      </c>
      <c r="AA443" s="101">
        <f t="shared" ref="AA443:AA453" si="472">IF(VLOOKUP($D443,$C$5:$AJ$644,25,)=0,0,((VLOOKUP($D443,$C$5:$AJ$644,25,)/VLOOKUP($D443,$C$5:$AJ$644,4,))*$F443))</f>
        <v>24380.841028775008</v>
      </c>
      <c r="AB443" s="101">
        <f t="shared" ref="AB443:AB453" si="473">IF(VLOOKUP($D443,$C$5:$AJ$644,26,)=0,0,((VLOOKUP($D443,$C$5:$AJ$644,26,)/VLOOKUP($D443,$C$5:$AJ$644,4,))*$F443))</f>
        <v>16322.298378959375</v>
      </c>
      <c r="AC443" s="101">
        <f t="shared" ref="AC443:AC453" si="474">IF(VLOOKUP($D443,$C$5:$AJ$644,27,)=0,0,((VLOOKUP($D443,$C$5:$AJ$644,27,)/VLOOKUP($D443,$C$5:$AJ$644,4,))*$F443))</f>
        <v>510922.74001983047</v>
      </c>
      <c r="AD443" s="101">
        <f t="shared" ref="AD443:AD453" si="475">IF(VLOOKUP($D443,$C$5:$AJ$644,28,)=0,0,((VLOOKUP($D443,$C$5:$AJ$644,28,)/VLOOKUP($D443,$C$5:$AJ$644,4,))*$F443))</f>
        <v>19317.495849170151</v>
      </c>
      <c r="AE443" s="101"/>
      <c r="AF443" s="101">
        <f t="shared" ref="AF443:AF453" si="476">IF(VLOOKUP($D443,$C$5:$AJ$644,30,)=0,0,((VLOOKUP($D443,$C$5:$AJ$644,30,)/VLOOKUP($D443,$C$5:$AJ$644,4,))*$F443))</f>
        <v>0</v>
      </c>
      <c r="AG443" s="101"/>
      <c r="AH443" s="101">
        <f t="shared" ref="AH443:AH453" si="477">IF(VLOOKUP($D443,$C$5:$AJ$644,32,)=0,0,((VLOOKUP($D443,$C$5:$AJ$644,32,)/VLOOKUP($D443,$C$5:$AJ$644,4,))*$F443))</f>
        <v>0</v>
      </c>
      <c r="AI443" s="101"/>
      <c r="AJ443" s="101">
        <f t="shared" ref="AJ443:AJ453" si="478">IF(VLOOKUP($D443,$C$5:$AJ$644,34,)=0,0,((VLOOKUP($D443,$C$5:$AJ$644,34,)/VLOOKUP($D443,$C$5:$AJ$644,4,))*$F443))</f>
        <v>0</v>
      </c>
      <c r="AK443" s="101">
        <f t="shared" ref="AK443:AK453" si="479">SUM(H443:AJ443)</f>
        <v>1081710.9570623548</v>
      </c>
      <c r="AL443" s="98" t="str">
        <f t="shared" ref="AL443:AL453" si="480">IF(ABS(AK443-F443)&lt;1,"ok","err")</f>
        <v>ok</v>
      </c>
    </row>
    <row r="444" spans="1:38" x14ac:dyDescent="0.25">
      <c r="A444" s="97">
        <v>581</v>
      </c>
      <c r="B444" s="97" t="s">
        <v>808</v>
      </c>
      <c r="C444" s="97" t="s">
        <v>1007</v>
      </c>
      <c r="D444" s="97" t="s">
        <v>119</v>
      </c>
      <c r="F444" s="101">
        <f>'Jurisdictional Study'!F1376</f>
        <v>342506.27938109287</v>
      </c>
      <c r="H444" s="101">
        <f t="shared" si="455"/>
        <v>0</v>
      </c>
      <c r="I444" s="101">
        <f t="shared" si="456"/>
        <v>0</v>
      </c>
      <c r="J444" s="101">
        <f t="shared" si="457"/>
        <v>0</v>
      </c>
      <c r="K444" s="101">
        <f t="shared" si="458"/>
        <v>0</v>
      </c>
      <c r="L444" s="101">
        <f t="shared" si="459"/>
        <v>0</v>
      </c>
      <c r="M444" s="101">
        <f t="shared" si="460"/>
        <v>0</v>
      </c>
      <c r="N444" s="101"/>
      <c r="O444" s="101">
        <f t="shared" si="461"/>
        <v>0</v>
      </c>
      <c r="P444" s="101">
        <f t="shared" si="462"/>
        <v>0</v>
      </c>
      <c r="Q444" s="101">
        <f t="shared" si="463"/>
        <v>0</v>
      </c>
      <c r="R444" s="101"/>
      <c r="S444" s="101">
        <f t="shared" si="464"/>
        <v>0</v>
      </c>
      <c r="T444" s="101">
        <f t="shared" si="465"/>
        <v>342506.27938109287</v>
      </c>
      <c r="U444" s="101">
        <f t="shared" si="466"/>
        <v>0</v>
      </c>
      <c r="V444" s="101">
        <f t="shared" si="467"/>
        <v>0</v>
      </c>
      <c r="W444" s="101">
        <f t="shared" si="468"/>
        <v>0</v>
      </c>
      <c r="X444" s="101">
        <f t="shared" si="469"/>
        <v>0</v>
      </c>
      <c r="Y444" s="101">
        <f t="shared" si="470"/>
        <v>0</v>
      </c>
      <c r="Z444" s="101">
        <f t="shared" si="471"/>
        <v>0</v>
      </c>
      <c r="AA444" s="101">
        <f t="shared" si="472"/>
        <v>0</v>
      </c>
      <c r="AB444" s="101">
        <f t="shared" si="473"/>
        <v>0</v>
      </c>
      <c r="AC444" s="101">
        <f t="shared" si="474"/>
        <v>0</v>
      </c>
      <c r="AD444" s="101">
        <f t="shared" si="475"/>
        <v>0</v>
      </c>
      <c r="AE444" s="101"/>
      <c r="AF444" s="101">
        <f t="shared" si="476"/>
        <v>0</v>
      </c>
      <c r="AG444" s="101"/>
      <c r="AH444" s="101">
        <f t="shared" si="477"/>
        <v>0</v>
      </c>
      <c r="AI444" s="101"/>
      <c r="AJ444" s="101">
        <f t="shared" si="478"/>
        <v>0</v>
      </c>
      <c r="AK444" s="101">
        <f t="shared" si="479"/>
        <v>342506.27938109287</v>
      </c>
      <c r="AL444" s="98" t="str">
        <f t="shared" si="480"/>
        <v>ok</v>
      </c>
    </row>
    <row r="445" spans="1:38" x14ac:dyDescent="0.25">
      <c r="A445" s="97">
        <v>582</v>
      </c>
      <c r="B445" s="97" t="s">
        <v>473</v>
      </c>
      <c r="C445" s="97" t="s">
        <v>1008</v>
      </c>
      <c r="D445" s="97" t="s">
        <v>119</v>
      </c>
      <c r="F445" s="101">
        <f>'Jurisdictional Study'!F1377</f>
        <v>870966.55608474847</v>
      </c>
      <c r="H445" s="101">
        <f t="shared" si="455"/>
        <v>0</v>
      </c>
      <c r="I445" s="101">
        <f t="shared" si="456"/>
        <v>0</v>
      </c>
      <c r="J445" s="101">
        <f t="shared" si="457"/>
        <v>0</v>
      </c>
      <c r="K445" s="101">
        <f t="shared" si="458"/>
        <v>0</v>
      </c>
      <c r="L445" s="101">
        <f t="shared" si="459"/>
        <v>0</v>
      </c>
      <c r="M445" s="101">
        <f t="shared" si="460"/>
        <v>0</v>
      </c>
      <c r="N445" s="101"/>
      <c r="O445" s="101">
        <f t="shared" si="461"/>
        <v>0</v>
      </c>
      <c r="P445" s="101">
        <f t="shared" si="462"/>
        <v>0</v>
      </c>
      <c r="Q445" s="101">
        <f t="shared" si="463"/>
        <v>0</v>
      </c>
      <c r="R445" s="101"/>
      <c r="S445" s="101">
        <f t="shared" si="464"/>
        <v>0</v>
      </c>
      <c r="T445" s="101">
        <f t="shared" si="465"/>
        <v>870966.55608474847</v>
      </c>
      <c r="U445" s="101">
        <f t="shared" si="466"/>
        <v>0</v>
      </c>
      <c r="V445" s="101">
        <f t="shared" si="467"/>
        <v>0</v>
      </c>
      <c r="W445" s="101">
        <f t="shared" si="468"/>
        <v>0</v>
      </c>
      <c r="X445" s="101">
        <f t="shared" si="469"/>
        <v>0</v>
      </c>
      <c r="Y445" s="101">
        <f t="shared" si="470"/>
        <v>0</v>
      </c>
      <c r="Z445" s="101">
        <f t="shared" si="471"/>
        <v>0</v>
      </c>
      <c r="AA445" s="101">
        <f t="shared" si="472"/>
        <v>0</v>
      </c>
      <c r="AB445" s="101">
        <f t="shared" si="473"/>
        <v>0</v>
      </c>
      <c r="AC445" s="101">
        <f t="shared" si="474"/>
        <v>0</v>
      </c>
      <c r="AD445" s="101">
        <f t="shared" si="475"/>
        <v>0</v>
      </c>
      <c r="AE445" s="101"/>
      <c r="AF445" s="101">
        <f t="shared" si="476"/>
        <v>0</v>
      </c>
      <c r="AG445" s="101"/>
      <c r="AH445" s="101">
        <f t="shared" si="477"/>
        <v>0</v>
      </c>
      <c r="AI445" s="101"/>
      <c r="AJ445" s="101">
        <f t="shared" si="478"/>
        <v>0</v>
      </c>
      <c r="AK445" s="101">
        <f t="shared" si="479"/>
        <v>870966.55608474847</v>
      </c>
      <c r="AL445" s="98" t="str">
        <f t="shared" si="480"/>
        <v>ok</v>
      </c>
    </row>
    <row r="446" spans="1:38" x14ac:dyDescent="0.25">
      <c r="A446" s="97">
        <v>583</v>
      </c>
      <c r="B446" s="97" t="s">
        <v>810</v>
      </c>
      <c r="C446" s="97" t="s">
        <v>1009</v>
      </c>
      <c r="D446" s="97" t="s">
        <v>122</v>
      </c>
      <c r="F446" s="101">
        <f>'Jurisdictional Study'!F1378</f>
        <v>2170209.0319895069</v>
      </c>
      <c r="H446" s="101">
        <f t="shared" si="455"/>
        <v>0</v>
      </c>
      <c r="I446" s="101">
        <f t="shared" si="456"/>
        <v>0</v>
      </c>
      <c r="J446" s="101">
        <f t="shared" si="457"/>
        <v>0</v>
      </c>
      <c r="K446" s="101">
        <f t="shared" si="458"/>
        <v>0</v>
      </c>
      <c r="L446" s="101">
        <f t="shared" si="459"/>
        <v>0</v>
      </c>
      <c r="M446" s="101">
        <f t="shared" si="460"/>
        <v>0</v>
      </c>
      <c r="N446" s="101"/>
      <c r="O446" s="101">
        <f t="shared" si="461"/>
        <v>0</v>
      </c>
      <c r="P446" s="101">
        <f t="shared" si="462"/>
        <v>0</v>
      </c>
      <c r="Q446" s="101">
        <f t="shared" si="463"/>
        <v>0</v>
      </c>
      <c r="R446" s="101"/>
      <c r="S446" s="101">
        <f t="shared" si="464"/>
        <v>0</v>
      </c>
      <c r="T446" s="101">
        <f t="shared" si="465"/>
        <v>0</v>
      </c>
      <c r="U446" s="101">
        <f t="shared" si="466"/>
        <v>0</v>
      </c>
      <c r="V446" s="101">
        <f t="shared" si="467"/>
        <v>577540.3897132019</v>
      </c>
      <c r="W446" s="101">
        <f t="shared" si="468"/>
        <v>837652.92004715558</v>
      </c>
      <c r="X446" s="101">
        <f t="shared" si="469"/>
        <v>308121.9162417159</v>
      </c>
      <c r="Y446" s="101">
        <f t="shared" si="470"/>
        <v>446893.80598743353</v>
      </c>
      <c r="Z446" s="101">
        <f t="shared" si="471"/>
        <v>0</v>
      </c>
      <c r="AA446" s="101">
        <f t="shared" si="472"/>
        <v>0</v>
      </c>
      <c r="AB446" s="101">
        <f t="shared" si="473"/>
        <v>0</v>
      </c>
      <c r="AC446" s="101">
        <f t="shared" si="474"/>
        <v>0</v>
      </c>
      <c r="AD446" s="101">
        <f t="shared" si="475"/>
        <v>0</v>
      </c>
      <c r="AE446" s="101"/>
      <c r="AF446" s="101">
        <f t="shared" si="476"/>
        <v>0</v>
      </c>
      <c r="AG446" s="101"/>
      <c r="AH446" s="101">
        <f t="shared" si="477"/>
        <v>0</v>
      </c>
      <c r="AI446" s="101"/>
      <c r="AJ446" s="101">
        <f t="shared" si="478"/>
        <v>0</v>
      </c>
      <c r="AK446" s="101">
        <f t="shared" si="479"/>
        <v>2170209.0319895069</v>
      </c>
      <c r="AL446" s="98" t="str">
        <f t="shared" si="480"/>
        <v>ok</v>
      </c>
    </row>
    <row r="447" spans="1:38" x14ac:dyDescent="0.25">
      <c r="A447" s="97">
        <v>584</v>
      </c>
      <c r="B447" s="97" t="s">
        <v>812</v>
      </c>
      <c r="C447" s="97" t="s">
        <v>1010</v>
      </c>
      <c r="D447" s="97" t="s">
        <v>125</v>
      </c>
      <c r="F447" s="101">
        <f>'Jurisdictional Study'!F1379</f>
        <v>0</v>
      </c>
      <c r="H447" s="101">
        <f t="shared" si="455"/>
        <v>0</v>
      </c>
      <c r="I447" s="101">
        <f t="shared" si="456"/>
        <v>0</v>
      </c>
      <c r="J447" s="101">
        <f t="shared" si="457"/>
        <v>0</v>
      </c>
      <c r="K447" s="101">
        <f t="shared" si="458"/>
        <v>0</v>
      </c>
      <c r="L447" s="101">
        <f t="shared" si="459"/>
        <v>0</v>
      </c>
      <c r="M447" s="101">
        <f t="shared" si="460"/>
        <v>0</v>
      </c>
      <c r="N447" s="101"/>
      <c r="O447" s="101">
        <f t="shared" si="461"/>
        <v>0</v>
      </c>
      <c r="P447" s="101">
        <f t="shared" si="462"/>
        <v>0</v>
      </c>
      <c r="Q447" s="101">
        <f t="shared" si="463"/>
        <v>0</v>
      </c>
      <c r="R447" s="101"/>
      <c r="S447" s="101">
        <f t="shared" si="464"/>
        <v>0</v>
      </c>
      <c r="T447" s="101">
        <f t="shared" si="465"/>
        <v>0</v>
      </c>
      <c r="U447" s="101">
        <f t="shared" si="466"/>
        <v>0</v>
      </c>
      <c r="V447" s="101">
        <f t="shared" si="467"/>
        <v>0</v>
      </c>
      <c r="W447" s="101">
        <f t="shared" si="468"/>
        <v>0</v>
      </c>
      <c r="X447" s="101">
        <f t="shared" si="469"/>
        <v>0</v>
      </c>
      <c r="Y447" s="101">
        <f t="shared" si="470"/>
        <v>0</v>
      </c>
      <c r="Z447" s="101">
        <f t="shared" si="471"/>
        <v>0</v>
      </c>
      <c r="AA447" s="101">
        <f t="shared" si="472"/>
        <v>0</v>
      </c>
      <c r="AB447" s="101">
        <f t="shared" si="473"/>
        <v>0</v>
      </c>
      <c r="AC447" s="101">
        <f t="shared" si="474"/>
        <v>0</v>
      </c>
      <c r="AD447" s="101">
        <f t="shared" si="475"/>
        <v>0</v>
      </c>
      <c r="AE447" s="101"/>
      <c r="AF447" s="101">
        <f t="shared" si="476"/>
        <v>0</v>
      </c>
      <c r="AG447" s="101"/>
      <c r="AH447" s="101">
        <f t="shared" si="477"/>
        <v>0</v>
      </c>
      <c r="AI447" s="101"/>
      <c r="AJ447" s="101">
        <f t="shared" si="478"/>
        <v>0</v>
      </c>
      <c r="AK447" s="101">
        <f t="shared" si="479"/>
        <v>0</v>
      </c>
      <c r="AL447" s="98" t="str">
        <f t="shared" si="480"/>
        <v>ok</v>
      </c>
    </row>
    <row r="448" spans="1:38" x14ac:dyDescent="0.25">
      <c r="A448" s="97">
        <v>585</v>
      </c>
      <c r="B448" s="97" t="s">
        <v>814</v>
      </c>
      <c r="C448" s="97" t="s">
        <v>1011</v>
      </c>
      <c r="D448" s="97" t="s">
        <v>180</v>
      </c>
      <c r="F448" s="101">
        <f>'Jurisdictional Study'!F1380</f>
        <v>0</v>
      </c>
      <c r="H448" s="101">
        <f t="shared" si="455"/>
        <v>0</v>
      </c>
      <c r="I448" s="101">
        <f t="shared" si="456"/>
        <v>0</v>
      </c>
      <c r="J448" s="101">
        <f t="shared" si="457"/>
        <v>0</v>
      </c>
      <c r="K448" s="101">
        <f t="shared" si="458"/>
        <v>0</v>
      </c>
      <c r="L448" s="101">
        <f t="shared" si="459"/>
        <v>0</v>
      </c>
      <c r="M448" s="101">
        <f t="shared" si="460"/>
        <v>0</v>
      </c>
      <c r="N448" s="101"/>
      <c r="O448" s="101">
        <f t="shared" si="461"/>
        <v>0</v>
      </c>
      <c r="P448" s="101">
        <f t="shared" si="462"/>
        <v>0</v>
      </c>
      <c r="Q448" s="101">
        <f t="shared" si="463"/>
        <v>0</v>
      </c>
      <c r="R448" s="101"/>
      <c r="S448" s="101">
        <f t="shared" si="464"/>
        <v>0</v>
      </c>
      <c r="T448" s="101">
        <f t="shared" si="465"/>
        <v>0</v>
      </c>
      <c r="U448" s="101">
        <f t="shared" si="466"/>
        <v>0</v>
      </c>
      <c r="V448" s="101">
        <f t="shared" si="467"/>
        <v>0</v>
      </c>
      <c r="W448" s="101">
        <f t="shared" si="468"/>
        <v>0</v>
      </c>
      <c r="X448" s="101">
        <f t="shared" si="469"/>
        <v>0</v>
      </c>
      <c r="Y448" s="101">
        <f t="shared" si="470"/>
        <v>0</v>
      </c>
      <c r="Z448" s="101">
        <f t="shared" si="471"/>
        <v>0</v>
      </c>
      <c r="AA448" s="101">
        <f t="shared" si="472"/>
        <v>0</v>
      </c>
      <c r="AB448" s="101">
        <f t="shared" si="473"/>
        <v>0</v>
      </c>
      <c r="AC448" s="101">
        <f t="shared" si="474"/>
        <v>0</v>
      </c>
      <c r="AD448" s="101">
        <f t="shared" si="475"/>
        <v>0</v>
      </c>
      <c r="AE448" s="101"/>
      <c r="AF448" s="101">
        <f t="shared" si="476"/>
        <v>0</v>
      </c>
      <c r="AG448" s="101"/>
      <c r="AH448" s="101">
        <f t="shared" si="477"/>
        <v>0</v>
      </c>
      <c r="AI448" s="101"/>
      <c r="AJ448" s="101">
        <f t="shared" si="478"/>
        <v>0</v>
      </c>
      <c r="AK448" s="101">
        <f t="shared" si="479"/>
        <v>0</v>
      </c>
      <c r="AL448" s="98" t="str">
        <f t="shared" si="480"/>
        <v>ok</v>
      </c>
    </row>
    <row r="449" spans="1:38" x14ac:dyDescent="0.25">
      <c r="A449" s="97">
        <v>586</v>
      </c>
      <c r="B449" s="97" t="s">
        <v>366</v>
      </c>
      <c r="C449" s="97" t="s">
        <v>1012</v>
      </c>
      <c r="D449" s="97" t="s">
        <v>178</v>
      </c>
      <c r="F449" s="101">
        <f>'Jurisdictional Study'!F1381</f>
        <v>5717579.7126991935</v>
      </c>
      <c r="H449" s="101">
        <f t="shared" si="455"/>
        <v>0</v>
      </c>
      <c r="I449" s="101">
        <f t="shared" si="456"/>
        <v>0</v>
      </c>
      <c r="J449" s="101">
        <f t="shared" si="457"/>
        <v>0</v>
      </c>
      <c r="K449" s="101">
        <f t="shared" si="458"/>
        <v>0</v>
      </c>
      <c r="L449" s="101">
        <f t="shared" si="459"/>
        <v>0</v>
      </c>
      <c r="M449" s="101">
        <f t="shared" si="460"/>
        <v>0</v>
      </c>
      <c r="N449" s="101"/>
      <c r="O449" s="101">
        <f t="shared" si="461"/>
        <v>0</v>
      </c>
      <c r="P449" s="101">
        <f t="shared" si="462"/>
        <v>0</v>
      </c>
      <c r="Q449" s="101">
        <f t="shared" si="463"/>
        <v>0</v>
      </c>
      <c r="R449" s="101"/>
      <c r="S449" s="101">
        <f t="shared" si="464"/>
        <v>0</v>
      </c>
      <c r="T449" s="101">
        <f t="shared" si="465"/>
        <v>0</v>
      </c>
      <c r="U449" s="101">
        <f t="shared" si="466"/>
        <v>0</v>
      </c>
      <c r="V449" s="101">
        <f t="shared" si="467"/>
        <v>0</v>
      </c>
      <c r="W449" s="101">
        <f t="shared" si="468"/>
        <v>0</v>
      </c>
      <c r="X449" s="101">
        <f t="shared" si="469"/>
        <v>0</v>
      </c>
      <c r="Y449" s="101">
        <f t="shared" si="470"/>
        <v>0</v>
      </c>
      <c r="Z449" s="101">
        <f t="shared" si="471"/>
        <v>0</v>
      </c>
      <c r="AA449" s="101">
        <f t="shared" si="472"/>
        <v>0</v>
      </c>
      <c r="AB449" s="101">
        <f t="shared" si="473"/>
        <v>0</v>
      </c>
      <c r="AC449" s="101">
        <f t="shared" si="474"/>
        <v>5717579.7126991935</v>
      </c>
      <c r="AD449" s="101">
        <f t="shared" si="475"/>
        <v>0</v>
      </c>
      <c r="AE449" s="101"/>
      <c r="AF449" s="101">
        <f t="shared" si="476"/>
        <v>0</v>
      </c>
      <c r="AG449" s="101"/>
      <c r="AH449" s="101">
        <f t="shared" si="477"/>
        <v>0</v>
      </c>
      <c r="AI449" s="101"/>
      <c r="AJ449" s="101">
        <f t="shared" si="478"/>
        <v>0</v>
      </c>
      <c r="AK449" s="101">
        <f t="shared" si="479"/>
        <v>5717579.7126991935</v>
      </c>
      <c r="AL449" s="98" t="str">
        <f t="shared" si="480"/>
        <v>ok</v>
      </c>
    </row>
    <row r="450" spans="1:38" x14ac:dyDescent="0.25">
      <c r="A450" s="97">
        <v>586</v>
      </c>
      <c r="B450" s="97" t="s">
        <v>1365</v>
      </c>
      <c r="C450" s="97" t="s">
        <v>1013</v>
      </c>
      <c r="D450" s="97" t="s">
        <v>995</v>
      </c>
      <c r="F450" s="101">
        <v>0</v>
      </c>
      <c r="H450" s="101">
        <f t="shared" si="455"/>
        <v>0</v>
      </c>
      <c r="I450" s="101">
        <f t="shared" si="456"/>
        <v>0</v>
      </c>
      <c r="J450" s="101">
        <f t="shared" si="457"/>
        <v>0</v>
      </c>
      <c r="K450" s="101">
        <f t="shared" si="458"/>
        <v>0</v>
      </c>
      <c r="L450" s="101">
        <f t="shared" si="459"/>
        <v>0</v>
      </c>
      <c r="M450" s="101">
        <f t="shared" si="460"/>
        <v>0</v>
      </c>
      <c r="N450" s="101"/>
      <c r="O450" s="101">
        <f t="shared" si="461"/>
        <v>0</v>
      </c>
      <c r="P450" s="101">
        <f t="shared" si="462"/>
        <v>0</v>
      </c>
      <c r="Q450" s="101">
        <f t="shared" si="463"/>
        <v>0</v>
      </c>
      <c r="R450" s="101"/>
      <c r="S450" s="101">
        <f t="shared" si="464"/>
        <v>0</v>
      </c>
      <c r="T450" s="101">
        <f t="shared" si="465"/>
        <v>0</v>
      </c>
      <c r="U450" s="101">
        <f t="shared" si="466"/>
        <v>0</v>
      </c>
      <c r="V450" s="101">
        <f t="shared" si="467"/>
        <v>0</v>
      </c>
      <c r="W450" s="101">
        <f t="shared" si="468"/>
        <v>0</v>
      </c>
      <c r="X450" s="101">
        <f t="shared" si="469"/>
        <v>0</v>
      </c>
      <c r="Y450" s="101">
        <f t="shared" si="470"/>
        <v>0</v>
      </c>
      <c r="Z450" s="101">
        <f t="shared" si="471"/>
        <v>0</v>
      </c>
      <c r="AA450" s="101">
        <f t="shared" si="472"/>
        <v>0</v>
      </c>
      <c r="AB450" s="101">
        <f t="shared" si="473"/>
        <v>0</v>
      </c>
      <c r="AC450" s="101">
        <f t="shared" si="474"/>
        <v>0</v>
      </c>
      <c r="AD450" s="101">
        <f t="shared" si="475"/>
        <v>0</v>
      </c>
      <c r="AE450" s="101"/>
      <c r="AF450" s="101">
        <f t="shared" si="476"/>
        <v>0</v>
      </c>
      <c r="AG450" s="101"/>
      <c r="AH450" s="101">
        <f t="shared" si="477"/>
        <v>0</v>
      </c>
      <c r="AI450" s="101"/>
      <c r="AJ450" s="101">
        <f t="shared" si="478"/>
        <v>0</v>
      </c>
      <c r="AK450" s="101">
        <f t="shared" si="479"/>
        <v>0</v>
      </c>
      <c r="AL450" s="98" t="str">
        <f t="shared" si="480"/>
        <v>ok</v>
      </c>
    </row>
    <row r="451" spans="1:38" x14ac:dyDescent="0.25">
      <c r="A451" s="97">
        <v>587</v>
      </c>
      <c r="B451" s="97" t="s">
        <v>368</v>
      </c>
      <c r="C451" s="97" t="s">
        <v>1014</v>
      </c>
      <c r="D451" s="97" t="s">
        <v>180</v>
      </c>
      <c r="F451" s="101">
        <f>'Jurisdictional Study'!D1382</f>
        <v>0</v>
      </c>
      <c r="H451" s="101">
        <f t="shared" si="455"/>
        <v>0</v>
      </c>
      <c r="I451" s="101">
        <f t="shared" si="456"/>
        <v>0</v>
      </c>
      <c r="J451" s="101">
        <f t="shared" si="457"/>
        <v>0</v>
      </c>
      <c r="K451" s="101">
        <f t="shared" si="458"/>
        <v>0</v>
      </c>
      <c r="L451" s="101">
        <f t="shared" si="459"/>
        <v>0</v>
      </c>
      <c r="M451" s="101">
        <f t="shared" si="460"/>
        <v>0</v>
      </c>
      <c r="N451" s="101"/>
      <c r="O451" s="101">
        <f t="shared" si="461"/>
        <v>0</v>
      </c>
      <c r="P451" s="101">
        <f t="shared" si="462"/>
        <v>0</v>
      </c>
      <c r="Q451" s="101">
        <f t="shared" si="463"/>
        <v>0</v>
      </c>
      <c r="R451" s="101"/>
      <c r="S451" s="101">
        <f t="shared" si="464"/>
        <v>0</v>
      </c>
      <c r="T451" s="101">
        <f t="shared" si="465"/>
        <v>0</v>
      </c>
      <c r="U451" s="101">
        <f t="shared" si="466"/>
        <v>0</v>
      </c>
      <c r="V451" s="101">
        <f t="shared" si="467"/>
        <v>0</v>
      </c>
      <c r="W451" s="101">
        <f t="shared" si="468"/>
        <v>0</v>
      </c>
      <c r="X451" s="101">
        <f t="shared" si="469"/>
        <v>0</v>
      </c>
      <c r="Y451" s="101">
        <f t="shared" si="470"/>
        <v>0</v>
      </c>
      <c r="Z451" s="101">
        <f t="shared" si="471"/>
        <v>0</v>
      </c>
      <c r="AA451" s="101">
        <f t="shared" si="472"/>
        <v>0</v>
      </c>
      <c r="AB451" s="101">
        <f t="shared" si="473"/>
        <v>0</v>
      </c>
      <c r="AC451" s="101">
        <f t="shared" si="474"/>
        <v>0</v>
      </c>
      <c r="AD451" s="101">
        <f t="shared" si="475"/>
        <v>0</v>
      </c>
      <c r="AE451" s="101"/>
      <c r="AF451" s="101">
        <f t="shared" si="476"/>
        <v>0</v>
      </c>
      <c r="AG451" s="101"/>
      <c r="AH451" s="101">
        <f t="shared" si="477"/>
        <v>0</v>
      </c>
      <c r="AI451" s="101"/>
      <c r="AJ451" s="101">
        <f t="shared" si="478"/>
        <v>0</v>
      </c>
      <c r="AK451" s="101">
        <f t="shared" si="479"/>
        <v>0</v>
      </c>
      <c r="AL451" s="98" t="str">
        <f t="shared" si="480"/>
        <v>ok</v>
      </c>
    </row>
    <row r="452" spans="1:38" x14ac:dyDescent="0.25">
      <c r="A452" s="97">
        <v>588</v>
      </c>
      <c r="B452" s="97" t="s">
        <v>370</v>
      </c>
      <c r="C452" s="97" t="s">
        <v>1015</v>
      </c>
      <c r="D452" s="97" t="s">
        <v>115</v>
      </c>
      <c r="F452" s="101">
        <f>'Jurisdictional Study'!D1383</f>
        <v>3343041</v>
      </c>
      <c r="H452" s="101">
        <f t="shared" si="455"/>
        <v>0</v>
      </c>
      <c r="I452" s="101">
        <f t="shared" si="456"/>
        <v>0</v>
      </c>
      <c r="J452" s="101">
        <f t="shared" si="457"/>
        <v>0</v>
      </c>
      <c r="K452" s="101">
        <f t="shared" si="458"/>
        <v>0</v>
      </c>
      <c r="L452" s="101">
        <f t="shared" si="459"/>
        <v>0</v>
      </c>
      <c r="M452" s="101">
        <f t="shared" si="460"/>
        <v>0</v>
      </c>
      <c r="N452" s="101"/>
      <c r="O452" s="101">
        <f t="shared" si="461"/>
        <v>0</v>
      </c>
      <c r="P452" s="101">
        <f t="shared" si="462"/>
        <v>0</v>
      </c>
      <c r="Q452" s="101">
        <f t="shared" si="463"/>
        <v>0</v>
      </c>
      <c r="R452" s="101"/>
      <c r="S452" s="101">
        <f t="shared" si="464"/>
        <v>0</v>
      </c>
      <c r="T452" s="101">
        <f t="shared" si="465"/>
        <v>404752.99940838426</v>
      </c>
      <c r="U452" s="101">
        <f t="shared" si="466"/>
        <v>0</v>
      </c>
      <c r="V452" s="101">
        <f t="shared" si="467"/>
        <v>441056.08479856059</v>
      </c>
      <c r="W452" s="101">
        <f t="shared" si="468"/>
        <v>817898.7975369608</v>
      </c>
      <c r="X452" s="101">
        <f t="shared" si="469"/>
        <v>203042.94378608334</v>
      </c>
      <c r="Y452" s="101">
        <f t="shared" si="470"/>
        <v>310385.88586438569</v>
      </c>
      <c r="Z452" s="101">
        <f t="shared" si="471"/>
        <v>315193.21004416078</v>
      </c>
      <c r="AA452" s="101">
        <f t="shared" si="472"/>
        <v>280483.95085567492</v>
      </c>
      <c r="AB452" s="101">
        <f t="shared" si="473"/>
        <v>187776.2432794029</v>
      </c>
      <c r="AC452" s="101">
        <f t="shared" si="474"/>
        <v>160217.05951367892</v>
      </c>
      <c r="AD452" s="101">
        <f t="shared" si="475"/>
        <v>222233.8249127077</v>
      </c>
      <c r="AE452" s="101"/>
      <c r="AF452" s="101">
        <f t="shared" si="476"/>
        <v>0</v>
      </c>
      <c r="AG452" s="101"/>
      <c r="AH452" s="101">
        <f t="shared" si="477"/>
        <v>0</v>
      </c>
      <c r="AI452" s="101"/>
      <c r="AJ452" s="101">
        <f t="shared" si="478"/>
        <v>0</v>
      </c>
      <c r="AK452" s="101">
        <f t="shared" si="479"/>
        <v>3343041.0000000005</v>
      </c>
      <c r="AL452" s="98" t="str">
        <f t="shared" si="480"/>
        <v>ok</v>
      </c>
    </row>
    <row r="453" spans="1:38" x14ac:dyDescent="0.25">
      <c r="A453" s="97">
        <v>589</v>
      </c>
      <c r="B453" s="97" t="s">
        <v>372</v>
      </c>
      <c r="C453" s="97" t="s">
        <v>1016</v>
      </c>
      <c r="D453" s="97" t="s">
        <v>115</v>
      </c>
      <c r="F453" s="101">
        <f>'Jurisdictional Study'!D1384</f>
        <v>0</v>
      </c>
      <c r="H453" s="101">
        <f t="shared" si="455"/>
        <v>0</v>
      </c>
      <c r="I453" s="101">
        <f t="shared" si="456"/>
        <v>0</v>
      </c>
      <c r="J453" s="101">
        <f t="shared" si="457"/>
        <v>0</v>
      </c>
      <c r="K453" s="101">
        <f t="shared" si="458"/>
        <v>0</v>
      </c>
      <c r="L453" s="101">
        <f t="shared" si="459"/>
        <v>0</v>
      </c>
      <c r="M453" s="101">
        <f t="shared" si="460"/>
        <v>0</v>
      </c>
      <c r="N453" s="101"/>
      <c r="O453" s="101">
        <f t="shared" si="461"/>
        <v>0</v>
      </c>
      <c r="P453" s="101">
        <f t="shared" si="462"/>
        <v>0</v>
      </c>
      <c r="Q453" s="101">
        <f t="shared" si="463"/>
        <v>0</v>
      </c>
      <c r="R453" s="101"/>
      <c r="S453" s="101">
        <f t="shared" si="464"/>
        <v>0</v>
      </c>
      <c r="T453" s="101">
        <f t="shared" si="465"/>
        <v>0</v>
      </c>
      <c r="U453" s="101">
        <f t="shared" si="466"/>
        <v>0</v>
      </c>
      <c r="V453" s="101">
        <f t="shared" si="467"/>
        <v>0</v>
      </c>
      <c r="W453" s="101">
        <f t="shared" si="468"/>
        <v>0</v>
      </c>
      <c r="X453" s="101">
        <f t="shared" si="469"/>
        <v>0</v>
      </c>
      <c r="Y453" s="101">
        <f t="shared" si="470"/>
        <v>0</v>
      </c>
      <c r="Z453" s="101">
        <f t="shared" si="471"/>
        <v>0</v>
      </c>
      <c r="AA453" s="101">
        <f t="shared" si="472"/>
        <v>0</v>
      </c>
      <c r="AB453" s="101">
        <f t="shared" si="473"/>
        <v>0</v>
      </c>
      <c r="AC453" s="101">
        <f t="shared" si="474"/>
        <v>0</v>
      </c>
      <c r="AD453" s="101">
        <f t="shared" si="475"/>
        <v>0</v>
      </c>
      <c r="AE453" s="101"/>
      <c r="AF453" s="101">
        <f t="shared" si="476"/>
        <v>0</v>
      </c>
      <c r="AG453" s="101"/>
      <c r="AH453" s="101">
        <f t="shared" si="477"/>
        <v>0</v>
      </c>
      <c r="AI453" s="101"/>
      <c r="AJ453" s="101">
        <f t="shared" si="478"/>
        <v>0</v>
      </c>
      <c r="AK453" s="101">
        <f t="shared" si="479"/>
        <v>0</v>
      </c>
      <c r="AL453" s="98" t="str">
        <f t="shared" si="480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1060</v>
      </c>
      <c r="C455" s="97" t="s">
        <v>1017</v>
      </c>
      <c r="F455" s="100">
        <f>SUM(F443:F454)</f>
        <v>13526013.537216896</v>
      </c>
      <c r="G455" s="100">
        <f t="shared" ref="G455:M455" si="481">SUM(G443:G454)</f>
        <v>0</v>
      </c>
      <c r="H455" s="100">
        <f t="shared" si="481"/>
        <v>0</v>
      </c>
      <c r="I455" s="100">
        <f t="shared" si="481"/>
        <v>0</v>
      </c>
      <c r="J455" s="100">
        <f t="shared" si="481"/>
        <v>0</v>
      </c>
      <c r="K455" s="100">
        <f t="shared" si="481"/>
        <v>0</v>
      </c>
      <c r="L455" s="100">
        <f t="shared" si="481"/>
        <v>0</v>
      </c>
      <c r="M455" s="100">
        <f t="shared" si="481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82">SUM(S443:S454)</f>
        <v>0</v>
      </c>
      <c r="T455" s="100">
        <f t="shared" si="482"/>
        <v>1758888.8093808363</v>
      </c>
      <c r="U455" s="100">
        <f t="shared" si="482"/>
        <v>0</v>
      </c>
      <c r="V455" s="100">
        <f t="shared" si="482"/>
        <v>1107137.1508740997</v>
      </c>
      <c r="W455" s="100">
        <f t="shared" si="482"/>
        <v>1799459.2143168019</v>
      </c>
      <c r="X455" s="100">
        <f t="shared" si="482"/>
        <v>555597.45288672729</v>
      </c>
      <c r="Y455" s="100">
        <f t="shared" si="482"/>
        <v>823105.61780955526</v>
      </c>
      <c r="Z455" s="100">
        <f t="shared" si="482"/>
        <v>342591.12541148311</v>
      </c>
      <c r="AA455" s="100">
        <f t="shared" si="482"/>
        <v>304864.79188444995</v>
      </c>
      <c r="AB455" s="100">
        <f t="shared" si="482"/>
        <v>204098.54165836229</v>
      </c>
      <c r="AC455" s="100">
        <f t="shared" si="482"/>
        <v>6388719.5122327032</v>
      </c>
      <c r="AD455" s="100">
        <f t="shared" si="482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997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1061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377</v>
      </c>
      <c r="C469" s="97" t="s">
        <v>1018</v>
      </c>
      <c r="D469" s="97" t="s">
        <v>747</v>
      </c>
      <c r="F469" s="100">
        <f>'Jurisdictional Study'!F1385</f>
        <v>0</v>
      </c>
      <c r="H469" s="101">
        <f t="shared" ref="H469:H477" si="483">IF(VLOOKUP($D469,$C$5:$AJ$644,6,)=0,0,((VLOOKUP($D469,$C$5:$AJ$644,6,)/VLOOKUP($D469,$C$5:$AJ$644,4,))*$F469))</f>
        <v>0</v>
      </c>
      <c r="I469" s="101">
        <f t="shared" ref="I469:I477" si="484">IF(VLOOKUP($D469,$C$5:$AJ$644,7,)=0,0,((VLOOKUP($D469,$C$5:$AJ$644,7,)/VLOOKUP($D469,$C$5:$AJ$644,4,))*$F469))</f>
        <v>0</v>
      </c>
      <c r="J469" s="101">
        <f t="shared" ref="J469:J477" si="485">IF(VLOOKUP($D469,$C$5:$AJ$644,8,)=0,0,((VLOOKUP($D469,$C$5:$AJ$644,8,)/VLOOKUP($D469,$C$5:$AJ$644,4,))*$F469))</f>
        <v>0</v>
      </c>
      <c r="K469" s="101">
        <f t="shared" ref="K469:K477" si="486">IF(VLOOKUP($D469,$C$5:$AJ$644,9,)=0,0,((VLOOKUP($D469,$C$5:$AJ$644,9,)/VLOOKUP($D469,$C$5:$AJ$644,4,))*$F469))</f>
        <v>0</v>
      </c>
      <c r="L469" s="101">
        <f t="shared" ref="L469:L477" si="487">IF(VLOOKUP($D469,$C$5:$AJ$644,10,)=0,0,((VLOOKUP($D469,$C$5:$AJ$644,10,)/VLOOKUP($D469,$C$5:$AJ$644,4,))*$F469))</f>
        <v>0</v>
      </c>
      <c r="M469" s="101">
        <f t="shared" ref="M469:M477" si="488">IF(VLOOKUP($D469,$C$5:$AJ$644,11,)=0,0,((VLOOKUP($D469,$C$5:$AJ$644,11,)/VLOOKUP($D469,$C$5:$AJ$644,4,))*$F469))</f>
        <v>0</v>
      </c>
      <c r="N469" s="101"/>
      <c r="O469" s="101">
        <f t="shared" ref="O469:O477" si="489">IF(VLOOKUP($D469,$C$5:$AJ$644,13,)=0,0,((VLOOKUP($D469,$C$5:$AJ$644,13,)/VLOOKUP($D469,$C$5:$AJ$644,4,))*$F469))</f>
        <v>0</v>
      </c>
      <c r="P469" s="101">
        <f t="shared" ref="P469:P477" si="490">IF(VLOOKUP($D469,$C$5:$AJ$644,14,)=0,0,((VLOOKUP($D469,$C$5:$AJ$644,14,)/VLOOKUP($D469,$C$5:$AJ$644,4,))*$F469))</f>
        <v>0</v>
      </c>
      <c r="Q469" s="101">
        <f t="shared" ref="Q469:Q477" si="491">IF(VLOOKUP($D469,$C$5:$AJ$644,15,)=0,0,((VLOOKUP($D469,$C$5:$AJ$644,15,)/VLOOKUP($D469,$C$5:$AJ$644,4,))*$F469))</f>
        <v>0</v>
      </c>
      <c r="R469" s="101"/>
      <c r="S469" s="101">
        <f t="shared" ref="S469:S477" si="492">IF(VLOOKUP($D469,$C$5:$AJ$644,17,)=0,0,((VLOOKUP($D469,$C$5:$AJ$644,17,)/VLOOKUP($D469,$C$5:$AJ$644,4,))*$F469))</f>
        <v>0</v>
      </c>
      <c r="T469" s="101">
        <f t="shared" ref="T469:T477" si="493">IF(VLOOKUP($D469,$C$5:$AJ$644,18,)=0,0,((VLOOKUP($D469,$C$5:$AJ$644,18,)/VLOOKUP($D469,$C$5:$AJ$644,4,))*$F469))</f>
        <v>0</v>
      </c>
      <c r="U469" s="101">
        <f t="shared" ref="U469:U477" si="494">IF(VLOOKUP($D469,$C$5:$AJ$644,19,)=0,0,((VLOOKUP($D469,$C$5:$AJ$644,19,)/VLOOKUP($D469,$C$5:$AJ$644,4,))*$F469))</f>
        <v>0</v>
      </c>
      <c r="V469" s="101">
        <f t="shared" ref="V469:V477" si="495">IF(VLOOKUP($D469,$C$5:$AJ$644,20,)=0,0,((VLOOKUP($D469,$C$5:$AJ$644,20,)/VLOOKUP($D469,$C$5:$AJ$644,4,))*$F469))</f>
        <v>0</v>
      </c>
      <c r="W469" s="101">
        <f t="shared" ref="W469:W477" si="496">IF(VLOOKUP($D469,$C$5:$AJ$644,21,)=0,0,((VLOOKUP($D469,$C$5:$AJ$644,21,)/VLOOKUP($D469,$C$5:$AJ$644,4,))*$F469))</f>
        <v>0</v>
      </c>
      <c r="X469" s="101">
        <f t="shared" ref="X469:X477" si="497">IF(VLOOKUP($D469,$C$5:$AJ$644,22,)=0,0,((VLOOKUP($D469,$C$5:$AJ$644,22,)/VLOOKUP($D469,$C$5:$AJ$644,4,))*$F469))</f>
        <v>0</v>
      </c>
      <c r="Y469" s="101">
        <f t="shared" ref="Y469:Y477" si="498">IF(VLOOKUP($D469,$C$5:$AJ$644,23,)=0,0,((VLOOKUP($D469,$C$5:$AJ$644,23,)/VLOOKUP($D469,$C$5:$AJ$644,4,))*$F469))</f>
        <v>0</v>
      </c>
      <c r="Z469" s="101">
        <f t="shared" ref="Z469:Z477" si="499">IF(VLOOKUP($D469,$C$5:$AJ$644,24,)=0,0,((VLOOKUP($D469,$C$5:$AJ$644,24,)/VLOOKUP($D469,$C$5:$AJ$644,4,))*$F469))</f>
        <v>0</v>
      </c>
      <c r="AA469" s="101">
        <f t="shared" ref="AA469:AA477" si="500">IF(VLOOKUP($D469,$C$5:$AJ$644,25,)=0,0,((VLOOKUP($D469,$C$5:$AJ$644,25,)/VLOOKUP($D469,$C$5:$AJ$644,4,))*$F469))</f>
        <v>0</v>
      </c>
      <c r="AB469" s="101">
        <f t="shared" ref="AB469:AB477" si="501">IF(VLOOKUP($D469,$C$5:$AJ$644,26,)=0,0,((VLOOKUP($D469,$C$5:$AJ$644,26,)/VLOOKUP($D469,$C$5:$AJ$644,4,))*$F469))</f>
        <v>0</v>
      </c>
      <c r="AC469" s="101">
        <f t="shared" ref="AC469:AC477" si="502">IF(VLOOKUP($D469,$C$5:$AJ$644,27,)=0,0,((VLOOKUP($D469,$C$5:$AJ$644,27,)/VLOOKUP($D469,$C$5:$AJ$644,4,))*$F469))</f>
        <v>0</v>
      </c>
      <c r="AD469" s="101">
        <f t="shared" ref="AD469:AD477" si="503">IF(VLOOKUP($D469,$C$5:$AJ$644,28,)=0,0,((VLOOKUP($D469,$C$5:$AJ$644,28,)/VLOOKUP($D469,$C$5:$AJ$644,4,))*$F469))</f>
        <v>0</v>
      </c>
      <c r="AE469" s="101"/>
      <c r="AF469" s="101">
        <f t="shared" ref="AF469:AF477" si="504">IF(VLOOKUP($D469,$C$5:$AJ$644,30,)=0,0,((VLOOKUP($D469,$C$5:$AJ$644,30,)/VLOOKUP($D469,$C$5:$AJ$644,4,))*$F469))</f>
        <v>0</v>
      </c>
      <c r="AG469" s="101"/>
      <c r="AH469" s="101">
        <f t="shared" ref="AH469:AH477" si="505">IF(VLOOKUP($D469,$C$5:$AJ$644,32,)=0,0,((VLOOKUP($D469,$C$5:$AJ$644,32,)/VLOOKUP($D469,$C$5:$AJ$644,4,))*$F469))</f>
        <v>0</v>
      </c>
      <c r="AI469" s="101"/>
      <c r="AJ469" s="101">
        <f t="shared" ref="AJ469:AJ477" si="506">IF(VLOOKUP($D469,$C$5:$AJ$644,34,)=0,0,((VLOOKUP($D469,$C$5:$AJ$644,34,)/VLOOKUP($D469,$C$5:$AJ$644,4,))*$F469))</f>
        <v>0</v>
      </c>
      <c r="AK469" s="101">
        <f t="shared" ref="AK469:AK477" si="507">SUM(H469:AJ469)</f>
        <v>0</v>
      </c>
      <c r="AL469" s="98" t="str">
        <f t="shared" ref="AL469:AL477" si="508">IF(ABS(AK469-F469)&lt;1,"ok","err")</f>
        <v>ok</v>
      </c>
    </row>
    <row r="470" spans="1:38" x14ac:dyDescent="0.25">
      <c r="A470" s="97">
        <v>591</v>
      </c>
      <c r="B470" s="97" t="s">
        <v>584</v>
      </c>
      <c r="C470" s="97" t="s">
        <v>760</v>
      </c>
      <c r="D470" s="97" t="s">
        <v>119</v>
      </c>
      <c r="F470" s="101">
        <f>'Jurisdictional Study'!F1386</f>
        <v>0</v>
      </c>
      <c r="H470" s="101">
        <f t="shared" si="483"/>
        <v>0</v>
      </c>
      <c r="I470" s="101">
        <f t="shared" si="484"/>
        <v>0</v>
      </c>
      <c r="J470" s="101">
        <f t="shared" si="485"/>
        <v>0</v>
      </c>
      <c r="K470" s="101">
        <f t="shared" si="486"/>
        <v>0</v>
      </c>
      <c r="L470" s="101">
        <f t="shared" si="487"/>
        <v>0</v>
      </c>
      <c r="M470" s="101">
        <f t="shared" si="488"/>
        <v>0</v>
      </c>
      <c r="N470" s="101"/>
      <c r="O470" s="101">
        <f t="shared" si="489"/>
        <v>0</v>
      </c>
      <c r="P470" s="101">
        <f t="shared" si="490"/>
        <v>0</v>
      </c>
      <c r="Q470" s="101">
        <f t="shared" si="491"/>
        <v>0</v>
      </c>
      <c r="R470" s="101"/>
      <c r="S470" s="101">
        <f t="shared" si="492"/>
        <v>0</v>
      </c>
      <c r="T470" s="101">
        <f t="shared" si="493"/>
        <v>0</v>
      </c>
      <c r="U470" s="101">
        <f t="shared" si="494"/>
        <v>0</v>
      </c>
      <c r="V470" s="101">
        <f t="shared" si="495"/>
        <v>0</v>
      </c>
      <c r="W470" s="101">
        <f t="shared" si="496"/>
        <v>0</v>
      </c>
      <c r="X470" s="101">
        <f t="shared" si="497"/>
        <v>0</v>
      </c>
      <c r="Y470" s="101">
        <f t="shared" si="498"/>
        <v>0</v>
      </c>
      <c r="Z470" s="101">
        <f t="shared" si="499"/>
        <v>0</v>
      </c>
      <c r="AA470" s="101">
        <f t="shared" si="500"/>
        <v>0</v>
      </c>
      <c r="AB470" s="101">
        <f t="shared" si="501"/>
        <v>0</v>
      </c>
      <c r="AC470" s="101">
        <f t="shared" si="502"/>
        <v>0</v>
      </c>
      <c r="AD470" s="101">
        <f t="shared" si="503"/>
        <v>0</v>
      </c>
      <c r="AE470" s="101"/>
      <c r="AF470" s="101">
        <f t="shared" si="504"/>
        <v>0</v>
      </c>
      <c r="AG470" s="101"/>
      <c r="AH470" s="101">
        <f t="shared" si="505"/>
        <v>0</v>
      </c>
      <c r="AI470" s="101"/>
      <c r="AJ470" s="101">
        <f t="shared" si="506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379</v>
      </c>
      <c r="C471" s="97" t="s">
        <v>1019</v>
      </c>
      <c r="D471" s="97" t="s">
        <v>119</v>
      </c>
      <c r="F471" s="101">
        <f>'Jurisdictional Study'!F1387</f>
        <v>605268.88174267509</v>
      </c>
      <c r="H471" s="101">
        <f t="shared" si="483"/>
        <v>0</v>
      </c>
      <c r="I471" s="101">
        <f t="shared" si="484"/>
        <v>0</v>
      </c>
      <c r="J471" s="101">
        <f t="shared" si="485"/>
        <v>0</v>
      </c>
      <c r="K471" s="101">
        <f t="shared" si="486"/>
        <v>0</v>
      </c>
      <c r="L471" s="101">
        <f t="shared" si="487"/>
        <v>0</v>
      </c>
      <c r="M471" s="101">
        <f t="shared" si="488"/>
        <v>0</v>
      </c>
      <c r="N471" s="101"/>
      <c r="O471" s="101">
        <f t="shared" si="489"/>
        <v>0</v>
      </c>
      <c r="P471" s="101">
        <f t="shared" si="490"/>
        <v>0</v>
      </c>
      <c r="Q471" s="101">
        <f t="shared" si="491"/>
        <v>0</v>
      </c>
      <c r="R471" s="101"/>
      <c r="S471" s="101">
        <f t="shared" si="492"/>
        <v>0</v>
      </c>
      <c r="T471" s="101">
        <f t="shared" si="493"/>
        <v>605268.88174267509</v>
      </c>
      <c r="U471" s="101">
        <f t="shared" si="494"/>
        <v>0</v>
      </c>
      <c r="V471" s="101">
        <f t="shared" si="495"/>
        <v>0</v>
      </c>
      <c r="W471" s="101">
        <f t="shared" si="496"/>
        <v>0</v>
      </c>
      <c r="X471" s="101">
        <f t="shared" si="497"/>
        <v>0</v>
      </c>
      <c r="Y471" s="101">
        <f t="shared" si="498"/>
        <v>0</v>
      </c>
      <c r="Z471" s="101">
        <f t="shared" si="499"/>
        <v>0</v>
      </c>
      <c r="AA471" s="101">
        <f t="shared" si="500"/>
        <v>0</v>
      </c>
      <c r="AB471" s="101">
        <f t="shared" si="501"/>
        <v>0</v>
      </c>
      <c r="AC471" s="101">
        <f t="shared" si="502"/>
        <v>0</v>
      </c>
      <c r="AD471" s="101">
        <f t="shared" si="503"/>
        <v>0</v>
      </c>
      <c r="AE471" s="101"/>
      <c r="AF471" s="101">
        <f t="shared" si="504"/>
        <v>0</v>
      </c>
      <c r="AG471" s="101"/>
      <c r="AH471" s="101">
        <f t="shared" si="505"/>
        <v>0</v>
      </c>
      <c r="AI471" s="101"/>
      <c r="AJ471" s="101">
        <f t="shared" si="506"/>
        <v>0</v>
      </c>
      <c r="AK471" s="101">
        <f t="shared" si="507"/>
        <v>605268.88174267509</v>
      </c>
      <c r="AL471" s="98" t="str">
        <f t="shared" si="508"/>
        <v>ok</v>
      </c>
    </row>
    <row r="472" spans="1:38" x14ac:dyDescent="0.25">
      <c r="A472" s="97">
        <v>593</v>
      </c>
      <c r="B472" s="97" t="s">
        <v>381</v>
      </c>
      <c r="C472" s="97" t="s">
        <v>1020</v>
      </c>
      <c r="D472" s="97" t="s">
        <v>122</v>
      </c>
      <c r="F472" s="101">
        <f>'Jurisdictional Study'!F1388</f>
        <v>6158358.9636072675</v>
      </c>
      <c r="H472" s="101">
        <f t="shared" si="483"/>
        <v>0</v>
      </c>
      <c r="I472" s="101">
        <f t="shared" si="484"/>
        <v>0</v>
      </c>
      <c r="J472" s="101">
        <f t="shared" si="485"/>
        <v>0</v>
      </c>
      <c r="K472" s="101">
        <f t="shared" si="486"/>
        <v>0</v>
      </c>
      <c r="L472" s="101">
        <f t="shared" si="487"/>
        <v>0</v>
      </c>
      <c r="M472" s="101">
        <f t="shared" si="488"/>
        <v>0</v>
      </c>
      <c r="N472" s="101"/>
      <c r="O472" s="101">
        <f t="shared" si="489"/>
        <v>0</v>
      </c>
      <c r="P472" s="101">
        <f t="shared" si="490"/>
        <v>0</v>
      </c>
      <c r="Q472" s="101">
        <f t="shared" si="491"/>
        <v>0</v>
      </c>
      <c r="R472" s="101"/>
      <c r="S472" s="101">
        <f t="shared" si="492"/>
        <v>0</v>
      </c>
      <c r="T472" s="101">
        <f t="shared" si="493"/>
        <v>0</v>
      </c>
      <c r="U472" s="101">
        <f t="shared" si="494"/>
        <v>0</v>
      </c>
      <c r="V472" s="101">
        <f t="shared" si="495"/>
        <v>1638874.8656966831</v>
      </c>
      <c r="W472" s="101">
        <f t="shared" si="496"/>
        <v>2376991.0144716161</v>
      </c>
      <c r="X472" s="101">
        <f t="shared" si="497"/>
        <v>874351.42735144298</v>
      </c>
      <c r="Y472" s="101">
        <f t="shared" si="498"/>
        <v>1268141.6560875252</v>
      </c>
      <c r="Z472" s="101">
        <f t="shared" si="499"/>
        <v>0</v>
      </c>
      <c r="AA472" s="101">
        <f t="shared" si="500"/>
        <v>0</v>
      </c>
      <c r="AB472" s="101">
        <f t="shared" si="501"/>
        <v>0</v>
      </c>
      <c r="AC472" s="101">
        <f t="shared" si="502"/>
        <v>0</v>
      </c>
      <c r="AD472" s="101">
        <f t="shared" si="503"/>
        <v>0</v>
      </c>
      <c r="AE472" s="101"/>
      <c r="AF472" s="101">
        <f t="shared" si="504"/>
        <v>0</v>
      </c>
      <c r="AG472" s="101"/>
      <c r="AH472" s="101">
        <f t="shared" si="505"/>
        <v>0</v>
      </c>
      <c r="AI472" s="101"/>
      <c r="AJ472" s="101">
        <f t="shared" si="506"/>
        <v>0</v>
      </c>
      <c r="AK472" s="101">
        <f t="shared" si="507"/>
        <v>6158358.9636072675</v>
      </c>
      <c r="AL472" s="98" t="str">
        <f t="shared" si="508"/>
        <v>ok</v>
      </c>
    </row>
    <row r="473" spans="1:38" x14ac:dyDescent="0.25">
      <c r="A473" s="97">
        <v>594</v>
      </c>
      <c r="B473" s="97" t="s">
        <v>383</v>
      </c>
      <c r="C473" s="97" t="s">
        <v>1021</v>
      </c>
      <c r="D473" s="97" t="s">
        <v>125</v>
      </c>
      <c r="F473" s="101">
        <f>'Jurisdictional Study'!F1389</f>
        <v>413801.70867297339</v>
      </c>
      <c r="H473" s="101">
        <f t="shared" si="483"/>
        <v>0</v>
      </c>
      <c r="I473" s="101">
        <f t="shared" si="484"/>
        <v>0</v>
      </c>
      <c r="J473" s="101">
        <f t="shared" si="485"/>
        <v>0</v>
      </c>
      <c r="K473" s="101">
        <f t="shared" si="486"/>
        <v>0</v>
      </c>
      <c r="L473" s="101">
        <f t="shared" si="487"/>
        <v>0</v>
      </c>
      <c r="M473" s="101">
        <f t="shared" si="488"/>
        <v>0</v>
      </c>
      <c r="N473" s="101"/>
      <c r="O473" s="101">
        <f t="shared" si="489"/>
        <v>0</v>
      </c>
      <c r="P473" s="101">
        <f t="shared" si="490"/>
        <v>0</v>
      </c>
      <c r="Q473" s="101">
        <f t="shared" si="491"/>
        <v>0</v>
      </c>
      <c r="R473" s="101"/>
      <c r="S473" s="101">
        <f t="shared" si="492"/>
        <v>0</v>
      </c>
      <c r="T473" s="101">
        <f t="shared" si="493"/>
        <v>0</v>
      </c>
      <c r="U473" s="101">
        <f t="shared" si="494"/>
        <v>0</v>
      </c>
      <c r="V473" s="101">
        <f t="shared" si="495"/>
        <v>77463.924006588742</v>
      </c>
      <c r="W473" s="101">
        <f t="shared" si="496"/>
        <v>302447.42472606816</v>
      </c>
      <c r="X473" s="101">
        <f t="shared" si="497"/>
        <v>6910.2443918305389</v>
      </c>
      <c r="Y473" s="101">
        <f t="shared" si="498"/>
        <v>26980.115548485985</v>
      </c>
      <c r="Z473" s="101">
        <f t="shared" si="499"/>
        <v>0</v>
      </c>
      <c r="AA473" s="101">
        <f t="shared" si="500"/>
        <v>0</v>
      </c>
      <c r="AB473" s="101">
        <f t="shared" si="501"/>
        <v>0</v>
      </c>
      <c r="AC473" s="101">
        <f t="shared" si="502"/>
        <v>0</v>
      </c>
      <c r="AD473" s="101">
        <f t="shared" si="503"/>
        <v>0</v>
      </c>
      <c r="AE473" s="101"/>
      <c r="AF473" s="101">
        <f t="shared" si="504"/>
        <v>0</v>
      </c>
      <c r="AG473" s="101"/>
      <c r="AH473" s="101">
        <f t="shared" si="505"/>
        <v>0</v>
      </c>
      <c r="AI473" s="101"/>
      <c r="AJ473" s="101">
        <f t="shared" si="506"/>
        <v>0</v>
      </c>
      <c r="AK473" s="101">
        <f t="shared" si="507"/>
        <v>413801.70867297344</v>
      </c>
      <c r="AL473" s="98" t="str">
        <f t="shared" si="508"/>
        <v>ok</v>
      </c>
    </row>
    <row r="474" spans="1:38" x14ac:dyDescent="0.25">
      <c r="A474" s="97">
        <v>595</v>
      </c>
      <c r="B474" s="97" t="s">
        <v>385</v>
      </c>
      <c r="C474" s="97" t="s">
        <v>1022</v>
      </c>
      <c r="D474" s="97" t="s">
        <v>126</v>
      </c>
      <c r="F474" s="101">
        <f>'Jurisdictional Study'!F1390</f>
        <v>51420.421279841255</v>
      </c>
      <c r="H474" s="101">
        <f t="shared" si="483"/>
        <v>0</v>
      </c>
      <c r="I474" s="101">
        <f t="shared" si="484"/>
        <v>0</v>
      </c>
      <c r="J474" s="101">
        <f t="shared" si="485"/>
        <v>0</v>
      </c>
      <c r="K474" s="101">
        <f t="shared" si="486"/>
        <v>0</v>
      </c>
      <c r="L474" s="101">
        <f t="shared" si="487"/>
        <v>0</v>
      </c>
      <c r="M474" s="101">
        <f t="shared" si="488"/>
        <v>0</v>
      </c>
      <c r="N474" s="101"/>
      <c r="O474" s="101">
        <f t="shared" si="489"/>
        <v>0</v>
      </c>
      <c r="P474" s="101">
        <f t="shared" si="490"/>
        <v>0</v>
      </c>
      <c r="Q474" s="101">
        <f t="shared" si="491"/>
        <v>0</v>
      </c>
      <c r="R474" s="101"/>
      <c r="S474" s="101">
        <f t="shared" si="492"/>
        <v>0</v>
      </c>
      <c r="T474" s="101">
        <f t="shared" si="493"/>
        <v>0</v>
      </c>
      <c r="U474" s="101">
        <f t="shared" si="494"/>
        <v>0</v>
      </c>
      <c r="V474" s="101">
        <f t="shared" si="495"/>
        <v>0</v>
      </c>
      <c r="W474" s="101">
        <f t="shared" si="496"/>
        <v>0</v>
      </c>
      <c r="X474" s="101">
        <f t="shared" si="497"/>
        <v>0</v>
      </c>
      <c r="Y474" s="101">
        <f t="shared" si="498"/>
        <v>0</v>
      </c>
      <c r="Z474" s="101">
        <f t="shared" si="499"/>
        <v>27208.3079709372</v>
      </c>
      <c r="AA474" s="101">
        <f t="shared" si="500"/>
        <v>24212.113308904056</v>
      </c>
      <c r="AB474" s="101">
        <f t="shared" si="501"/>
        <v>0</v>
      </c>
      <c r="AC474" s="101">
        <f t="shared" si="502"/>
        <v>0</v>
      </c>
      <c r="AD474" s="101">
        <f t="shared" si="503"/>
        <v>0</v>
      </c>
      <c r="AE474" s="101"/>
      <c r="AF474" s="101">
        <f t="shared" si="504"/>
        <v>0</v>
      </c>
      <c r="AG474" s="101"/>
      <c r="AH474" s="101">
        <f t="shared" si="505"/>
        <v>0</v>
      </c>
      <c r="AI474" s="101"/>
      <c r="AJ474" s="101">
        <f t="shared" si="506"/>
        <v>0</v>
      </c>
      <c r="AK474" s="101">
        <f t="shared" si="507"/>
        <v>51420.421279841255</v>
      </c>
      <c r="AL474" s="98" t="str">
        <f t="shared" si="508"/>
        <v>ok</v>
      </c>
    </row>
    <row r="475" spans="1:38" x14ac:dyDescent="0.25">
      <c r="A475" s="97">
        <v>596</v>
      </c>
      <c r="B475" s="97" t="s">
        <v>481</v>
      </c>
      <c r="C475" s="97" t="s">
        <v>1023</v>
      </c>
      <c r="D475" s="97" t="s">
        <v>181</v>
      </c>
      <c r="F475" s="101">
        <f>'Jurisdictional Study'!F1391</f>
        <v>0</v>
      </c>
      <c r="H475" s="101">
        <f t="shared" si="483"/>
        <v>0</v>
      </c>
      <c r="I475" s="101">
        <f t="shared" si="484"/>
        <v>0</v>
      </c>
      <c r="J475" s="101">
        <f t="shared" si="485"/>
        <v>0</v>
      </c>
      <c r="K475" s="101">
        <f t="shared" si="486"/>
        <v>0</v>
      </c>
      <c r="L475" s="101">
        <f t="shared" si="487"/>
        <v>0</v>
      </c>
      <c r="M475" s="101">
        <f t="shared" si="488"/>
        <v>0</v>
      </c>
      <c r="N475" s="101"/>
      <c r="O475" s="101">
        <f t="shared" si="489"/>
        <v>0</v>
      </c>
      <c r="P475" s="101">
        <f t="shared" si="490"/>
        <v>0</v>
      </c>
      <c r="Q475" s="101">
        <f t="shared" si="491"/>
        <v>0</v>
      </c>
      <c r="R475" s="101"/>
      <c r="S475" s="101">
        <f t="shared" si="492"/>
        <v>0</v>
      </c>
      <c r="T475" s="101">
        <f t="shared" si="493"/>
        <v>0</v>
      </c>
      <c r="U475" s="101">
        <f t="shared" si="494"/>
        <v>0</v>
      </c>
      <c r="V475" s="101">
        <f t="shared" si="495"/>
        <v>0</v>
      </c>
      <c r="W475" s="101">
        <f t="shared" si="496"/>
        <v>0</v>
      </c>
      <c r="X475" s="101">
        <f t="shared" si="497"/>
        <v>0</v>
      </c>
      <c r="Y475" s="101">
        <f t="shared" si="498"/>
        <v>0</v>
      </c>
      <c r="Z475" s="101">
        <f t="shared" si="499"/>
        <v>0</v>
      </c>
      <c r="AA475" s="101">
        <f t="shared" si="500"/>
        <v>0</v>
      </c>
      <c r="AB475" s="101">
        <f t="shared" si="501"/>
        <v>0</v>
      </c>
      <c r="AC475" s="101">
        <f t="shared" si="502"/>
        <v>0</v>
      </c>
      <c r="AD475" s="101">
        <f t="shared" si="503"/>
        <v>0</v>
      </c>
      <c r="AE475" s="101"/>
      <c r="AF475" s="101">
        <f t="shared" si="504"/>
        <v>0</v>
      </c>
      <c r="AG475" s="101"/>
      <c r="AH475" s="101">
        <f t="shared" si="505"/>
        <v>0</v>
      </c>
      <c r="AI475" s="101"/>
      <c r="AJ475" s="101">
        <f t="shared" si="506"/>
        <v>0</v>
      </c>
      <c r="AK475" s="101">
        <f t="shared" si="507"/>
        <v>0</v>
      </c>
      <c r="AL475" s="98" t="str">
        <f t="shared" si="508"/>
        <v>ok</v>
      </c>
    </row>
    <row r="476" spans="1:38" x14ac:dyDescent="0.25">
      <c r="A476" s="97">
        <v>597</v>
      </c>
      <c r="B476" s="97" t="s">
        <v>387</v>
      </c>
      <c r="C476" s="97" t="s">
        <v>1024</v>
      </c>
      <c r="D476" s="97" t="s">
        <v>178</v>
      </c>
      <c r="F476" s="101">
        <f>'Jurisdictional Study'!F1392</f>
        <v>0</v>
      </c>
      <c r="H476" s="101">
        <f t="shared" si="483"/>
        <v>0</v>
      </c>
      <c r="I476" s="101">
        <f t="shared" si="484"/>
        <v>0</v>
      </c>
      <c r="J476" s="101">
        <f t="shared" si="485"/>
        <v>0</v>
      </c>
      <c r="K476" s="101">
        <f t="shared" si="486"/>
        <v>0</v>
      </c>
      <c r="L476" s="101">
        <f t="shared" si="487"/>
        <v>0</v>
      </c>
      <c r="M476" s="101">
        <f t="shared" si="488"/>
        <v>0</v>
      </c>
      <c r="N476" s="101"/>
      <c r="O476" s="101">
        <f t="shared" si="489"/>
        <v>0</v>
      </c>
      <c r="P476" s="101">
        <f t="shared" si="490"/>
        <v>0</v>
      </c>
      <c r="Q476" s="101">
        <f t="shared" si="491"/>
        <v>0</v>
      </c>
      <c r="R476" s="101"/>
      <c r="S476" s="101">
        <f t="shared" si="492"/>
        <v>0</v>
      </c>
      <c r="T476" s="101">
        <f t="shared" si="493"/>
        <v>0</v>
      </c>
      <c r="U476" s="101">
        <f t="shared" si="494"/>
        <v>0</v>
      </c>
      <c r="V476" s="101">
        <f t="shared" si="495"/>
        <v>0</v>
      </c>
      <c r="W476" s="101">
        <f t="shared" si="496"/>
        <v>0</v>
      </c>
      <c r="X476" s="101">
        <f t="shared" si="497"/>
        <v>0</v>
      </c>
      <c r="Y476" s="101">
        <f t="shared" si="498"/>
        <v>0</v>
      </c>
      <c r="Z476" s="101">
        <f t="shared" si="499"/>
        <v>0</v>
      </c>
      <c r="AA476" s="101">
        <f t="shared" si="500"/>
        <v>0</v>
      </c>
      <c r="AB476" s="101">
        <f t="shared" si="501"/>
        <v>0</v>
      </c>
      <c r="AC476" s="101">
        <f t="shared" si="502"/>
        <v>0</v>
      </c>
      <c r="AD476" s="101">
        <f t="shared" si="503"/>
        <v>0</v>
      </c>
      <c r="AE476" s="101"/>
      <c r="AF476" s="101">
        <f t="shared" si="504"/>
        <v>0</v>
      </c>
      <c r="AG476" s="101"/>
      <c r="AH476" s="101">
        <f t="shared" si="505"/>
        <v>0</v>
      </c>
      <c r="AI476" s="101"/>
      <c r="AJ476" s="101">
        <f t="shared" si="506"/>
        <v>0</v>
      </c>
      <c r="AK476" s="101">
        <f t="shared" si="507"/>
        <v>0</v>
      </c>
      <c r="AL476" s="98" t="str">
        <f t="shared" si="508"/>
        <v>ok</v>
      </c>
    </row>
    <row r="477" spans="1:38" x14ac:dyDescent="0.25">
      <c r="A477" s="97">
        <v>598</v>
      </c>
      <c r="B477" s="97" t="s">
        <v>485</v>
      </c>
      <c r="C477" s="97" t="s">
        <v>1025</v>
      </c>
      <c r="D477" s="97" t="s">
        <v>115</v>
      </c>
      <c r="F477" s="101">
        <f>'Jurisdictional Study'!F1393</f>
        <v>0</v>
      </c>
      <c r="H477" s="101">
        <f t="shared" si="483"/>
        <v>0</v>
      </c>
      <c r="I477" s="101">
        <f t="shared" si="484"/>
        <v>0</v>
      </c>
      <c r="J477" s="101">
        <f t="shared" si="485"/>
        <v>0</v>
      </c>
      <c r="K477" s="101">
        <f t="shared" si="486"/>
        <v>0</v>
      </c>
      <c r="L477" s="101">
        <f t="shared" si="487"/>
        <v>0</v>
      </c>
      <c r="M477" s="101">
        <f t="shared" si="488"/>
        <v>0</v>
      </c>
      <c r="N477" s="101"/>
      <c r="O477" s="101">
        <f t="shared" si="489"/>
        <v>0</v>
      </c>
      <c r="P477" s="101">
        <f t="shared" si="490"/>
        <v>0</v>
      </c>
      <c r="Q477" s="101">
        <f t="shared" si="491"/>
        <v>0</v>
      </c>
      <c r="R477" s="101"/>
      <c r="S477" s="101">
        <f t="shared" si="492"/>
        <v>0</v>
      </c>
      <c r="T477" s="101">
        <f t="shared" si="493"/>
        <v>0</v>
      </c>
      <c r="U477" s="101">
        <f t="shared" si="494"/>
        <v>0</v>
      </c>
      <c r="V477" s="101">
        <f t="shared" si="495"/>
        <v>0</v>
      </c>
      <c r="W477" s="101">
        <f t="shared" si="496"/>
        <v>0</v>
      </c>
      <c r="X477" s="101">
        <f t="shared" si="497"/>
        <v>0</v>
      </c>
      <c r="Y477" s="101">
        <f t="shared" si="498"/>
        <v>0</v>
      </c>
      <c r="Z477" s="101">
        <f t="shared" si="499"/>
        <v>0</v>
      </c>
      <c r="AA477" s="101">
        <f t="shared" si="500"/>
        <v>0</v>
      </c>
      <c r="AB477" s="101">
        <f t="shared" si="501"/>
        <v>0</v>
      </c>
      <c r="AC477" s="101">
        <f t="shared" si="502"/>
        <v>0</v>
      </c>
      <c r="AD477" s="101">
        <f t="shared" si="503"/>
        <v>0</v>
      </c>
      <c r="AE477" s="101"/>
      <c r="AF477" s="101">
        <f t="shared" si="504"/>
        <v>0</v>
      </c>
      <c r="AG477" s="101"/>
      <c r="AH477" s="101">
        <f t="shared" si="505"/>
        <v>0</v>
      </c>
      <c r="AI477" s="101"/>
      <c r="AJ477" s="101">
        <f t="shared" si="506"/>
        <v>0</v>
      </c>
      <c r="AK477" s="101">
        <f t="shared" si="507"/>
        <v>0</v>
      </c>
      <c r="AL477" s="98" t="str">
        <f t="shared" si="508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1062</v>
      </c>
      <c r="C479" s="97" t="s">
        <v>1026</v>
      </c>
      <c r="F479" s="100">
        <f t="shared" ref="F479:M479" si="509">SUM(F469:F478)</f>
        <v>7228849.9753027568</v>
      </c>
      <c r="G479" s="100">
        <f t="shared" si="509"/>
        <v>0</v>
      </c>
      <c r="H479" s="100">
        <f t="shared" si="509"/>
        <v>0</v>
      </c>
      <c r="I479" s="100">
        <f t="shared" si="509"/>
        <v>0</v>
      </c>
      <c r="J479" s="100">
        <f t="shared" si="509"/>
        <v>0</v>
      </c>
      <c r="K479" s="100">
        <f t="shared" si="509"/>
        <v>0</v>
      </c>
      <c r="L479" s="100">
        <f t="shared" si="509"/>
        <v>0</v>
      </c>
      <c r="M479" s="100">
        <f t="shared" si="509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10">SUM(S469:S478)</f>
        <v>0</v>
      </c>
      <c r="T479" s="100">
        <f t="shared" si="510"/>
        <v>605268.88174267509</v>
      </c>
      <c r="U479" s="100">
        <f t="shared" si="510"/>
        <v>0</v>
      </c>
      <c r="V479" s="100">
        <f t="shared" si="510"/>
        <v>1716338.7897032718</v>
      </c>
      <c r="W479" s="100">
        <f t="shared" si="510"/>
        <v>2679438.4391976842</v>
      </c>
      <c r="X479" s="100">
        <f t="shared" si="510"/>
        <v>881261.6717432735</v>
      </c>
      <c r="Y479" s="100">
        <f t="shared" si="510"/>
        <v>1295121.7716360111</v>
      </c>
      <c r="Z479" s="100">
        <f t="shared" si="510"/>
        <v>27208.3079709372</v>
      </c>
      <c r="AA479" s="100">
        <f t="shared" si="510"/>
        <v>24212.113308904056</v>
      </c>
      <c r="AB479" s="100">
        <f t="shared" si="510"/>
        <v>0</v>
      </c>
      <c r="AC479" s="100">
        <f t="shared" si="510"/>
        <v>0</v>
      </c>
      <c r="AD479" s="100">
        <f t="shared" si="510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1063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>IF(VLOOKUP($D481,$C$5:$AJ$644,6,)=0,0,((VLOOKUP($D481,$C$5:$AJ$644,6,)/VLOOKUP($D481,$C$5:$AJ$644,4,))*$F481))</f>
        <v>0</v>
      </c>
      <c r="I481" s="101">
        <f>IF(VLOOKUP($D481,$C$5:$AJ$644,7,)=0,0,((VLOOKUP($D481,$C$5:$AJ$644,7,)/VLOOKUP($D481,$C$5:$AJ$644,4,))*$F481))</f>
        <v>0</v>
      </c>
      <c r="J481" s="101">
        <f>IF(VLOOKUP($D481,$C$5:$AJ$644,8,)=0,0,((VLOOKUP($D481,$C$5:$AJ$644,8,)/VLOOKUP($D481,$C$5:$AJ$644,4,))*$F481))</f>
        <v>0</v>
      </c>
      <c r="K481" s="101">
        <f>IF(VLOOKUP($D481,$C$5:$AJ$644,9,)=0,0,((VLOOKUP($D481,$C$5:$AJ$644,9,)/VLOOKUP($D481,$C$5:$AJ$644,4,))*$F481))</f>
        <v>0</v>
      </c>
      <c r="L481" s="101">
        <f>IF(VLOOKUP($D481,$C$5:$AJ$644,10,)=0,0,((VLOOKUP($D481,$C$5:$AJ$644,10,)/VLOOKUP($D481,$C$5:$AJ$644,4,))*$F481))</f>
        <v>0</v>
      </c>
      <c r="M481" s="101">
        <f>IF(VLOOKUP($D481,$C$5:$AJ$644,11,)=0,0,((VLOOKUP($D481,$C$5:$AJ$644,11,)/VLOOKUP($D481,$C$5:$AJ$644,4,))*$F481))</f>
        <v>0</v>
      </c>
      <c r="N481" s="101"/>
      <c r="O481" s="101">
        <f>IF(VLOOKUP($D481,$C$5:$AJ$644,13,)=0,0,((VLOOKUP($D481,$C$5:$AJ$644,13,)/VLOOKUP($D481,$C$5:$AJ$644,4,))*$F481))</f>
        <v>0</v>
      </c>
      <c r="P481" s="101">
        <f>IF(VLOOKUP($D481,$C$5:$AJ$644,14,)=0,0,((VLOOKUP($D481,$C$5:$AJ$644,14,)/VLOOKUP($D481,$C$5:$AJ$644,4,))*$F481))</f>
        <v>0</v>
      </c>
      <c r="Q481" s="101">
        <f>IF(VLOOKUP($D481,$C$5:$AJ$644,15,)=0,0,((VLOOKUP($D481,$C$5:$AJ$644,15,)/VLOOKUP($D481,$C$5:$AJ$644,4,))*$F481))</f>
        <v>0</v>
      </c>
      <c r="R481" s="101"/>
      <c r="S481" s="101">
        <f>IF(VLOOKUP($D481,$C$5:$AJ$644,17,)=0,0,((VLOOKUP($D481,$C$5:$AJ$644,17,)/VLOOKUP($D481,$C$5:$AJ$644,4,))*$F481))</f>
        <v>0</v>
      </c>
      <c r="T481" s="101">
        <f>IF(VLOOKUP($D481,$C$5:$AJ$644,18,)=0,0,((VLOOKUP($D481,$C$5:$AJ$644,18,)/VLOOKUP($D481,$C$5:$AJ$644,4,))*$F481))</f>
        <v>2512859.7761750342</v>
      </c>
      <c r="U481" s="101">
        <f>IF(VLOOKUP($D481,$C$5:$AJ$644,19,)=0,0,((VLOOKUP($D481,$C$5:$AJ$644,19,)/VLOOKUP($D481,$C$5:$AJ$644,4,))*$F481))</f>
        <v>0</v>
      </c>
      <c r="V481" s="101">
        <f>IF(VLOOKUP($D481,$C$5:$AJ$644,20,)=0,0,((VLOOKUP($D481,$C$5:$AJ$644,20,)/VLOOKUP($D481,$C$5:$AJ$644,4,))*$F481))</f>
        <v>2738243.0671237414</v>
      </c>
      <c r="W481" s="101">
        <f>IF(VLOOKUP($D481,$C$5:$AJ$644,21,)=0,0,((VLOOKUP($D481,$C$5:$AJ$644,21,)/VLOOKUP($D481,$C$5:$AJ$644,4,))*$F481))</f>
        <v>5077825.2225843379</v>
      </c>
      <c r="X481" s="101">
        <f>IF(VLOOKUP($D481,$C$5:$AJ$644,22,)=0,0,((VLOOKUP($D481,$C$5:$AJ$644,22,)/VLOOKUP($D481,$C$5:$AJ$644,4,))*$F481))</f>
        <v>1260567.4251259139</v>
      </c>
      <c r="Y481" s="101">
        <f>IF(VLOOKUP($D481,$C$5:$AJ$644,23,)=0,0,((VLOOKUP($D481,$C$5:$AJ$644,23,)/VLOOKUP($D481,$C$5:$AJ$644,4,))*$F481))</f>
        <v>1926993.027404638</v>
      </c>
      <c r="Z481" s="101">
        <f>IF(VLOOKUP($D481,$C$5:$AJ$644,24,)=0,0,((VLOOKUP($D481,$C$5:$AJ$644,24,)/VLOOKUP($D481,$C$5:$AJ$644,4,))*$F481))</f>
        <v>1956838.714972235</v>
      </c>
      <c r="AA481" s="101">
        <f>IF(VLOOKUP($D481,$C$5:$AJ$644,25,)=0,0,((VLOOKUP($D481,$C$5:$AJ$644,25,)/VLOOKUP($D481,$C$5:$AJ$644,4,))*$F481))</f>
        <v>1741350.5001768759</v>
      </c>
      <c r="AB481" s="101">
        <f>IF(VLOOKUP($D481,$C$5:$AJ$644,26,)=0,0,((VLOOKUP($D481,$C$5:$AJ$644,26,)/VLOOKUP($D481,$C$5:$AJ$644,4,))*$F481))</f>
        <v>1165785.9715623269</v>
      </c>
      <c r="AC481" s="101">
        <f>IF(VLOOKUP($D481,$C$5:$AJ$644,27,)=0,0,((VLOOKUP($D481,$C$5:$AJ$644,27,)/VLOOKUP($D481,$C$5:$AJ$644,4,))*$F481))</f>
        <v>994688.13053254341</v>
      </c>
      <c r="AD481" s="101">
        <f>IF(VLOOKUP($D481,$C$5:$AJ$644,28,)=0,0,((VLOOKUP($D481,$C$5:$AJ$644,28,)/VLOOKUP($D481,$C$5:$AJ$644,4,))*$F481))</f>
        <v>1379711.6768620063</v>
      </c>
      <c r="AE481" s="101"/>
      <c r="AF481" s="101">
        <f>IF(VLOOKUP($D481,$C$5:$AJ$644,30,)=0,0,((VLOOKUP($D481,$C$5:$AJ$644,30,)/VLOOKUP($D481,$C$5:$AJ$644,4,))*$F481))</f>
        <v>0</v>
      </c>
      <c r="AG481" s="101"/>
      <c r="AH481" s="101">
        <f>IF(VLOOKUP($D481,$C$5:$AJ$644,32,)=0,0,((VLOOKUP($D481,$C$5:$AJ$644,32,)/VLOOKUP($D481,$C$5:$AJ$644,4,))*$F481))</f>
        <v>0</v>
      </c>
      <c r="AI481" s="101"/>
      <c r="AJ481" s="101">
        <f>IF(VLOOKUP($D481,$C$5:$AJ$644,34,)=0,0,((VLOOKUP($D481,$C$5:$AJ$644,34,)/VLOOKUP($D481,$C$5:$AJ$644,4,))*$F481))</f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1064</v>
      </c>
      <c r="F483" s="101">
        <f t="shared" ref="F483:M483" si="511">F481+F440</f>
        <v>27496862.852552492</v>
      </c>
      <c r="G483" s="101">
        <f t="shared" si="511"/>
        <v>0</v>
      </c>
      <c r="H483" s="101">
        <f t="shared" si="511"/>
        <v>0</v>
      </c>
      <c r="I483" s="101">
        <f t="shared" si="511"/>
        <v>0</v>
      </c>
      <c r="J483" s="101">
        <f t="shared" si="511"/>
        <v>0</v>
      </c>
      <c r="K483" s="101">
        <f t="shared" si="511"/>
        <v>0</v>
      </c>
      <c r="L483" s="101">
        <f t="shared" si="511"/>
        <v>0</v>
      </c>
      <c r="M483" s="101">
        <f t="shared" si="511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12">S481+S440</f>
        <v>0</v>
      </c>
      <c r="T483" s="101">
        <f t="shared" si="512"/>
        <v>2512859.7761750342</v>
      </c>
      <c r="U483" s="101">
        <f t="shared" si="512"/>
        <v>0</v>
      </c>
      <c r="V483" s="101">
        <f t="shared" si="512"/>
        <v>2738243.0671237414</v>
      </c>
      <c r="W483" s="101">
        <f t="shared" si="512"/>
        <v>5077825.2225843379</v>
      </c>
      <c r="X483" s="101">
        <f t="shared" si="512"/>
        <v>1260567.4251259139</v>
      </c>
      <c r="Y483" s="101">
        <f t="shared" si="512"/>
        <v>1926993.027404638</v>
      </c>
      <c r="Z483" s="101">
        <f t="shared" si="512"/>
        <v>1956838.714972235</v>
      </c>
      <c r="AA483" s="101">
        <f t="shared" si="512"/>
        <v>1741350.5001768759</v>
      </c>
      <c r="AB483" s="101">
        <f t="shared" si="512"/>
        <v>1165785.9715623269</v>
      </c>
      <c r="AC483" s="101">
        <f t="shared" si="512"/>
        <v>994688.13053254341</v>
      </c>
      <c r="AD483" s="101">
        <f t="shared" si="512"/>
        <v>1379711.6768620063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27496862.852552496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1682</v>
      </c>
      <c r="C485" s="97" t="s">
        <v>1027</v>
      </c>
      <c r="F485" s="100">
        <f>F483+F419+F426</f>
        <v>82087867.322897479</v>
      </c>
      <c r="G485" s="100">
        <f>G483+G426</f>
        <v>0</v>
      </c>
      <c r="H485" s="100">
        <f t="shared" ref="H485:M485" si="513">H483+H419+H426</f>
        <v>10927436.935938632</v>
      </c>
      <c r="I485" s="100">
        <f t="shared" si="513"/>
        <v>10301051.649205554</v>
      </c>
      <c r="J485" s="100">
        <f t="shared" si="513"/>
        <v>10579251.156002475</v>
      </c>
      <c r="K485" s="100">
        <f t="shared" si="513"/>
        <v>22783264.729198322</v>
      </c>
      <c r="L485" s="100">
        <f t="shared" si="513"/>
        <v>0</v>
      </c>
      <c r="M485" s="100">
        <f t="shared" si="513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4">S483+S419+S426</f>
        <v>0</v>
      </c>
      <c r="T485" s="100">
        <f t="shared" si="514"/>
        <v>2512859.7761750342</v>
      </c>
      <c r="U485" s="100">
        <f t="shared" si="514"/>
        <v>0</v>
      </c>
      <c r="V485" s="100">
        <f t="shared" si="514"/>
        <v>2738243.0671237414</v>
      </c>
      <c r="W485" s="100">
        <f t="shared" si="514"/>
        <v>5077825.2225843379</v>
      </c>
      <c r="X485" s="100">
        <f t="shared" si="514"/>
        <v>1260567.4251259139</v>
      </c>
      <c r="Y485" s="100">
        <f t="shared" si="514"/>
        <v>1926993.027404638</v>
      </c>
      <c r="Z485" s="100">
        <f t="shared" si="514"/>
        <v>1956838.714972235</v>
      </c>
      <c r="AA485" s="100">
        <f t="shared" si="514"/>
        <v>1741350.5001768759</v>
      </c>
      <c r="AB485" s="100">
        <f t="shared" si="514"/>
        <v>1165785.9715623269</v>
      </c>
      <c r="AC485" s="100">
        <f t="shared" si="514"/>
        <v>994688.13053254341</v>
      </c>
      <c r="AD485" s="100">
        <f t="shared" si="514"/>
        <v>1379711.6768620063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82087867.322897464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308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309</v>
      </c>
      <c r="C488" s="97" t="s">
        <v>1028</v>
      </c>
      <c r="D488" s="97" t="s">
        <v>739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312</v>
      </c>
      <c r="C489" s="97" t="s">
        <v>1029</v>
      </c>
      <c r="D489" s="97" t="s">
        <v>739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1367</v>
      </c>
      <c r="C490" s="97" t="s">
        <v>1030</v>
      </c>
      <c r="D490" s="97" t="s">
        <v>739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315</v>
      </c>
      <c r="C491" s="97" t="s">
        <v>1031</v>
      </c>
      <c r="D491" s="97" t="s">
        <v>739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1368</v>
      </c>
      <c r="C492" s="97" t="s">
        <v>1030</v>
      </c>
      <c r="D492" s="97" t="s">
        <v>739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1065</v>
      </c>
      <c r="C494" s="97" t="s">
        <v>1032</v>
      </c>
      <c r="F494" s="100">
        <f>SUM(F488:F493)</f>
        <v>16006067.650495432</v>
      </c>
      <c r="G494" s="100">
        <f>SUM(G488:G493)</f>
        <v>0</v>
      </c>
      <c r="H494" s="100">
        <f t="shared" ref="H494:M494" si="515">SUM(H488:H493)</f>
        <v>0</v>
      </c>
      <c r="I494" s="100">
        <f t="shared" si="515"/>
        <v>0</v>
      </c>
      <c r="J494" s="100">
        <f t="shared" si="515"/>
        <v>0</v>
      </c>
      <c r="K494" s="100">
        <f t="shared" si="515"/>
        <v>0</v>
      </c>
      <c r="L494" s="100">
        <f t="shared" si="515"/>
        <v>0</v>
      </c>
      <c r="M494" s="100">
        <f t="shared" si="515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6">SUM(S488:S493)</f>
        <v>0</v>
      </c>
      <c r="T494" s="100">
        <f t="shared" si="516"/>
        <v>0</v>
      </c>
      <c r="U494" s="100">
        <f t="shared" si="516"/>
        <v>0</v>
      </c>
      <c r="V494" s="100">
        <f t="shared" si="516"/>
        <v>0</v>
      </c>
      <c r="W494" s="100">
        <f t="shared" si="516"/>
        <v>0</v>
      </c>
      <c r="X494" s="100">
        <f t="shared" si="516"/>
        <v>0</v>
      </c>
      <c r="Y494" s="100">
        <f t="shared" si="516"/>
        <v>0</v>
      </c>
      <c r="Z494" s="100">
        <f t="shared" si="516"/>
        <v>0</v>
      </c>
      <c r="AA494" s="100">
        <f t="shared" si="516"/>
        <v>0</v>
      </c>
      <c r="AB494" s="100">
        <f t="shared" si="516"/>
        <v>0</v>
      </c>
      <c r="AC494" s="100">
        <f t="shared" si="516"/>
        <v>0</v>
      </c>
      <c r="AD494" s="100">
        <f t="shared" si="516"/>
        <v>0</v>
      </c>
      <c r="AE494" s="100"/>
      <c r="AF494" s="100">
        <f t="shared" si="516"/>
        <v>16006067.650495432</v>
      </c>
      <c r="AG494" s="101"/>
      <c r="AH494" s="100">
        <f t="shared" si="516"/>
        <v>0</v>
      </c>
      <c r="AI494" s="101"/>
      <c r="AJ494" s="100">
        <f t="shared" si="516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319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486</v>
      </c>
      <c r="C497" s="97" t="s">
        <v>1033</v>
      </c>
      <c r="D497" s="97" t="s">
        <v>740</v>
      </c>
      <c r="F497" s="100">
        <f>'Jurisdictional Study'!F1412</f>
        <v>614306.72725874442</v>
      </c>
      <c r="H497" s="101">
        <f t="shared" ref="H497:H506" si="517">IF(VLOOKUP($D497,$C$5:$AJ$644,6,)=0,0,((VLOOKUP($D497,$C$5:$AJ$644,6,)/VLOOKUP($D497,$C$5:$AJ$644,4,))*$F497))</f>
        <v>0</v>
      </c>
      <c r="I497" s="101">
        <f t="shared" ref="I497:I506" si="518">IF(VLOOKUP($D497,$C$5:$AJ$644,7,)=0,0,((VLOOKUP($D497,$C$5:$AJ$644,7,)/VLOOKUP($D497,$C$5:$AJ$644,4,))*$F497))</f>
        <v>0</v>
      </c>
      <c r="J497" s="101">
        <f t="shared" ref="J497:J506" si="519">IF(VLOOKUP($D497,$C$5:$AJ$644,8,)=0,0,((VLOOKUP($D497,$C$5:$AJ$644,8,)/VLOOKUP($D497,$C$5:$AJ$644,4,))*$F497))</f>
        <v>0</v>
      </c>
      <c r="K497" s="101">
        <f t="shared" ref="K497:K506" si="520">IF(VLOOKUP($D497,$C$5:$AJ$644,9,)=0,0,((VLOOKUP($D497,$C$5:$AJ$644,9,)/VLOOKUP($D497,$C$5:$AJ$644,4,))*$F497))</f>
        <v>0</v>
      </c>
      <c r="L497" s="101">
        <f t="shared" ref="L497:L506" si="521">IF(VLOOKUP($D497,$C$5:$AJ$644,10,)=0,0,((VLOOKUP($D497,$C$5:$AJ$644,10,)/VLOOKUP($D497,$C$5:$AJ$644,4,))*$F497))</f>
        <v>0</v>
      </c>
      <c r="M497" s="101">
        <f t="shared" ref="M497:M506" si="522">IF(VLOOKUP($D497,$C$5:$AJ$644,11,)=0,0,((VLOOKUP($D497,$C$5:$AJ$644,11,)/VLOOKUP($D497,$C$5:$AJ$644,4,))*$F497))</f>
        <v>0</v>
      </c>
      <c r="N497" s="101"/>
      <c r="O497" s="101">
        <f t="shared" ref="O497:O506" si="523">IF(VLOOKUP($D497,$C$5:$AJ$644,13,)=0,0,((VLOOKUP($D497,$C$5:$AJ$644,13,)/VLOOKUP($D497,$C$5:$AJ$644,4,))*$F497))</f>
        <v>0</v>
      </c>
      <c r="P497" s="101">
        <f t="shared" ref="P497:P506" si="524">IF(VLOOKUP($D497,$C$5:$AJ$644,14,)=0,0,((VLOOKUP($D497,$C$5:$AJ$644,14,)/VLOOKUP($D497,$C$5:$AJ$644,4,))*$F497))</f>
        <v>0</v>
      </c>
      <c r="Q497" s="101">
        <f t="shared" ref="Q497:Q506" si="525">IF(VLOOKUP($D497,$C$5:$AJ$644,15,)=0,0,((VLOOKUP($D497,$C$5:$AJ$644,15,)/VLOOKUP($D497,$C$5:$AJ$644,4,))*$F497))</f>
        <v>0</v>
      </c>
      <c r="R497" s="101"/>
      <c r="S497" s="101">
        <f t="shared" ref="S497:S506" si="526">IF(VLOOKUP($D497,$C$5:$AJ$644,17,)=0,0,((VLOOKUP($D497,$C$5:$AJ$644,17,)/VLOOKUP($D497,$C$5:$AJ$644,4,))*$F497))</f>
        <v>0</v>
      </c>
      <c r="T497" s="101">
        <f t="shared" ref="T497:T506" si="527">IF(VLOOKUP($D497,$C$5:$AJ$644,18,)=0,0,((VLOOKUP($D497,$C$5:$AJ$644,18,)/VLOOKUP($D497,$C$5:$AJ$644,4,))*$F497))</f>
        <v>0</v>
      </c>
      <c r="U497" s="101">
        <f t="shared" ref="U497:U506" si="528">IF(VLOOKUP($D497,$C$5:$AJ$644,19,)=0,0,((VLOOKUP($D497,$C$5:$AJ$644,19,)/VLOOKUP($D497,$C$5:$AJ$644,4,))*$F497))</f>
        <v>0</v>
      </c>
      <c r="V497" s="101">
        <f t="shared" ref="V497:V506" si="529">IF(VLOOKUP($D497,$C$5:$AJ$644,20,)=0,0,((VLOOKUP($D497,$C$5:$AJ$644,20,)/VLOOKUP($D497,$C$5:$AJ$644,4,))*$F497))</f>
        <v>0</v>
      </c>
      <c r="W497" s="101">
        <f t="shared" ref="W497:W506" si="530">IF(VLOOKUP($D497,$C$5:$AJ$644,21,)=0,0,((VLOOKUP($D497,$C$5:$AJ$644,21,)/VLOOKUP($D497,$C$5:$AJ$644,4,))*$F497))</f>
        <v>0</v>
      </c>
      <c r="X497" s="101">
        <f t="shared" ref="X497:X506" si="531">IF(VLOOKUP($D497,$C$5:$AJ$644,22,)=0,0,((VLOOKUP($D497,$C$5:$AJ$644,22,)/VLOOKUP($D497,$C$5:$AJ$644,4,))*$F497))</f>
        <v>0</v>
      </c>
      <c r="Y497" s="101">
        <f t="shared" ref="Y497:Y506" si="532">IF(VLOOKUP($D497,$C$5:$AJ$644,23,)=0,0,((VLOOKUP($D497,$C$5:$AJ$644,23,)/VLOOKUP($D497,$C$5:$AJ$644,4,))*$F497))</f>
        <v>0</v>
      </c>
      <c r="Z497" s="101">
        <f t="shared" ref="Z497:Z506" si="533">IF(VLOOKUP($D497,$C$5:$AJ$644,24,)=0,0,((VLOOKUP($D497,$C$5:$AJ$644,24,)/VLOOKUP($D497,$C$5:$AJ$644,4,))*$F497))</f>
        <v>0</v>
      </c>
      <c r="AA497" s="101">
        <f t="shared" ref="AA497:AA506" si="534">IF(VLOOKUP($D497,$C$5:$AJ$644,25,)=0,0,((VLOOKUP($D497,$C$5:$AJ$644,25,)/VLOOKUP($D497,$C$5:$AJ$644,4,))*$F497))</f>
        <v>0</v>
      </c>
      <c r="AB497" s="101">
        <f t="shared" ref="AB497:AB506" si="535">IF(VLOOKUP($D497,$C$5:$AJ$644,26,)=0,0,((VLOOKUP($D497,$C$5:$AJ$644,26,)/VLOOKUP($D497,$C$5:$AJ$644,4,))*$F497))</f>
        <v>0</v>
      </c>
      <c r="AC497" s="101">
        <f t="shared" ref="AC497:AC506" si="536">IF(VLOOKUP($D497,$C$5:$AJ$644,27,)=0,0,((VLOOKUP($D497,$C$5:$AJ$644,27,)/VLOOKUP($D497,$C$5:$AJ$644,4,))*$F497))</f>
        <v>0</v>
      </c>
      <c r="AD497" s="101">
        <f t="shared" ref="AD497:AD506" si="537">IF(VLOOKUP($D497,$C$5:$AJ$644,28,)=0,0,((VLOOKUP($D497,$C$5:$AJ$644,28,)/VLOOKUP($D497,$C$5:$AJ$644,4,))*$F497))</f>
        <v>0</v>
      </c>
      <c r="AE497" s="101"/>
      <c r="AF497" s="101">
        <f t="shared" ref="AF497:AF506" si="538">IF(VLOOKUP($D497,$C$5:$AJ$644,30,)=0,0,((VLOOKUP($D497,$C$5:$AJ$644,30,)/VLOOKUP($D497,$C$5:$AJ$644,4,))*$F497))</f>
        <v>0</v>
      </c>
      <c r="AG497" s="101"/>
      <c r="AH497" s="101">
        <f t="shared" ref="AH497:AH506" si="539">IF(VLOOKUP($D497,$C$5:$AJ$644,32,)=0,0,((VLOOKUP($D497,$C$5:$AJ$644,32,)/VLOOKUP($D497,$C$5:$AJ$644,4,))*$F497))</f>
        <v>614306.72725874442</v>
      </c>
      <c r="AI497" s="101"/>
      <c r="AJ497" s="101">
        <f t="shared" ref="AJ497:AJ506" si="540">IF(VLOOKUP($D497,$C$5:$AJ$644,34,)=0,0,((VLOOKUP($D497,$C$5:$AJ$644,34,)/VLOOKUP($D497,$C$5:$AJ$644,4,))*$F497))</f>
        <v>0</v>
      </c>
      <c r="AK497" s="101">
        <f t="shared" ref="AK497:AK506" si="541">SUM(H497:AJ497)</f>
        <v>614306.72725874442</v>
      </c>
      <c r="AL497" s="98" t="str">
        <f t="shared" ref="AL497:AL506" si="542">IF(ABS(AK497-F497)&lt;1,"ok","err")</f>
        <v>ok</v>
      </c>
    </row>
    <row r="498" spans="1:38" x14ac:dyDescent="0.25">
      <c r="A498" s="97">
        <v>908</v>
      </c>
      <c r="B498" s="97" t="s">
        <v>1231</v>
      </c>
      <c r="C498" s="97" t="s">
        <v>1034</v>
      </c>
      <c r="D498" s="97" t="s">
        <v>740</v>
      </c>
      <c r="F498" s="101">
        <f>'Jurisdictional Study'!F1413</f>
        <v>1585967.8624582202</v>
      </c>
      <c r="H498" s="101">
        <f t="shared" si="517"/>
        <v>0</v>
      </c>
      <c r="I498" s="101">
        <f t="shared" si="518"/>
        <v>0</v>
      </c>
      <c r="J498" s="101">
        <f t="shared" si="519"/>
        <v>0</v>
      </c>
      <c r="K498" s="101">
        <f t="shared" si="520"/>
        <v>0</v>
      </c>
      <c r="L498" s="101">
        <f t="shared" si="521"/>
        <v>0</v>
      </c>
      <c r="M498" s="101">
        <f t="shared" si="522"/>
        <v>0</v>
      </c>
      <c r="N498" s="101"/>
      <c r="O498" s="101">
        <f t="shared" si="523"/>
        <v>0</v>
      </c>
      <c r="P498" s="101">
        <f t="shared" si="524"/>
        <v>0</v>
      </c>
      <c r="Q498" s="101">
        <f t="shared" si="525"/>
        <v>0</v>
      </c>
      <c r="R498" s="101"/>
      <c r="S498" s="101">
        <f t="shared" si="526"/>
        <v>0</v>
      </c>
      <c r="T498" s="101">
        <f t="shared" si="527"/>
        <v>0</v>
      </c>
      <c r="U498" s="101">
        <f t="shared" si="528"/>
        <v>0</v>
      </c>
      <c r="V498" s="101">
        <f t="shared" si="529"/>
        <v>0</v>
      </c>
      <c r="W498" s="101">
        <f t="shared" si="530"/>
        <v>0</v>
      </c>
      <c r="X498" s="101">
        <f t="shared" si="531"/>
        <v>0</v>
      </c>
      <c r="Y498" s="101">
        <f t="shared" si="532"/>
        <v>0</v>
      </c>
      <c r="Z498" s="101">
        <f t="shared" si="533"/>
        <v>0</v>
      </c>
      <c r="AA498" s="101">
        <f t="shared" si="534"/>
        <v>0</v>
      </c>
      <c r="AB498" s="101">
        <f t="shared" si="535"/>
        <v>0</v>
      </c>
      <c r="AC498" s="101">
        <f t="shared" si="536"/>
        <v>0</v>
      </c>
      <c r="AD498" s="101">
        <f t="shared" si="537"/>
        <v>0</v>
      </c>
      <c r="AE498" s="101"/>
      <c r="AF498" s="101">
        <f t="shared" si="538"/>
        <v>0</v>
      </c>
      <c r="AG498" s="101"/>
      <c r="AH498" s="101">
        <f t="shared" si="539"/>
        <v>1585967.8624582202</v>
      </c>
      <c r="AI498" s="101"/>
      <c r="AJ498" s="101">
        <f t="shared" si="540"/>
        <v>0</v>
      </c>
      <c r="AK498" s="101">
        <f t="shared" si="541"/>
        <v>1585967.8624582202</v>
      </c>
      <c r="AL498" s="98" t="str">
        <f t="shared" si="542"/>
        <v>ok</v>
      </c>
    </row>
    <row r="499" spans="1:38" x14ac:dyDescent="0.25">
      <c r="A499" s="97">
        <v>908</v>
      </c>
      <c r="B499" s="97" t="s">
        <v>1369</v>
      </c>
      <c r="C499" s="97" t="s">
        <v>1035</v>
      </c>
      <c r="D499" s="97" t="s">
        <v>740</v>
      </c>
      <c r="F499" s="101">
        <v>0</v>
      </c>
      <c r="H499" s="101">
        <f t="shared" si="517"/>
        <v>0</v>
      </c>
      <c r="I499" s="101">
        <f t="shared" si="518"/>
        <v>0</v>
      </c>
      <c r="J499" s="101">
        <f t="shared" si="519"/>
        <v>0</v>
      </c>
      <c r="K499" s="101">
        <f t="shared" si="520"/>
        <v>0</v>
      </c>
      <c r="L499" s="101">
        <f t="shared" si="521"/>
        <v>0</v>
      </c>
      <c r="M499" s="101">
        <f t="shared" si="522"/>
        <v>0</v>
      </c>
      <c r="N499" s="101"/>
      <c r="O499" s="101">
        <f t="shared" si="523"/>
        <v>0</v>
      </c>
      <c r="P499" s="101">
        <f t="shared" si="524"/>
        <v>0</v>
      </c>
      <c r="Q499" s="101">
        <f t="shared" si="525"/>
        <v>0</v>
      </c>
      <c r="R499" s="101"/>
      <c r="S499" s="101">
        <f t="shared" si="526"/>
        <v>0</v>
      </c>
      <c r="T499" s="101">
        <f t="shared" si="527"/>
        <v>0</v>
      </c>
      <c r="U499" s="101">
        <f t="shared" si="528"/>
        <v>0</v>
      </c>
      <c r="V499" s="101">
        <f t="shared" si="529"/>
        <v>0</v>
      </c>
      <c r="W499" s="101">
        <f t="shared" si="530"/>
        <v>0</v>
      </c>
      <c r="X499" s="101">
        <f t="shared" si="531"/>
        <v>0</v>
      </c>
      <c r="Y499" s="101">
        <f t="shared" si="532"/>
        <v>0</v>
      </c>
      <c r="Z499" s="101">
        <f t="shared" si="533"/>
        <v>0</v>
      </c>
      <c r="AA499" s="101">
        <f t="shared" si="534"/>
        <v>0</v>
      </c>
      <c r="AB499" s="101">
        <f t="shared" si="535"/>
        <v>0</v>
      </c>
      <c r="AC499" s="101">
        <f t="shared" si="536"/>
        <v>0</v>
      </c>
      <c r="AD499" s="101">
        <f t="shared" si="537"/>
        <v>0</v>
      </c>
      <c r="AE499" s="101"/>
      <c r="AF499" s="101">
        <f t="shared" si="538"/>
        <v>0</v>
      </c>
      <c r="AG499" s="101"/>
      <c r="AH499" s="101">
        <f t="shared" si="539"/>
        <v>0</v>
      </c>
      <c r="AI499" s="101"/>
      <c r="AJ499" s="101">
        <f t="shared" si="540"/>
        <v>0</v>
      </c>
      <c r="AK499" s="101">
        <f t="shared" si="541"/>
        <v>0</v>
      </c>
      <c r="AL499" s="98" t="str">
        <f t="shared" si="542"/>
        <v>ok</v>
      </c>
    </row>
    <row r="500" spans="1:38" x14ac:dyDescent="0.25">
      <c r="A500" s="97">
        <v>909</v>
      </c>
      <c r="B500" s="97" t="s">
        <v>1233</v>
      </c>
      <c r="C500" s="97" t="s">
        <v>1036</v>
      </c>
      <c r="D500" s="97" t="s">
        <v>740</v>
      </c>
      <c r="F500" s="101">
        <f>'Jurisdictional Study'!F1414</f>
        <v>0</v>
      </c>
      <c r="H500" s="101">
        <f t="shared" si="517"/>
        <v>0</v>
      </c>
      <c r="I500" s="101">
        <f t="shared" si="518"/>
        <v>0</v>
      </c>
      <c r="J500" s="101">
        <f t="shared" si="519"/>
        <v>0</v>
      </c>
      <c r="K500" s="101">
        <f t="shared" si="520"/>
        <v>0</v>
      </c>
      <c r="L500" s="101">
        <f t="shared" si="521"/>
        <v>0</v>
      </c>
      <c r="M500" s="101">
        <f t="shared" si="522"/>
        <v>0</v>
      </c>
      <c r="N500" s="101"/>
      <c r="O500" s="101">
        <f t="shared" si="523"/>
        <v>0</v>
      </c>
      <c r="P500" s="101">
        <f t="shared" si="524"/>
        <v>0</v>
      </c>
      <c r="Q500" s="101">
        <f t="shared" si="525"/>
        <v>0</v>
      </c>
      <c r="R500" s="101"/>
      <c r="S500" s="101">
        <f t="shared" si="526"/>
        <v>0</v>
      </c>
      <c r="T500" s="101">
        <f t="shared" si="527"/>
        <v>0</v>
      </c>
      <c r="U500" s="101">
        <f t="shared" si="528"/>
        <v>0</v>
      </c>
      <c r="V500" s="101">
        <f t="shared" si="529"/>
        <v>0</v>
      </c>
      <c r="W500" s="101">
        <f t="shared" si="530"/>
        <v>0</v>
      </c>
      <c r="X500" s="101">
        <f t="shared" si="531"/>
        <v>0</v>
      </c>
      <c r="Y500" s="101">
        <f t="shared" si="532"/>
        <v>0</v>
      </c>
      <c r="Z500" s="101">
        <f t="shared" si="533"/>
        <v>0</v>
      </c>
      <c r="AA500" s="101">
        <f t="shared" si="534"/>
        <v>0</v>
      </c>
      <c r="AB500" s="101">
        <f t="shared" si="535"/>
        <v>0</v>
      </c>
      <c r="AC500" s="101">
        <f t="shared" si="536"/>
        <v>0</v>
      </c>
      <c r="AD500" s="101">
        <f t="shared" si="537"/>
        <v>0</v>
      </c>
      <c r="AE500" s="101"/>
      <c r="AF500" s="101">
        <f t="shared" si="538"/>
        <v>0</v>
      </c>
      <c r="AG500" s="101"/>
      <c r="AH500" s="101">
        <f t="shared" si="539"/>
        <v>0</v>
      </c>
      <c r="AI500" s="101"/>
      <c r="AJ500" s="101">
        <f t="shared" si="540"/>
        <v>0</v>
      </c>
      <c r="AK500" s="101">
        <f t="shared" si="541"/>
        <v>0</v>
      </c>
      <c r="AL500" s="98" t="str">
        <f t="shared" si="542"/>
        <v>ok</v>
      </c>
    </row>
    <row r="501" spans="1:38" x14ac:dyDescent="0.25">
      <c r="A501" s="97">
        <v>909</v>
      </c>
      <c r="B501" s="97" t="s">
        <v>1371</v>
      </c>
      <c r="C501" s="97" t="s">
        <v>1037</v>
      </c>
      <c r="D501" s="97" t="s">
        <v>740</v>
      </c>
      <c r="F501" s="101">
        <v>0</v>
      </c>
      <c r="H501" s="101">
        <f t="shared" si="517"/>
        <v>0</v>
      </c>
      <c r="I501" s="101">
        <f t="shared" si="518"/>
        <v>0</v>
      </c>
      <c r="J501" s="101">
        <f t="shared" si="519"/>
        <v>0</v>
      </c>
      <c r="K501" s="101">
        <f t="shared" si="520"/>
        <v>0</v>
      </c>
      <c r="L501" s="101">
        <f t="shared" si="521"/>
        <v>0</v>
      </c>
      <c r="M501" s="101">
        <f t="shared" si="522"/>
        <v>0</v>
      </c>
      <c r="N501" s="101"/>
      <c r="O501" s="101">
        <f t="shared" si="523"/>
        <v>0</v>
      </c>
      <c r="P501" s="101">
        <f t="shared" si="524"/>
        <v>0</v>
      </c>
      <c r="Q501" s="101">
        <f t="shared" si="525"/>
        <v>0</v>
      </c>
      <c r="R501" s="101"/>
      <c r="S501" s="101">
        <f t="shared" si="526"/>
        <v>0</v>
      </c>
      <c r="T501" s="101">
        <f t="shared" si="527"/>
        <v>0</v>
      </c>
      <c r="U501" s="101">
        <f t="shared" si="528"/>
        <v>0</v>
      </c>
      <c r="V501" s="101">
        <f t="shared" si="529"/>
        <v>0</v>
      </c>
      <c r="W501" s="101">
        <f t="shared" si="530"/>
        <v>0</v>
      </c>
      <c r="X501" s="101">
        <f t="shared" si="531"/>
        <v>0</v>
      </c>
      <c r="Y501" s="101">
        <f t="shared" si="532"/>
        <v>0</v>
      </c>
      <c r="Z501" s="101">
        <f t="shared" si="533"/>
        <v>0</v>
      </c>
      <c r="AA501" s="101">
        <f t="shared" si="534"/>
        <v>0</v>
      </c>
      <c r="AB501" s="101">
        <f t="shared" si="535"/>
        <v>0</v>
      </c>
      <c r="AC501" s="101">
        <f t="shared" si="536"/>
        <v>0</v>
      </c>
      <c r="AD501" s="101">
        <f t="shared" si="537"/>
        <v>0</v>
      </c>
      <c r="AE501" s="101"/>
      <c r="AF501" s="101">
        <f t="shared" si="538"/>
        <v>0</v>
      </c>
      <c r="AG501" s="101"/>
      <c r="AH501" s="101">
        <f t="shared" si="539"/>
        <v>0</v>
      </c>
      <c r="AI501" s="101"/>
      <c r="AJ501" s="101">
        <f t="shared" si="540"/>
        <v>0</v>
      </c>
      <c r="AK501" s="101">
        <f t="shared" si="541"/>
        <v>0</v>
      </c>
      <c r="AL501" s="98" t="str">
        <f t="shared" si="542"/>
        <v>ok</v>
      </c>
    </row>
    <row r="502" spans="1:38" x14ac:dyDescent="0.25">
      <c r="A502" s="97">
        <v>910</v>
      </c>
      <c r="B502" s="97" t="s">
        <v>1235</v>
      </c>
      <c r="C502" s="97" t="s">
        <v>1038</v>
      </c>
      <c r="D502" s="97" t="s">
        <v>740</v>
      </c>
      <c r="F502" s="101">
        <f>'Jurisdictional Study'!F1415</f>
        <v>0</v>
      </c>
      <c r="H502" s="101">
        <f t="shared" si="517"/>
        <v>0</v>
      </c>
      <c r="I502" s="101">
        <f t="shared" si="518"/>
        <v>0</v>
      </c>
      <c r="J502" s="101">
        <f t="shared" si="519"/>
        <v>0</v>
      </c>
      <c r="K502" s="101">
        <f t="shared" si="520"/>
        <v>0</v>
      </c>
      <c r="L502" s="101">
        <f t="shared" si="521"/>
        <v>0</v>
      </c>
      <c r="M502" s="101">
        <f t="shared" si="522"/>
        <v>0</v>
      </c>
      <c r="N502" s="101"/>
      <c r="O502" s="101">
        <f t="shared" si="523"/>
        <v>0</v>
      </c>
      <c r="P502" s="101">
        <f t="shared" si="524"/>
        <v>0</v>
      </c>
      <c r="Q502" s="101">
        <f t="shared" si="525"/>
        <v>0</v>
      </c>
      <c r="R502" s="101"/>
      <c r="S502" s="101">
        <f t="shared" si="526"/>
        <v>0</v>
      </c>
      <c r="T502" s="101">
        <f t="shared" si="527"/>
        <v>0</v>
      </c>
      <c r="U502" s="101">
        <f t="shared" si="528"/>
        <v>0</v>
      </c>
      <c r="V502" s="101">
        <f t="shared" si="529"/>
        <v>0</v>
      </c>
      <c r="W502" s="101">
        <f t="shared" si="530"/>
        <v>0</v>
      </c>
      <c r="X502" s="101">
        <f t="shared" si="531"/>
        <v>0</v>
      </c>
      <c r="Y502" s="101">
        <f t="shared" si="532"/>
        <v>0</v>
      </c>
      <c r="Z502" s="101">
        <f t="shared" si="533"/>
        <v>0</v>
      </c>
      <c r="AA502" s="101">
        <f t="shared" si="534"/>
        <v>0</v>
      </c>
      <c r="AB502" s="101">
        <f t="shared" si="535"/>
        <v>0</v>
      </c>
      <c r="AC502" s="101">
        <f t="shared" si="536"/>
        <v>0</v>
      </c>
      <c r="AD502" s="101">
        <f t="shared" si="537"/>
        <v>0</v>
      </c>
      <c r="AE502" s="101"/>
      <c r="AF502" s="101">
        <f t="shared" si="538"/>
        <v>0</v>
      </c>
      <c r="AG502" s="101"/>
      <c r="AH502" s="101">
        <f t="shared" si="539"/>
        <v>0</v>
      </c>
      <c r="AI502" s="101"/>
      <c r="AJ502" s="101">
        <f t="shared" si="540"/>
        <v>0</v>
      </c>
      <c r="AK502" s="101">
        <f t="shared" si="541"/>
        <v>0</v>
      </c>
      <c r="AL502" s="98" t="str">
        <f t="shared" si="542"/>
        <v>ok</v>
      </c>
    </row>
    <row r="503" spans="1:38" x14ac:dyDescent="0.25">
      <c r="A503" s="97">
        <v>911</v>
      </c>
      <c r="B503" s="97" t="s">
        <v>876</v>
      </c>
      <c r="C503" s="97" t="s">
        <v>967</v>
      </c>
      <c r="D503" s="97" t="s">
        <v>740</v>
      </c>
      <c r="F503" s="101">
        <f>'Jurisdictional Study'!F1416</f>
        <v>0</v>
      </c>
      <c r="H503" s="101">
        <f t="shared" si="517"/>
        <v>0</v>
      </c>
      <c r="I503" s="101">
        <f t="shared" si="518"/>
        <v>0</v>
      </c>
      <c r="J503" s="101">
        <f t="shared" si="519"/>
        <v>0</v>
      </c>
      <c r="K503" s="101">
        <f t="shared" si="520"/>
        <v>0</v>
      </c>
      <c r="L503" s="101">
        <f t="shared" si="521"/>
        <v>0</v>
      </c>
      <c r="M503" s="101">
        <f t="shared" si="522"/>
        <v>0</v>
      </c>
      <c r="N503" s="101"/>
      <c r="O503" s="101">
        <f t="shared" si="523"/>
        <v>0</v>
      </c>
      <c r="P503" s="101">
        <f t="shared" si="524"/>
        <v>0</v>
      </c>
      <c r="Q503" s="101">
        <f t="shared" si="525"/>
        <v>0</v>
      </c>
      <c r="R503" s="101"/>
      <c r="S503" s="101">
        <f t="shared" si="526"/>
        <v>0</v>
      </c>
      <c r="T503" s="101">
        <f t="shared" si="527"/>
        <v>0</v>
      </c>
      <c r="U503" s="101">
        <f t="shared" si="528"/>
        <v>0</v>
      </c>
      <c r="V503" s="101">
        <f t="shared" si="529"/>
        <v>0</v>
      </c>
      <c r="W503" s="101">
        <f t="shared" si="530"/>
        <v>0</v>
      </c>
      <c r="X503" s="101">
        <f t="shared" si="531"/>
        <v>0</v>
      </c>
      <c r="Y503" s="101">
        <f t="shared" si="532"/>
        <v>0</v>
      </c>
      <c r="Z503" s="101">
        <f t="shared" si="533"/>
        <v>0</v>
      </c>
      <c r="AA503" s="101">
        <f t="shared" si="534"/>
        <v>0</v>
      </c>
      <c r="AB503" s="101">
        <f t="shared" si="535"/>
        <v>0</v>
      </c>
      <c r="AC503" s="101">
        <f t="shared" si="536"/>
        <v>0</v>
      </c>
      <c r="AD503" s="101">
        <f t="shared" si="537"/>
        <v>0</v>
      </c>
      <c r="AE503" s="101"/>
      <c r="AF503" s="101">
        <f t="shared" si="538"/>
        <v>0</v>
      </c>
      <c r="AG503" s="101"/>
      <c r="AH503" s="101">
        <f t="shared" si="539"/>
        <v>0</v>
      </c>
      <c r="AI503" s="101"/>
      <c r="AJ503" s="101">
        <f t="shared" si="540"/>
        <v>0</v>
      </c>
      <c r="AK503" s="101">
        <f t="shared" si="541"/>
        <v>0</v>
      </c>
      <c r="AL503" s="98" t="str">
        <f t="shared" si="542"/>
        <v>ok</v>
      </c>
    </row>
    <row r="504" spans="1:38" x14ac:dyDescent="0.25">
      <c r="A504" s="97">
        <v>912</v>
      </c>
      <c r="B504" s="97" t="s">
        <v>876</v>
      </c>
      <c r="C504" s="97" t="s">
        <v>879</v>
      </c>
      <c r="D504" s="97" t="s">
        <v>740</v>
      </c>
      <c r="F504" s="101">
        <f>'Jurisdictional Study'!F1417</f>
        <v>0</v>
      </c>
      <c r="H504" s="101">
        <f t="shared" si="517"/>
        <v>0</v>
      </c>
      <c r="I504" s="101">
        <f t="shared" si="518"/>
        <v>0</v>
      </c>
      <c r="J504" s="101">
        <f t="shared" si="519"/>
        <v>0</v>
      </c>
      <c r="K504" s="101">
        <f t="shared" si="520"/>
        <v>0</v>
      </c>
      <c r="L504" s="101">
        <f t="shared" si="521"/>
        <v>0</v>
      </c>
      <c r="M504" s="101">
        <f t="shared" si="522"/>
        <v>0</v>
      </c>
      <c r="N504" s="101"/>
      <c r="O504" s="101">
        <f t="shared" si="523"/>
        <v>0</v>
      </c>
      <c r="P504" s="101">
        <f t="shared" si="524"/>
        <v>0</v>
      </c>
      <c r="Q504" s="101">
        <f t="shared" si="525"/>
        <v>0</v>
      </c>
      <c r="R504" s="101"/>
      <c r="S504" s="101">
        <f t="shared" si="526"/>
        <v>0</v>
      </c>
      <c r="T504" s="101">
        <f t="shared" si="527"/>
        <v>0</v>
      </c>
      <c r="U504" s="101">
        <f t="shared" si="528"/>
        <v>0</v>
      </c>
      <c r="V504" s="101">
        <f t="shared" si="529"/>
        <v>0</v>
      </c>
      <c r="W504" s="101">
        <f t="shared" si="530"/>
        <v>0</v>
      </c>
      <c r="X504" s="101">
        <f t="shared" si="531"/>
        <v>0</v>
      </c>
      <c r="Y504" s="101">
        <f t="shared" si="532"/>
        <v>0</v>
      </c>
      <c r="Z504" s="101">
        <f t="shared" si="533"/>
        <v>0</v>
      </c>
      <c r="AA504" s="101">
        <f t="shared" si="534"/>
        <v>0</v>
      </c>
      <c r="AB504" s="101">
        <f t="shared" si="535"/>
        <v>0</v>
      </c>
      <c r="AC504" s="101">
        <f t="shared" si="536"/>
        <v>0</v>
      </c>
      <c r="AD504" s="101">
        <f t="shared" si="537"/>
        <v>0</v>
      </c>
      <c r="AE504" s="101"/>
      <c r="AF504" s="101">
        <f t="shared" si="538"/>
        <v>0</v>
      </c>
      <c r="AG504" s="101"/>
      <c r="AH504" s="101">
        <f t="shared" si="539"/>
        <v>0</v>
      </c>
      <c r="AI504" s="101"/>
      <c r="AJ504" s="101">
        <f t="shared" si="540"/>
        <v>0</v>
      </c>
      <c r="AK504" s="101">
        <f t="shared" si="541"/>
        <v>0</v>
      </c>
      <c r="AL504" s="98" t="str">
        <f t="shared" si="542"/>
        <v>ok</v>
      </c>
    </row>
    <row r="505" spans="1:38" x14ac:dyDescent="0.25">
      <c r="A505" s="97">
        <v>913</v>
      </c>
      <c r="B505" s="97" t="s">
        <v>522</v>
      </c>
      <c r="C505" s="97" t="s">
        <v>880</v>
      </c>
      <c r="D505" s="97" t="s">
        <v>740</v>
      </c>
      <c r="F505" s="101">
        <f>'Jurisdictional Study'!F1418</f>
        <v>0</v>
      </c>
      <c r="H505" s="101">
        <f t="shared" si="517"/>
        <v>0</v>
      </c>
      <c r="I505" s="101">
        <f t="shared" si="518"/>
        <v>0</v>
      </c>
      <c r="J505" s="101">
        <f t="shared" si="519"/>
        <v>0</v>
      </c>
      <c r="K505" s="101">
        <f t="shared" si="520"/>
        <v>0</v>
      </c>
      <c r="L505" s="101">
        <f t="shared" si="521"/>
        <v>0</v>
      </c>
      <c r="M505" s="101">
        <f t="shared" si="522"/>
        <v>0</v>
      </c>
      <c r="N505" s="101"/>
      <c r="O505" s="101">
        <f t="shared" si="523"/>
        <v>0</v>
      </c>
      <c r="P505" s="101">
        <f t="shared" si="524"/>
        <v>0</v>
      </c>
      <c r="Q505" s="101">
        <f t="shared" si="525"/>
        <v>0</v>
      </c>
      <c r="R505" s="101"/>
      <c r="S505" s="101">
        <f t="shared" si="526"/>
        <v>0</v>
      </c>
      <c r="T505" s="101">
        <f t="shared" si="527"/>
        <v>0</v>
      </c>
      <c r="U505" s="101">
        <f t="shared" si="528"/>
        <v>0</v>
      </c>
      <c r="V505" s="101">
        <f t="shared" si="529"/>
        <v>0</v>
      </c>
      <c r="W505" s="101">
        <f t="shared" si="530"/>
        <v>0</v>
      </c>
      <c r="X505" s="101">
        <f t="shared" si="531"/>
        <v>0</v>
      </c>
      <c r="Y505" s="101">
        <f t="shared" si="532"/>
        <v>0</v>
      </c>
      <c r="Z505" s="101">
        <f t="shared" si="533"/>
        <v>0</v>
      </c>
      <c r="AA505" s="101">
        <f t="shared" si="534"/>
        <v>0</v>
      </c>
      <c r="AB505" s="101">
        <f t="shared" si="535"/>
        <v>0</v>
      </c>
      <c r="AC505" s="101">
        <f t="shared" si="536"/>
        <v>0</v>
      </c>
      <c r="AD505" s="101">
        <f t="shared" si="537"/>
        <v>0</v>
      </c>
      <c r="AE505" s="101"/>
      <c r="AF505" s="101">
        <f t="shared" si="538"/>
        <v>0</v>
      </c>
      <c r="AG505" s="101"/>
      <c r="AH505" s="101">
        <f t="shared" si="539"/>
        <v>0</v>
      </c>
      <c r="AI505" s="101"/>
      <c r="AJ505" s="101">
        <f t="shared" si="540"/>
        <v>0</v>
      </c>
      <c r="AK505" s="101">
        <f t="shared" si="541"/>
        <v>0</v>
      </c>
      <c r="AL505" s="98" t="str">
        <f t="shared" si="542"/>
        <v>ok</v>
      </c>
    </row>
    <row r="506" spans="1:38" x14ac:dyDescent="0.25">
      <c r="A506" s="97">
        <v>916</v>
      </c>
      <c r="B506" s="97" t="s">
        <v>886</v>
      </c>
      <c r="C506" s="97" t="s">
        <v>888</v>
      </c>
      <c r="D506" s="97" t="s">
        <v>740</v>
      </c>
      <c r="F506" s="101">
        <f>'Jurisdictional Study'!F1418</f>
        <v>0</v>
      </c>
      <c r="H506" s="101">
        <f t="shared" si="517"/>
        <v>0</v>
      </c>
      <c r="I506" s="101">
        <f t="shared" si="518"/>
        <v>0</v>
      </c>
      <c r="J506" s="101">
        <f t="shared" si="519"/>
        <v>0</v>
      </c>
      <c r="K506" s="101">
        <f t="shared" si="520"/>
        <v>0</v>
      </c>
      <c r="L506" s="101">
        <f t="shared" si="521"/>
        <v>0</v>
      </c>
      <c r="M506" s="101">
        <f t="shared" si="522"/>
        <v>0</v>
      </c>
      <c r="N506" s="101"/>
      <c r="O506" s="101">
        <f t="shared" si="523"/>
        <v>0</v>
      </c>
      <c r="P506" s="101">
        <f t="shared" si="524"/>
        <v>0</v>
      </c>
      <c r="Q506" s="101">
        <f t="shared" si="525"/>
        <v>0</v>
      </c>
      <c r="R506" s="101"/>
      <c r="S506" s="101">
        <f t="shared" si="526"/>
        <v>0</v>
      </c>
      <c r="T506" s="101">
        <f t="shared" si="527"/>
        <v>0</v>
      </c>
      <c r="U506" s="101">
        <f t="shared" si="528"/>
        <v>0</v>
      </c>
      <c r="V506" s="101">
        <f t="shared" si="529"/>
        <v>0</v>
      </c>
      <c r="W506" s="101">
        <f t="shared" si="530"/>
        <v>0</v>
      </c>
      <c r="X506" s="101">
        <f t="shared" si="531"/>
        <v>0</v>
      </c>
      <c r="Y506" s="101">
        <f t="shared" si="532"/>
        <v>0</v>
      </c>
      <c r="Z506" s="101">
        <f t="shared" si="533"/>
        <v>0</v>
      </c>
      <c r="AA506" s="101">
        <f t="shared" si="534"/>
        <v>0</v>
      </c>
      <c r="AB506" s="101">
        <f t="shared" si="535"/>
        <v>0</v>
      </c>
      <c r="AC506" s="101">
        <f t="shared" si="536"/>
        <v>0</v>
      </c>
      <c r="AD506" s="101">
        <f t="shared" si="537"/>
        <v>0</v>
      </c>
      <c r="AE506" s="101"/>
      <c r="AF506" s="101">
        <f t="shared" si="538"/>
        <v>0</v>
      </c>
      <c r="AG506" s="101"/>
      <c r="AH506" s="101">
        <f t="shared" si="539"/>
        <v>0</v>
      </c>
      <c r="AI506" s="101"/>
      <c r="AJ506" s="101">
        <f t="shared" si="540"/>
        <v>0</v>
      </c>
      <c r="AK506" s="101">
        <f t="shared" si="541"/>
        <v>0</v>
      </c>
      <c r="AL506" s="98" t="str">
        <f t="shared" si="542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1066</v>
      </c>
      <c r="C508" s="97" t="s">
        <v>1039</v>
      </c>
      <c r="F508" s="100">
        <f t="shared" ref="F508:M508" si="543">SUM(F497:F507)</f>
        <v>2200274.5897169644</v>
      </c>
      <c r="G508" s="100">
        <f t="shared" si="543"/>
        <v>0</v>
      </c>
      <c r="H508" s="100">
        <f t="shared" si="543"/>
        <v>0</v>
      </c>
      <c r="I508" s="100">
        <f t="shared" si="543"/>
        <v>0</v>
      </c>
      <c r="J508" s="100">
        <f t="shared" si="543"/>
        <v>0</v>
      </c>
      <c r="K508" s="100">
        <f t="shared" si="543"/>
        <v>0</v>
      </c>
      <c r="L508" s="100">
        <f t="shared" si="543"/>
        <v>0</v>
      </c>
      <c r="M508" s="100">
        <f t="shared" si="543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4">SUM(S497:S507)</f>
        <v>0</v>
      </c>
      <c r="T508" s="100">
        <f t="shared" si="544"/>
        <v>0</v>
      </c>
      <c r="U508" s="100">
        <f t="shared" si="544"/>
        <v>0</v>
      </c>
      <c r="V508" s="100">
        <f t="shared" si="544"/>
        <v>0</v>
      </c>
      <c r="W508" s="100">
        <f t="shared" si="544"/>
        <v>0</v>
      </c>
      <c r="X508" s="100">
        <f t="shared" si="544"/>
        <v>0</v>
      </c>
      <c r="Y508" s="100">
        <f t="shared" si="544"/>
        <v>0</v>
      </c>
      <c r="Z508" s="100">
        <f t="shared" si="544"/>
        <v>0</v>
      </c>
      <c r="AA508" s="100">
        <f t="shared" si="544"/>
        <v>0</v>
      </c>
      <c r="AB508" s="100">
        <f t="shared" si="544"/>
        <v>0</v>
      </c>
      <c r="AC508" s="100">
        <f t="shared" si="544"/>
        <v>0</v>
      </c>
      <c r="AD508" s="100">
        <f t="shared" si="544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307</v>
      </c>
      <c r="C510" s="97" t="s">
        <v>741</v>
      </c>
      <c r="F510" s="101">
        <f>F485+F494+F508</f>
        <v>100294209.56310987</v>
      </c>
      <c r="G510" s="101"/>
      <c r="H510" s="101">
        <f t="shared" ref="H510:M510" si="545">H485+H494+H508</f>
        <v>10927436.935938632</v>
      </c>
      <c r="I510" s="101">
        <f t="shared" si="545"/>
        <v>10301051.649205554</v>
      </c>
      <c r="J510" s="101">
        <f t="shared" si="545"/>
        <v>10579251.156002475</v>
      </c>
      <c r="K510" s="101">
        <f t="shared" si="545"/>
        <v>22783264.729198322</v>
      </c>
      <c r="L510" s="101">
        <f t="shared" si="545"/>
        <v>0</v>
      </c>
      <c r="M510" s="101">
        <f t="shared" si="545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6">S485+S494+S508</f>
        <v>0</v>
      </c>
      <c r="T510" s="101">
        <f t="shared" si="546"/>
        <v>2512859.7761750342</v>
      </c>
      <c r="U510" s="101">
        <f t="shared" si="546"/>
        <v>0</v>
      </c>
      <c r="V510" s="101">
        <f t="shared" si="546"/>
        <v>2738243.0671237414</v>
      </c>
      <c r="W510" s="101">
        <f t="shared" si="546"/>
        <v>5077825.2225843379</v>
      </c>
      <c r="X510" s="101">
        <f t="shared" si="546"/>
        <v>1260567.4251259139</v>
      </c>
      <c r="Y510" s="101">
        <f t="shared" si="546"/>
        <v>1926993.027404638</v>
      </c>
      <c r="Z510" s="101">
        <f t="shared" si="546"/>
        <v>1956838.714972235</v>
      </c>
      <c r="AA510" s="101">
        <f t="shared" si="546"/>
        <v>1741350.5001768759</v>
      </c>
      <c r="AB510" s="101">
        <f t="shared" si="546"/>
        <v>1165785.9715623269</v>
      </c>
      <c r="AC510" s="101">
        <f t="shared" si="546"/>
        <v>994688.13053254341</v>
      </c>
      <c r="AD510" s="101">
        <f t="shared" si="546"/>
        <v>1379711.6768620063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100294209.56310987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997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1239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1240</v>
      </c>
      <c r="C519" s="97" t="s">
        <v>1041</v>
      </c>
      <c r="D519" s="97" t="s">
        <v>741</v>
      </c>
      <c r="F519" s="100">
        <f>'Jurisdictional Study'!F1425</f>
        <v>33809236.309138604</v>
      </c>
      <c r="H519" s="101">
        <f t="shared" ref="H519:H530" si="547">IF(VLOOKUP($D519,$C$5:$AJ$644,6,)=0,0,((VLOOKUP($D519,$C$5:$AJ$644,6,)/VLOOKUP($D519,$C$5:$AJ$644,4,))*$F519))</f>
        <v>3683645.3393441848</v>
      </c>
      <c r="I519" s="101">
        <f t="shared" ref="I519:I530" si="548">IF(VLOOKUP($D519,$C$5:$AJ$644,7,)=0,0,((VLOOKUP($D519,$C$5:$AJ$644,7,)/VLOOKUP($D519,$C$5:$AJ$644,4,))*$F519))</f>
        <v>3472490.4952910976</v>
      </c>
      <c r="J519" s="101">
        <f t="shared" ref="J519:J530" si="549">IF(VLOOKUP($D519,$C$5:$AJ$644,8,)=0,0,((VLOOKUP($D519,$C$5:$AJ$644,8,)/VLOOKUP($D519,$C$5:$AJ$644,4,))*$F519))</f>
        <v>3566271.7106509367</v>
      </c>
      <c r="K519" s="101">
        <f t="shared" ref="K519:K530" si="550">IF(VLOOKUP($D519,$C$5:$AJ$644,9,)=0,0,((VLOOKUP($D519,$C$5:$AJ$644,9,)/VLOOKUP($D519,$C$5:$AJ$644,4,))*$F519))</f>
        <v>7680251.7760352762</v>
      </c>
      <c r="L519" s="101">
        <f t="shared" ref="L519:L530" si="551">IF(VLOOKUP($D519,$C$5:$AJ$644,10,)=0,0,((VLOOKUP($D519,$C$5:$AJ$644,10,)/VLOOKUP($D519,$C$5:$AJ$644,4,))*$F519))</f>
        <v>0</v>
      </c>
      <c r="M519" s="101">
        <f t="shared" ref="M519:M530" si="552">IF(VLOOKUP($D519,$C$5:$AJ$644,11,)=0,0,((VLOOKUP($D519,$C$5:$AJ$644,11,)/VLOOKUP($D519,$C$5:$AJ$644,4,))*$F519))</f>
        <v>0</v>
      </c>
      <c r="N519" s="101"/>
      <c r="O519" s="101">
        <f t="shared" ref="O519:O530" si="553">IF(VLOOKUP($D519,$C$5:$AJ$644,13,)=0,0,((VLOOKUP($D519,$C$5:$AJ$644,13,)/VLOOKUP($D519,$C$5:$AJ$644,4,))*$F519))</f>
        <v>2272731.8942555198</v>
      </c>
      <c r="P519" s="101">
        <f t="shared" ref="P519:P530" si="554">IF(VLOOKUP($D519,$C$5:$AJ$644,14,)=0,0,((VLOOKUP($D519,$C$5:$AJ$644,14,)/VLOOKUP($D519,$C$5:$AJ$644,4,))*$F519))</f>
        <v>0</v>
      </c>
      <c r="Q519" s="101">
        <f t="shared" ref="Q519:Q530" si="555">IF(VLOOKUP($D519,$C$5:$AJ$644,15,)=0,0,((VLOOKUP($D519,$C$5:$AJ$644,15,)/VLOOKUP($D519,$C$5:$AJ$644,4,))*$F519))</f>
        <v>0</v>
      </c>
      <c r="R519" s="101"/>
      <c r="S519" s="101">
        <f t="shared" ref="S519:S530" si="556">IF(VLOOKUP($D519,$C$5:$AJ$644,17,)=0,0,((VLOOKUP($D519,$C$5:$AJ$644,17,)/VLOOKUP($D519,$C$5:$AJ$644,4,))*$F519))</f>
        <v>0</v>
      </c>
      <c r="T519" s="101">
        <f t="shared" ref="T519:T530" si="557">IF(VLOOKUP($D519,$C$5:$AJ$644,18,)=0,0,((VLOOKUP($D519,$C$5:$AJ$644,18,)/VLOOKUP($D519,$C$5:$AJ$644,4,))*$F519))</f>
        <v>847086.49038179358</v>
      </c>
      <c r="U519" s="101">
        <f t="shared" ref="U519:U530" si="558">IF(VLOOKUP($D519,$C$5:$AJ$644,19,)=0,0,((VLOOKUP($D519,$C$5:$AJ$644,19,)/VLOOKUP($D519,$C$5:$AJ$644,4,))*$F519))</f>
        <v>0</v>
      </c>
      <c r="V519" s="101">
        <f t="shared" ref="V519:V530" si="559">IF(VLOOKUP($D519,$C$5:$AJ$644,20,)=0,0,((VLOOKUP($D519,$C$5:$AJ$644,20,)/VLOOKUP($D519,$C$5:$AJ$644,4,))*$F519))</f>
        <v>923063.32869588688</v>
      </c>
      <c r="W519" s="101">
        <f t="shared" ref="W519:W530" si="560">IF(VLOOKUP($D519,$C$5:$AJ$644,21,)=0,0,((VLOOKUP($D519,$C$5:$AJ$644,21,)/VLOOKUP($D519,$C$5:$AJ$644,4,))*$F519))</f>
        <v>1711737.8324700852</v>
      </c>
      <c r="X519" s="101">
        <f t="shared" ref="X519:X530" si="561">IF(VLOOKUP($D519,$C$5:$AJ$644,22,)=0,0,((VLOOKUP($D519,$C$5:$AJ$644,22,)/VLOOKUP($D519,$C$5:$AJ$644,4,))*$F519))</f>
        <v>424938.01133022166</v>
      </c>
      <c r="Y519" s="101">
        <f t="shared" ref="Y519:Y530" si="562">IF(VLOOKUP($D519,$C$5:$AJ$644,23,)=0,0,((VLOOKUP($D519,$C$5:$AJ$644,23,)/VLOOKUP($D519,$C$5:$AJ$644,4,))*$F519))</f>
        <v>649590.46901496581</v>
      </c>
      <c r="Z519" s="101">
        <f t="shared" ref="Z519:Z530" si="563">IF(VLOOKUP($D519,$C$5:$AJ$644,24,)=0,0,((VLOOKUP($D519,$C$5:$AJ$644,24,)/VLOOKUP($D519,$C$5:$AJ$644,4,))*$F519))</f>
        <v>659651.46763270407</v>
      </c>
      <c r="AA519" s="101">
        <f t="shared" ref="AA519:AA530" si="564">IF(VLOOKUP($D519,$C$5:$AJ$644,25,)=0,0,((VLOOKUP($D519,$C$5:$AJ$644,25,)/VLOOKUP($D519,$C$5:$AJ$644,4,))*$F519))</f>
        <v>587010.26523839904</v>
      </c>
      <c r="AB519" s="101">
        <f t="shared" ref="AB519:AB530" si="565">IF(VLOOKUP($D519,$C$5:$AJ$644,26,)=0,0,((VLOOKUP($D519,$C$5:$AJ$644,26,)/VLOOKUP($D519,$C$5:$AJ$644,4,))*$F519))</f>
        <v>392987.12827112991</v>
      </c>
      <c r="AC519" s="101">
        <f t="shared" ref="AC519:AC530" si="566">IF(VLOOKUP($D519,$C$5:$AJ$644,27,)=0,0,((VLOOKUP($D519,$C$5:$AJ$644,27,)/VLOOKUP($D519,$C$5:$AJ$644,4,))*$F519))</f>
        <v>335309.94666156371</v>
      </c>
      <c r="AD519" s="101">
        <f t="shared" ref="AD519:AD530" si="567">IF(VLOOKUP($D519,$C$5:$AJ$644,28,)=0,0,((VLOOKUP($D519,$C$5:$AJ$644,28,)/VLOOKUP($D519,$C$5:$AJ$644,4,))*$F519))</f>
        <v>465101.60780670936</v>
      </c>
      <c r="AE519" s="101"/>
      <c r="AF519" s="101">
        <f t="shared" ref="AF519:AF530" si="568">IF(VLOOKUP($D519,$C$5:$AJ$644,30,)=0,0,((VLOOKUP($D519,$C$5:$AJ$644,30,)/VLOOKUP($D519,$C$5:$AJ$644,4,))*$F519))</f>
        <v>5395654.7036261335</v>
      </c>
      <c r="AG519" s="101"/>
      <c r="AH519" s="101">
        <f t="shared" ref="AH519:AH530" si="569">IF(VLOOKUP($D519,$C$5:$AJ$644,32,)=0,0,((VLOOKUP($D519,$C$5:$AJ$644,32,)/VLOOKUP($D519,$C$5:$AJ$644,4,))*$F519))</f>
        <v>741713.84243199381</v>
      </c>
      <c r="AI519" s="101"/>
      <c r="AJ519" s="101">
        <f t="shared" ref="AJ519:AJ530" si="570">IF(VLOOKUP($D519,$C$5:$AJ$644,34,)=0,0,((VLOOKUP($D519,$C$5:$AJ$644,34,)/VLOOKUP($D519,$C$5:$AJ$644,4,))*$F519))</f>
        <v>0</v>
      </c>
      <c r="AK519" s="101">
        <f t="shared" ref="AK519:AK530" si="571">SUM(H519:AJ519)</f>
        <v>33809236.309138596</v>
      </c>
      <c r="AL519" s="98" t="str">
        <f t="shared" ref="AL519:AL530" si="572">IF(ABS(AK519-F519)&lt;1,"ok","err")</f>
        <v>ok</v>
      </c>
    </row>
    <row r="520" spans="1:38" x14ac:dyDescent="0.25">
      <c r="A520" s="97">
        <v>921</v>
      </c>
      <c r="B520" s="97" t="s">
        <v>1242</v>
      </c>
      <c r="C520" s="97" t="s">
        <v>1042</v>
      </c>
      <c r="D520" s="97" t="s">
        <v>741</v>
      </c>
      <c r="F520" s="101">
        <f>'Jurisdictional Study'!F1426</f>
        <v>0</v>
      </c>
      <c r="H520" s="101">
        <f t="shared" si="547"/>
        <v>0</v>
      </c>
      <c r="I520" s="101">
        <f t="shared" si="548"/>
        <v>0</v>
      </c>
      <c r="J520" s="101">
        <f t="shared" si="549"/>
        <v>0</v>
      </c>
      <c r="K520" s="101">
        <f t="shared" si="550"/>
        <v>0</v>
      </c>
      <c r="L520" s="101">
        <f t="shared" si="551"/>
        <v>0</v>
      </c>
      <c r="M520" s="101">
        <f t="shared" si="552"/>
        <v>0</v>
      </c>
      <c r="N520" s="101"/>
      <c r="O520" s="101">
        <f t="shared" si="553"/>
        <v>0</v>
      </c>
      <c r="P520" s="101">
        <f t="shared" si="554"/>
        <v>0</v>
      </c>
      <c r="Q520" s="101">
        <f t="shared" si="555"/>
        <v>0</v>
      </c>
      <c r="R520" s="101"/>
      <c r="S520" s="101">
        <f t="shared" si="556"/>
        <v>0</v>
      </c>
      <c r="T520" s="101">
        <f t="shared" si="557"/>
        <v>0</v>
      </c>
      <c r="U520" s="101">
        <f t="shared" si="558"/>
        <v>0</v>
      </c>
      <c r="V520" s="101">
        <f t="shared" si="559"/>
        <v>0</v>
      </c>
      <c r="W520" s="101">
        <f t="shared" si="560"/>
        <v>0</v>
      </c>
      <c r="X520" s="101">
        <f t="shared" si="561"/>
        <v>0</v>
      </c>
      <c r="Y520" s="101">
        <f t="shared" si="562"/>
        <v>0</v>
      </c>
      <c r="Z520" s="101">
        <f t="shared" si="563"/>
        <v>0</v>
      </c>
      <c r="AA520" s="101">
        <f t="shared" si="564"/>
        <v>0</v>
      </c>
      <c r="AB520" s="101">
        <f t="shared" si="565"/>
        <v>0</v>
      </c>
      <c r="AC520" s="101">
        <f t="shared" si="566"/>
        <v>0</v>
      </c>
      <c r="AD520" s="101">
        <f t="shared" si="567"/>
        <v>0</v>
      </c>
      <c r="AE520" s="101"/>
      <c r="AF520" s="101">
        <f t="shared" si="568"/>
        <v>0</v>
      </c>
      <c r="AG520" s="101"/>
      <c r="AH520" s="101">
        <f t="shared" si="569"/>
        <v>0</v>
      </c>
      <c r="AI520" s="101"/>
      <c r="AJ520" s="101">
        <f t="shared" si="570"/>
        <v>0</v>
      </c>
      <c r="AK520" s="101">
        <f t="shared" si="571"/>
        <v>0</v>
      </c>
      <c r="AL520" s="98" t="str">
        <f t="shared" si="572"/>
        <v>ok</v>
      </c>
    </row>
    <row r="521" spans="1:38" x14ac:dyDescent="0.25">
      <c r="A521" s="97">
        <v>922</v>
      </c>
      <c r="B521" s="97" t="s">
        <v>931</v>
      </c>
      <c r="C521" s="97" t="s">
        <v>1810</v>
      </c>
      <c r="D521" s="97" t="s">
        <v>741</v>
      </c>
      <c r="F521" s="101">
        <f>'Jurisdictional Study'!F1427</f>
        <v>-3161163.4421773665</v>
      </c>
      <c r="H521" s="101">
        <f t="shared" si="547"/>
        <v>-344420.82258848159</v>
      </c>
      <c r="I521" s="101">
        <f t="shared" si="548"/>
        <v>-324677.8456233716</v>
      </c>
      <c r="J521" s="101">
        <f t="shared" si="549"/>
        <v>-333446.38883587695</v>
      </c>
      <c r="K521" s="101">
        <f t="shared" si="550"/>
        <v>-718103.50636515394</v>
      </c>
      <c r="L521" s="101">
        <f t="shared" si="551"/>
        <v>0</v>
      </c>
      <c r="M521" s="101">
        <f t="shared" si="552"/>
        <v>0</v>
      </c>
      <c r="N521" s="101"/>
      <c r="O521" s="101">
        <f t="shared" si="553"/>
        <v>-212500.42184623698</v>
      </c>
      <c r="P521" s="101">
        <f t="shared" si="554"/>
        <v>0</v>
      </c>
      <c r="Q521" s="101">
        <f t="shared" si="555"/>
        <v>0</v>
      </c>
      <c r="R521" s="101"/>
      <c r="S521" s="101">
        <f t="shared" si="556"/>
        <v>0</v>
      </c>
      <c r="T521" s="101">
        <f t="shared" si="557"/>
        <v>-79202.583024138119</v>
      </c>
      <c r="U521" s="101">
        <f t="shared" si="558"/>
        <v>0</v>
      </c>
      <c r="V521" s="101">
        <f t="shared" si="559"/>
        <v>-86306.417063294255</v>
      </c>
      <c r="W521" s="101">
        <f t="shared" si="560"/>
        <v>-160047.47960348779</v>
      </c>
      <c r="X521" s="101">
        <f t="shared" si="561"/>
        <v>-39731.702139795329</v>
      </c>
      <c r="Y521" s="101">
        <f t="shared" si="562"/>
        <v>-60736.705918492175</v>
      </c>
      <c r="Z521" s="101">
        <f t="shared" si="563"/>
        <v>-61677.409243801972</v>
      </c>
      <c r="AA521" s="101">
        <f t="shared" si="564"/>
        <v>-54885.457148077898</v>
      </c>
      <c r="AB521" s="101">
        <f t="shared" si="565"/>
        <v>-36744.294718102574</v>
      </c>
      <c r="AC521" s="101">
        <f t="shared" si="566"/>
        <v>-31351.478498154342</v>
      </c>
      <c r="AD521" s="101">
        <f t="shared" si="567"/>
        <v>-43486.998228915167</v>
      </c>
      <c r="AE521" s="101"/>
      <c r="AF521" s="101">
        <f t="shared" si="568"/>
        <v>-504493.690415152</v>
      </c>
      <c r="AG521" s="101"/>
      <c r="AH521" s="101">
        <f t="shared" si="569"/>
        <v>-69350.24091683366</v>
      </c>
      <c r="AI521" s="101"/>
      <c r="AJ521" s="101">
        <f t="shared" si="570"/>
        <v>0</v>
      </c>
      <c r="AK521" s="101">
        <f>SUM(H521:AJ521)</f>
        <v>-3161163.4421773665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1244</v>
      </c>
      <c r="C522" s="97" t="s">
        <v>1043</v>
      </c>
      <c r="D522" s="97" t="s">
        <v>741</v>
      </c>
      <c r="F522" s="101">
        <f>'Jurisdictional Study'!F1428</f>
        <v>0</v>
      </c>
      <c r="H522" s="101">
        <f t="shared" si="547"/>
        <v>0</v>
      </c>
      <c r="I522" s="101">
        <f t="shared" si="548"/>
        <v>0</v>
      </c>
      <c r="J522" s="101">
        <f t="shared" si="549"/>
        <v>0</v>
      </c>
      <c r="K522" s="101">
        <f t="shared" si="550"/>
        <v>0</v>
      </c>
      <c r="L522" s="101">
        <f t="shared" si="551"/>
        <v>0</v>
      </c>
      <c r="M522" s="101">
        <f t="shared" si="552"/>
        <v>0</v>
      </c>
      <c r="N522" s="101"/>
      <c r="O522" s="101">
        <f t="shared" si="553"/>
        <v>0</v>
      </c>
      <c r="P522" s="101">
        <f t="shared" si="554"/>
        <v>0</v>
      </c>
      <c r="Q522" s="101">
        <f t="shared" si="555"/>
        <v>0</v>
      </c>
      <c r="R522" s="101"/>
      <c r="S522" s="101">
        <f t="shared" si="556"/>
        <v>0</v>
      </c>
      <c r="T522" s="101">
        <f t="shared" si="557"/>
        <v>0</v>
      </c>
      <c r="U522" s="101">
        <f t="shared" si="558"/>
        <v>0</v>
      </c>
      <c r="V522" s="101">
        <f t="shared" si="559"/>
        <v>0</v>
      </c>
      <c r="W522" s="101">
        <f t="shared" si="560"/>
        <v>0</v>
      </c>
      <c r="X522" s="101">
        <f t="shared" si="561"/>
        <v>0</v>
      </c>
      <c r="Y522" s="101">
        <f t="shared" si="562"/>
        <v>0</v>
      </c>
      <c r="Z522" s="101">
        <f t="shared" si="563"/>
        <v>0</v>
      </c>
      <c r="AA522" s="101">
        <f t="shared" si="564"/>
        <v>0</v>
      </c>
      <c r="AB522" s="101">
        <f t="shared" si="565"/>
        <v>0</v>
      </c>
      <c r="AC522" s="101">
        <f t="shared" si="566"/>
        <v>0</v>
      </c>
      <c r="AD522" s="101">
        <f t="shared" si="567"/>
        <v>0</v>
      </c>
      <c r="AE522" s="101"/>
      <c r="AF522" s="101">
        <f t="shared" si="568"/>
        <v>0</v>
      </c>
      <c r="AG522" s="101"/>
      <c r="AH522" s="101">
        <f t="shared" si="569"/>
        <v>0</v>
      </c>
      <c r="AI522" s="101"/>
      <c r="AJ522" s="101">
        <f t="shared" si="570"/>
        <v>0</v>
      </c>
      <c r="AK522" s="101">
        <f t="shared" si="571"/>
        <v>0</v>
      </c>
      <c r="AL522" s="98" t="str">
        <f t="shared" si="572"/>
        <v>ok</v>
      </c>
    </row>
    <row r="523" spans="1:38" x14ac:dyDescent="0.25">
      <c r="A523" s="97">
        <v>924</v>
      </c>
      <c r="B523" s="97" t="s">
        <v>1246</v>
      </c>
      <c r="C523" s="97" t="s">
        <v>1044</v>
      </c>
      <c r="D523" s="97" t="s">
        <v>196</v>
      </c>
      <c r="F523" s="101">
        <f>'Jurisdictional Study'!F1429</f>
        <v>0</v>
      </c>
      <c r="H523" s="101">
        <f t="shared" si="547"/>
        <v>0</v>
      </c>
      <c r="I523" s="101">
        <f t="shared" si="548"/>
        <v>0</v>
      </c>
      <c r="J523" s="101">
        <f t="shared" si="549"/>
        <v>0</v>
      </c>
      <c r="K523" s="101">
        <f t="shared" si="550"/>
        <v>0</v>
      </c>
      <c r="L523" s="101">
        <f t="shared" si="551"/>
        <v>0</v>
      </c>
      <c r="M523" s="101">
        <f t="shared" si="552"/>
        <v>0</v>
      </c>
      <c r="N523" s="101"/>
      <c r="O523" s="101">
        <f t="shared" si="553"/>
        <v>0</v>
      </c>
      <c r="P523" s="101">
        <f t="shared" si="554"/>
        <v>0</v>
      </c>
      <c r="Q523" s="101">
        <f t="shared" si="555"/>
        <v>0</v>
      </c>
      <c r="R523" s="101"/>
      <c r="S523" s="101">
        <f t="shared" si="556"/>
        <v>0</v>
      </c>
      <c r="T523" s="101">
        <f t="shared" si="557"/>
        <v>0</v>
      </c>
      <c r="U523" s="101">
        <f t="shared" si="558"/>
        <v>0</v>
      </c>
      <c r="V523" s="101">
        <f t="shared" si="559"/>
        <v>0</v>
      </c>
      <c r="W523" s="101">
        <f t="shared" si="560"/>
        <v>0</v>
      </c>
      <c r="X523" s="101">
        <f t="shared" si="561"/>
        <v>0</v>
      </c>
      <c r="Y523" s="101">
        <f t="shared" si="562"/>
        <v>0</v>
      </c>
      <c r="Z523" s="101">
        <f t="shared" si="563"/>
        <v>0</v>
      </c>
      <c r="AA523" s="101">
        <f t="shared" si="564"/>
        <v>0</v>
      </c>
      <c r="AB523" s="101">
        <f t="shared" si="565"/>
        <v>0</v>
      </c>
      <c r="AC523" s="101">
        <f t="shared" si="566"/>
        <v>0</v>
      </c>
      <c r="AD523" s="101">
        <f t="shared" si="567"/>
        <v>0</v>
      </c>
      <c r="AE523" s="101"/>
      <c r="AF523" s="101">
        <f t="shared" si="568"/>
        <v>0</v>
      </c>
      <c r="AG523" s="101"/>
      <c r="AH523" s="101">
        <f t="shared" si="569"/>
        <v>0</v>
      </c>
      <c r="AI523" s="101"/>
      <c r="AJ523" s="101">
        <f t="shared" si="570"/>
        <v>0</v>
      </c>
      <c r="AK523" s="101">
        <f t="shared" si="571"/>
        <v>0</v>
      </c>
      <c r="AL523" s="98" t="str">
        <f t="shared" si="572"/>
        <v>ok</v>
      </c>
    </row>
    <row r="524" spans="1:38" x14ac:dyDescent="0.25">
      <c r="A524" s="97">
        <v>925</v>
      </c>
      <c r="B524" s="97" t="s">
        <v>1222</v>
      </c>
      <c r="C524" s="97" t="s">
        <v>1045</v>
      </c>
      <c r="D524" s="97" t="s">
        <v>741</v>
      </c>
      <c r="F524" s="101">
        <f>'Jurisdictional Study'!F1430</f>
        <v>560277.08087133395</v>
      </c>
      <c r="H524" s="101">
        <f t="shared" si="547"/>
        <v>61044.326432632093</v>
      </c>
      <c r="I524" s="101">
        <f t="shared" si="548"/>
        <v>57545.128208922797</v>
      </c>
      <c r="J524" s="101">
        <f t="shared" si="549"/>
        <v>59099.243927537071</v>
      </c>
      <c r="K524" s="101">
        <f t="shared" si="550"/>
        <v>127274.95546152894</v>
      </c>
      <c r="L524" s="101">
        <f t="shared" si="551"/>
        <v>0</v>
      </c>
      <c r="M524" s="101">
        <f t="shared" si="552"/>
        <v>0</v>
      </c>
      <c r="N524" s="101"/>
      <c r="O524" s="101">
        <f t="shared" si="553"/>
        <v>37663.068744693061</v>
      </c>
      <c r="P524" s="101">
        <f t="shared" si="554"/>
        <v>0</v>
      </c>
      <c r="Q524" s="101">
        <f t="shared" si="555"/>
        <v>0</v>
      </c>
      <c r="R524" s="101"/>
      <c r="S524" s="101">
        <f t="shared" si="556"/>
        <v>0</v>
      </c>
      <c r="T524" s="101">
        <f t="shared" si="557"/>
        <v>14037.677211548546</v>
      </c>
      <c r="U524" s="101">
        <f t="shared" si="558"/>
        <v>0</v>
      </c>
      <c r="V524" s="101">
        <f t="shared" si="559"/>
        <v>15296.743840419644</v>
      </c>
      <c r="W524" s="101">
        <f t="shared" si="560"/>
        <v>28366.434166811814</v>
      </c>
      <c r="X524" s="101">
        <f t="shared" si="561"/>
        <v>7041.9522748880545</v>
      </c>
      <c r="Y524" s="101">
        <f t="shared" si="562"/>
        <v>10764.829125796321</v>
      </c>
      <c r="Z524" s="101">
        <f t="shared" si="563"/>
        <v>10931.557143094757</v>
      </c>
      <c r="AA524" s="101">
        <f t="shared" si="564"/>
        <v>9727.7677271988377</v>
      </c>
      <c r="AB524" s="101">
        <f t="shared" si="565"/>
        <v>6512.4712973254072</v>
      </c>
      <c r="AC524" s="101">
        <f t="shared" si="566"/>
        <v>5556.6613923155519</v>
      </c>
      <c r="AD524" s="101">
        <f t="shared" si="567"/>
        <v>7707.5320113063626</v>
      </c>
      <c r="AE524" s="101"/>
      <c r="AF524" s="101">
        <f t="shared" si="568"/>
        <v>89415.260347664298</v>
      </c>
      <c r="AG524" s="101"/>
      <c r="AH524" s="101">
        <f t="shared" si="569"/>
        <v>12291.471557650391</v>
      </c>
      <c r="AI524" s="101"/>
      <c r="AJ524" s="101">
        <f t="shared" si="570"/>
        <v>0</v>
      </c>
      <c r="AK524" s="101">
        <f t="shared" si="571"/>
        <v>560277.08087133395</v>
      </c>
      <c r="AL524" s="98" t="str">
        <f t="shared" si="572"/>
        <v>ok</v>
      </c>
    </row>
    <row r="525" spans="1:38" x14ac:dyDescent="0.25">
      <c r="A525" s="97">
        <v>926</v>
      </c>
      <c r="B525" s="97" t="s">
        <v>1224</v>
      </c>
      <c r="C525" s="97" t="s">
        <v>1046</v>
      </c>
      <c r="D525" s="97" t="s">
        <v>741</v>
      </c>
      <c r="F525" s="101">
        <f>'Jurisdictional Study'!F1431</f>
        <v>39380961.947313868</v>
      </c>
      <c r="H525" s="101">
        <f t="shared" si="547"/>
        <v>4290706.1138468357</v>
      </c>
      <c r="I525" s="101">
        <f t="shared" si="548"/>
        <v>4044753.1794885411</v>
      </c>
      <c r="J525" s="101">
        <f t="shared" si="549"/>
        <v>4153989.437879282</v>
      </c>
      <c r="K525" s="101">
        <f t="shared" si="550"/>
        <v>8945948.9759631604</v>
      </c>
      <c r="L525" s="101">
        <f t="shared" si="551"/>
        <v>0</v>
      </c>
      <c r="M525" s="101">
        <f t="shared" si="552"/>
        <v>0</v>
      </c>
      <c r="N525" s="101"/>
      <c r="O525" s="101">
        <f t="shared" si="553"/>
        <v>2647275.6564433486</v>
      </c>
      <c r="P525" s="101">
        <f t="shared" si="554"/>
        <v>0</v>
      </c>
      <c r="Q525" s="101">
        <f t="shared" si="555"/>
        <v>0</v>
      </c>
      <c r="R525" s="101"/>
      <c r="S525" s="101">
        <f t="shared" si="556"/>
        <v>0</v>
      </c>
      <c r="T525" s="101">
        <f t="shared" si="557"/>
        <v>986685.42935387581</v>
      </c>
      <c r="U525" s="101">
        <f t="shared" si="558"/>
        <v>0</v>
      </c>
      <c r="V525" s="101">
        <f t="shared" si="559"/>
        <v>1075183.1685860329</v>
      </c>
      <c r="W525" s="101">
        <f t="shared" si="560"/>
        <v>1993830.379009807</v>
      </c>
      <c r="X525" s="101">
        <f t="shared" si="561"/>
        <v>494967.33677002275</v>
      </c>
      <c r="Y525" s="101">
        <f t="shared" si="562"/>
        <v>756642.27691240341</v>
      </c>
      <c r="Z525" s="101">
        <f t="shared" si="563"/>
        <v>768361.31723896752</v>
      </c>
      <c r="AA525" s="101">
        <f t="shared" si="564"/>
        <v>683748.92312452209</v>
      </c>
      <c r="AB525" s="101">
        <f t="shared" si="565"/>
        <v>457750.98268180393</v>
      </c>
      <c r="AC525" s="101">
        <f t="shared" si="566"/>
        <v>390568.66381999973</v>
      </c>
      <c r="AD525" s="101">
        <f t="shared" si="567"/>
        <v>541749.85057913547</v>
      </c>
      <c r="AE525" s="101"/>
      <c r="AF525" s="101">
        <f t="shared" si="568"/>
        <v>6284852.7728179144</v>
      </c>
      <c r="AG525" s="101"/>
      <c r="AH525" s="101">
        <f t="shared" si="569"/>
        <v>863947.48279821477</v>
      </c>
      <c r="AI525" s="101"/>
      <c r="AJ525" s="101">
        <f t="shared" si="570"/>
        <v>0</v>
      </c>
      <c r="AK525" s="101">
        <f t="shared" si="571"/>
        <v>39380961.94731386</v>
      </c>
      <c r="AL525" s="98" t="str">
        <f t="shared" si="572"/>
        <v>ok</v>
      </c>
    </row>
    <row r="526" spans="1:38" x14ac:dyDescent="0.25">
      <c r="A526" s="97">
        <v>928</v>
      </c>
      <c r="B526" s="97" t="s">
        <v>573</v>
      </c>
      <c r="C526" s="97" t="s">
        <v>1047</v>
      </c>
      <c r="D526" s="97" t="s">
        <v>196</v>
      </c>
      <c r="F526" s="101">
        <f>'Jurisdictional Study'!F1432</f>
        <v>0</v>
      </c>
      <c r="H526" s="101">
        <f t="shared" si="547"/>
        <v>0</v>
      </c>
      <c r="I526" s="101">
        <f t="shared" si="548"/>
        <v>0</v>
      </c>
      <c r="J526" s="101">
        <f t="shared" si="549"/>
        <v>0</v>
      </c>
      <c r="K526" s="101">
        <f t="shared" si="550"/>
        <v>0</v>
      </c>
      <c r="L526" s="101">
        <f t="shared" si="551"/>
        <v>0</v>
      </c>
      <c r="M526" s="101">
        <f t="shared" si="552"/>
        <v>0</v>
      </c>
      <c r="N526" s="101"/>
      <c r="O526" s="101">
        <f t="shared" si="553"/>
        <v>0</v>
      </c>
      <c r="P526" s="101">
        <f t="shared" si="554"/>
        <v>0</v>
      </c>
      <c r="Q526" s="101">
        <f t="shared" si="555"/>
        <v>0</v>
      </c>
      <c r="R526" s="101"/>
      <c r="S526" s="101">
        <f t="shared" si="556"/>
        <v>0</v>
      </c>
      <c r="T526" s="101">
        <f t="shared" si="557"/>
        <v>0</v>
      </c>
      <c r="U526" s="101">
        <f t="shared" si="558"/>
        <v>0</v>
      </c>
      <c r="V526" s="101">
        <f t="shared" si="559"/>
        <v>0</v>
      </c>
      <c r="W526" s="101">
        <f t="shared" si="560"/>
        <v>0</v>
      </c>
      <c r="X526" s="101">
        <f t="shared" si="561"/>
        <v>0</v>
      </c>
      <c r="Y526" s="101">
        <f t="shared" si="562"/>
        <v>0</v>
      </c>
      <c r="Z526" s="101">
        <f t="shared" si="563"/>
        <v>0</v>
      </c>
      <c r="AA526" s="101">
        <f t="shared" si="564"/>
        <v>0</v>
      </c>
      <c r="AB526" s="101">
        <f t="shared" si="565"/>
        <v>0</v>
      </c>
      <c r="AC526" s="101">
        <f t="shared" si="566"/>
        <v>0</v>
      </c>
      <c r="AD526" s="101">
        <f t="shared" si="567"/>
        <v>0</v>
      </c>
      <c r="AE526" s="101"/>
      <c r="AF526" s="101">
        <f t="shared" si="568"/>
        <v>0</v>
      </c>
      <c r="AG526" s="101"/>
      <c r="AH526" s="101">
        <f t="shared" si="569"/>
        <v>0</v>
      </c>
      <c r="AI526" s="101"/>
      <c r="AJ526" s="101">
        <f t="shared" si="570"/>
        <v>0</v>
      </c>
      <c r="AK526" s="101">
        <f t="shared" si="571"/>
        <v>0</v>
      </c>
      <c r="AL526" s="98" t="str">
        <f t="shared" si="572"/>
        <v>ok</v>
      </c>
    </row>
    <row r="527" spans="1:38" x14ac:dyDescent="0.25">
      <c r="A527" s="97">
        <v>929</v>
      </c>
      <c r="B527" s="97" t="s">
        <v>487</v>
      </c>
      <c r="C527" s="97" t="s">
        <v>1048</v>
      </c>
      <c r="D527" s="97" t="s">
        <v>741</v>
      </c>
      <c r="F527" s="101">
        <f>'Jurisdictional Study'!F1433</f>
        <v>0</v>
      </c>
      <c r="H527" s="101">
        <f t="shared" si="547"/>
        <v>0</v>
      </c>
      <c r="I527" s="101">
        <f t="shared" si="548"/>
        <v>0</v>
      </c>
      <c r="J527" s="101">
        <f t="shared" si="549"/>
        <v>0</v>
      </c>
      <c r="K527" s="101">
        <f t="shared" si="550"/>
        <v>0</v>
      </c>
      <c r="L527" s="101">
        <f t="shared" si="551"/>
        <v>0</v>
      </c>
      <c r="M527" s="101">
        <f t="shared" si="552"/>
        <v>0</v>
      </c>
      <c r="N527" s="101"/>
      <c r="O527" s="101">
        <f t="shared" si="553"/>
        <v>0</v>
      </c>
      <c r="P527" s="101">
        <f t="shared" si="554"/>
        <v>0</v>
      </c>
      <c r="Q527" s="101">
        <f t="shared" si="555"/>
        <v>0</v>
      </c>
      <c r="R527" s="101"/>
      <c r="S527" s="101">
        <f t="shared" si="556"/>
        <v>0</v>
      </c>
      <c r="T527" s="101">
        <f t="shared" si="557"/>
        <v>0</v>
      </c>
      <c r="U527" s="101">
        <f t="shared" si="558"/>
        <v>0</v>
      </c>
      <c r="V527" s="101">
        <f t="shared" si="559"/>
        <v>0</v>
      </c>
      <c r="W527" s="101">
        <f t="shared" si="560"/>
        <v>0</v>
      </c>
      <c r="X527" s="101">
        <f t="shared" si="561"/>
        <v>0</v>
      </c>
      <c r="Y527" s="101">
        <f t="shared" si="562"/>
        <v>0</v>
      </c>
      <c r="Z527" s="101">
        <f t="shared" si="563"/>
        <v>0</v>
      </c>
      <c r="AA527" s="101">
        <f t="shared" si="564"/>
        <v>0</v>
      </c>
      <c r="AB527" s="101">
        <f t="shared" si="565"/>
        <v>0</v>
      </c>
      <c r="AC527" s="101">
        <f t="shared" si="566"/>
        <v>0</v>
      </c>
      <c r="AD527" s="101">
        <f t="shared" si="567"/>
        <v>0</v>
      </c>
      <c r="AE527" s="101"/>
      <c r="AF527" s="101">
        <f t="shared" si="568"/>
        <v>0</v>
      </c>
      <c r="AG527" s="101"/>
      <c r="AH527" s="101">
        <f t="shared" si="569"/>
        <v>0</v>
      </c>
      <c r="AI527" s="101"/>
      <c r="AJ527" s="101">
        <f t="shared" si="570"/>
        <v>0</v>
      </c>
      <c r="AK527" s="101">
        <f t="shared" si="571"/>
        <v>0</v>
      </c>
      <c r="AL527" s="98" t="str">
        <f t="shared" si="572"/>
        <v>ok</v>
      </c>
    </row>
    <row r="528" spans="1:38" x14ac:dyDescent="0.25">
      <c r="A528" s="97">
        <v>930</v>
      </c>
      <c r="B528" s="97" t="s">
        <v>265</v>
      </c>
      <c r="C528" s="97" t="s">
        <v>1049</v>
      </c>
      <c r="D528" s="97" t="s">
        <v>741</v>
      </c>
      <c r="F528" s="101">
        <f>'Jurisdictional Study'!F1434</f>
        <v>0</v>
      </c>
      <c r="H528" s="101">
        <f t="shared" si="547"/>
        <v>0</v>
      </c>
      <c r="I528" s="101">
        <f t="shared" si="548"/>
        <v>0</v>
      </c>
      <c r="J528" s="101">
        <f t="shared" si="549"/>
        <v>0</v>
      </c>
      <c r="K528" s="101">
        <f t="shared" si="550"/>
        <v>0</v>
      </c>
      <c r="L528" s="101">
        <f t="shared" si="551"/>
        <v>0</v>
      </c>
      <c r="M528" s="101">
        <f t="shared" si="552"/>
        <v>0</v>
      </c>
      <c r="N528" s="101"/>
      <c r="O528" s="101">
        <f t="shared" si="553"/>
        <v>0</v>
      </c>
      <c r="P528" s="101">
        <f t="shared" si="554"/>
        <v>0</v>
      </c>
      <c r="Q528" s="101">
        <f t="shared" si="555"/>
        <v>0</v>
      </c>
      <c r="R528" s="101"/>
      <c r="S528" s="101">
        <f t="shared" si="556"/>
        <v>0</v>
      </c>
      <c r="T528" s="101">
        <f t="shared" si="557"/>
        <v>0</v>
      </c>
      <c r="U528" s="101">
        <f t="shared" si="558"/>
        <v>0</v>
      </c>
      <c r="V528" s="101">
        <f t="shared" si="559"/>
        <v>0</v>
      </c>
      <c r="W528" s="101">
        <f t="shared" si="560"/>
        <v>0</v>
      </c>
      <c r="X528" s="101">
        <f t="shared" si="561"/>
        <v>0</v>
      </c>
      <c r="Y528" s="101">
        <f t="shared" si="562"/>
        <v>0</v>
      </c>
      <c r="Z528" s="101">
        <f t="shared" si="563"/>
        <v>0</v>
      </c>
      <c r="AA528" s="101">
        <f t="shared" si="564"/>
        <v>0</v>
      </c>
      <c r="AB528" s="101">
        <f t="shared" si="565"/>
        <v>0</v>
      </c>
      <c r="AC528" s="101">
        <f t="shared" si="566"/>
        <v>0</v>
      </c>
      <c r="AD528" s="101">
        <f t="shared" si="567"/>
        <v>0</v>
      </c>
      <c r="AE528" s="101"/>
      <c r="AF528" s="101">
        <f t="shared" si="568"/>
        <v>0</v>
      </c>
      <c r="AG528" s="101"/>
      <c r="AH528" s="101">
        <f t="shared" si="569"/>
        <v>0</v>
      </c>
      <c r="AI528" s="101"/>
      <c r="AJ528" s="101">
        <f t="shared" si="570"/>
        <v>0</v>
      </c>
      <c r="AK528" s="101">
        <f t="shared" si="571"/>
        <v>0</v>
      </c>
      <c r="AL528" s="98" t="str">
        <f t="shared" si="572"/>
        <v>ok</v>
      </c>
    </row>
    <row r="529" spans="1:38" x14ac:dyDescent="0.25">
      <c r="A529" s="97">
        <v>931</v>
      </c>
      <c r="B529" s="97" t="s">
        <v>267</v>
      </c>
      <c r="C529" s="97" t="s">
        <v>1050</v>
      </c>
      <c r="D529" s="97" t="s">
        <v>186</v>
      </c>
      <c r="F529" s="101">
        <f>'Jurisdictional Study'!F1435</f>
        <v>0</v>
      </c>
      <c r="H529" s="101">
        <f t="shared" si="547"/>
        <v>0</v>
      </c>
      <c r="I529" s="101">
        <f t="shared" si="548"/>
        <v>0</v>
      </c>
      <c r="J529" s="101">
        <f t="shared" si="549"/>
        <v>0</v>
      </c>
      <c r="K529" s="101">
        <f t="shared" si="550"/>
        <v>0</v>
      </c>
      <c r="L529" s="101">
        <f t="shared" si="551"/>
        <v>0</v>
      </c>
      <c r="M529" s="101">
        <f t="shared" si="552"/>
        <v>0</v>
      </c>
      <c r="N529" s="101"/>
      <c r="O529" s="101">
        <f t="shared" si="553"/>
        <v>0</v>
      </c>
      <c r="P529" s="101">
        <f t="shared" si="554"/>
        <v>0</v>
      </c>
      <c r="Q529" s="101">
        <f t="shared" si="555"/>
        <v>0</v>
      </c>
      <c r="R529" s="101"/>
      <c r="S529" s="101">
        <f t="shared" si="556"/>
        <v>0</v>
      </c>
      <c r="T529" s="101">
        <f t="shared" si="557"/>
        <v>0</v>
      </c>
      <c r="U529" s="101">
        <f t="shared" si="558"/>
        <v>0</v>
      </c>
      <c r="V529" s="101">
        <f t="shared" si="559"/>
        <v>0</v>
      </c>
      <c r="W529" s="101">
        <f t="shared" si="560"/>
        <v>0</v>
      </c>
      <c r="X529" s="101">
        <f t="shared" si="561"/>
        <v>0</v>
      </c>
      <c r="Y529" s="101">
        <f t="shared" si="562"/>
        <v>0</v>
      </c>
      <c r="Z529" s="101">
        <f t="shared" si="563"/>
        <v>0</v>
      </c>
      <c r="AA529" s="101">
        <f t="shared" si="564"/>
        <v>0</v>
      </c>
      <c r="AB529" s="101">
        <f t="shared" si="565"/>
        <v>0</v>
      </c>
      <c r="AC529" s="101">
        <f t="shared" si="566"/>
        <v>0</v>
      </c>
      <c r="AD529" s="101">
        <f t="shared" si="567"/>
        <v>0</v>
      </c>
      <c r="AE529" s="101"/>
      <c r="AF529" s="101">
        <f t="shared" si="568"/>
        <v>0</v>
      </c>
      <c r="AG529" s="101"/>
      <c r="AH529" s="101">
        <f t="shared" si="569"/>
        <v>0</v>
      </c>
      <c r="AI529" s="101"/>
      <c r="AJ529" s="101">
        <f t="shared" si="570"/>
        <v>0</v>
      </c>
      <c r="AK529" s="101">
        <f t="shared" si="571"/>
        <v>0</v>
      </c>
      <c r="AL529" s="98" t="str">
        <f t="shared" si="572"/>
        <v>ok</v>
      </c>
    </row>
    <row r="530" spans="1:38" x14ac:dyDescent="0.25">
      <c r="A530" s="97">
        <v>935</v>
      </c>
      <c r="B530" s="97" t="s">
        <v>269</v>
      </c>
      <c r="C530" s="97" t="s">
        <v>1811</v>
      </c>
      <c r="D530" s="97" t="s">
        <v>186</v>
      </c>
      <c r="F530" s="101">
        <f>'Jurisdictional Study'!F1436</f>
        <v>593047.4349612738</v>
      </c>
      <c r="H530" s="101">
        <f t="shared" si="547"/>
        <v>124256.44586772198</v>
      </c>
      <c r="I530" s="101">
        <f t="shared" si="548"/>
        <v>130166.49177401904</v>
      </c>
      <c r="J530" s="101">
        <f t="shared" si="549"/>
        <v>106996.41731414736</v>
      </c>
      <c r="K530" s="101">
        <f t="shared" si="550"/>
        <v>0</v>
      </c>
      <c r="L530" s="101">
        <f t="shared" si="551"/>
        <v>0</v>
      </c>
      <c r="M530" s="101">
        <f t="shared" si="552"/>
        <v>0</v>
      </c>
      <c r="N530" s="101"/>
      <c r="O530" s="101">
        <f t="shared" si="553"/>
        <v>78121.849717167759</v>
      </c>
      <c r="P530" s="101">
        <f t="shared" si="554"/>
        <v>0</v>
      </c>
      <c r="Q530" s="101">
        <f t="shared" si="555"/>
        <v>0</v>
      </c>
      <c r="R530" s="101"/>
      <c r="S530" s="101">
        <f t="shared" si="556"/>
        <v>0</v>
      </c>
      <c r="T530" s="101">
        <f t="shared" si="557"/>
        <v>18585.505573228169</v>
      </c>
      <c r="U530" s="101">
        <f t="shared" si="558"/>
        <v>0</v>
      </c>
      <c r="V530" s="101">
        <f t="shared" si="559"/>
        <v>20252.475791684134</v>
      </c>
      <c r="W530" s="101">
        <f t="shared" si="560"/>
        <v>37556.392867202361</v>
      </c>
      <c r="X530" s="101">
        <f t="shared" si="561"/>
        <v>9323.3546603897921</v>
      </c>
      <c r="Y530" s="101">
        <f t="shared" si="562"/>
        <v>14252.343083351605</v>
      </c>
      <c r="Z530" s="101">
        <f t="shared" si="563"/>
        <v>14473.086476151953</v>
      </c>
      <c r="AA530" s="101">
        <f t="shared" si="564"/>
        <v>12879.301795042409</v>
      </c>
      <c r="AB530" s="101">
        <f t="shared" si="565"/>
        <v>8622.3361435006063</v>
      </c>
      <c r="AC530" s="101">
        <f t="shared" si="566"/>
        <v>7356.8696386935953</v>
      </c>
      <c r="AD530" s="101">
        <f t="shared" si="567"/>
        <v>10204.56425897306</v>
      </c>
      <c r="AE530" s="101"/>
      <c r="AF530" s="101">
        <f t="shared" si="568"/>
        <v>0</v>
      </c>
      <c r="AG530" s="101"/>
      <c r="AH530" s="101">
        <f t="shared" si="569"/>
        <v>0</v>
      </c>
      <c r="AI530" s="101"/>
      <c r="AJ530" s="101">
        <f t="shared" si="570"/>
        <v>0</v>
      </c>
      <c r="AK530" s="101">
        <f t="shared" si="571"/>
        <v>593047.43496127392</v>
      </c>
      <c r="AL530" s="98" t="str">
        <f t="shared" si="572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270</v>
      </c>
      <c r="C532" s="97" t="s">
        <v>1051</v>
      </c>
      <c r="F532" s="100">
        <f t="shared" ref="F532:M532" si="573">SUM(F519:F531)</f>
        <v>71182359.330107704</v>
      </c>
      <c r="G532" s="100">
        <f t="shared" si="573"/>
        <v>0</v>
      </c>
      <c r="H532" s="100">
        <f t="shared" si="573"/>
        <v>7815231.4029028928</v>
      </c>
      <c r="I532" s="100">
        <f t="shared" si="573"/>
        <v>7380277.4491392085</v>
      </c>
      <c r="J532" s="100">
        <f t="shared" si="573"/>
        <v>7552910.4209360257</v>
      </c>
      <c r="K532" s="100">
        <f t="shared" si="573"/>
        <v>16035372.201094812</v>
      </c>
      <c r="L532" s="100">
        <f t="shared" si="573"/>
        <v>0</v>
      </c>
      <c r="M532" s="100">
        <f t="shared" si="573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4">SUM(S519:S531)</f>
        <v>0</v>
      </c>
      <c r="T532" s="100">
        <f t="shared" si="574"/>
        <v>1787192.5194963079</v>
      </c>
      <c r="U532" s="100">
        <f t="shared" si="574"/>
        <v>0</v>
      </c>
      <c r="V532" s="100">
        <f t="shared" si="574"/>
        <v>1947489.2998507295</v>
      </c>
      <c r="W532" s="100">
        <f t="shared" si="574"/>
        <v>3611443.5589104188</v>
      </c>
      <c r="X532" s="100">
        <f t="shared" si="574"/>
        <v>896538.95289572689</v>
      </c>
      <c r="Y532" s="100">
        <f t="shared" si="574"/>
        <v>1370513.212218025</v>
      </c>
      <c r="Z532" s="100">
        <f t="shared" si="574"/>
        <v>1391740.0192471163</v>
      </c>
      <c r="AA532" s="100">
        <f t="shared" si="574"/>
        <v>1238480.8007370846</v>
      </c>
      <c r="AB532" s="100">
        <f t="shared" si="574"/>
        <v>829128.62367565732</v>
      </c>
      <c r="AC532" s="100">
        <f t="shared" si="574"/>
        <v>707440.66301441833</v>
      </c>
      <c r="AD532" s="100">
        <f t="shared" si="574"/>
        <v>981276.55642720917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837</v>
      </c>
      <c r="C534" s="97" t="s">
        <v>1052</v>
      </c>
      <c r="F534" s="100">
        <f>F485+F494+F508+F532</f>
        <v>171476568.89321756</v>
      </c>
      <c r="G534" s="100"/>
      <c r="H534" s="100">
        <f t="shared" ref="H534:M534" si="575">H485+H494+H508+H532</f>
        <v>18742668.338841524</v>
      </c>
      <c r="I534" s="100">
        <f t="shared" si="575"/>
        <v>17681329.098344762</v>
      </c>
      <c r="J534" s="100">
        <f t="shared" si="575"/>
        <v>18132161.576938502</v>
      </c>
      <c r="K534" s="100">
        <f t="shared" si="575"/>
        <v>38818636.930293135</v>
      </c>
      <c r="L534" s="100">
        <f t="shared" si="575"/>
        <v>0</v>
      </c>
      <c r="M534" s="100">
        <f t="shared" si="575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6">S485+S494+S508+S532</f>
        <v>0</v>
      </c>
      <c r="T534" s="100">
        <f t="shared" si="576"/>
        <v>4300052.2956713419</v>
      </c>
      <c r="U534" s="100">
        <f t="shared" si="576"/>
        <v>0</v>
      </c>
      <c r="V534" s="100">
        <f t="shared" si="576"/>
        <v>4685732.3669744711</v>
      </c>
      <c r="W534" s="100">
        <f t="shared" si="576"/>
        <v>8689268.7814947572</v>
      </c>
      <c r="X534" s="100">
        <f t="shared" si="576"/>
        <v>2157106.3780216407</v>
      </c>
      <c r="Y534" s="100">
        <f t="shared" si="576"/>
        <v>3297506.2396226628</v>
      </c>
      <c r="Z534" s="100">
        <f t="shared" si="576"/>
        <v>3348578.7342193513</v>
      </c>
      <c r="AA534" s="100">
        <f t="shared" si="576"/>
        <v>2979831.3009139607</v>
      </c>
      <c r="AB534" s="100">
        <f t="shared" si="576"/>
        <v>1994914.5952379843</v>
      </c>
      <c r="AC534" s="100">
        <f t="shared" si="576"/>
        <v>1702128.7935469616</v>
      </c>
      <c r="AD534" s="100">
        <f t="shared" si="576"/>
        <v>2360988.2332892157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1352</v>
      </c>
      <c r="C536" s="97" t="s">
        <v>1053</v>
      </c>
      <c r="F536" s="102">
        <f t="shared" ref="F536:M536" si="577">F534-F422</f>
        <v>171476568.89321756</v>
      </c>
      <c r="G536" s="102">
        <f t="shared" si="577"/>
        <v>0</v>
      </c>
      <c r="H536" s="102">
        <f t="shared" si="577"/>
        <v>18742668.338841524</v>
      </c>
      <c r="I536" s="102">
        <f t="shared" si="577"/>
        <v>17681329.098344762</v>
      </c>
      <c r="J536" s="102">
        <f t="shared" si="577"/>
        <v>18132161.576938502</v>
      </c>
      <c r="K536" s="102">
        <f t="shared" si="577"/>
        <v>38818636.930293135</v>
      </c>
      <c r="L536" s="102">
        <f t="shared" si="577"/>
        <v>0</v>
      </c>
      <c r="M536" s="102">
        <f t="shared" si="577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8">S534-S422</f>
        <v>0</v>
      </c>
      <c r="T536" s="102">
        <f t="shared" si="578"/>
        <v>4300052.2956713419</v>
      </c>
      <c r="U536" s="102">
        <f t="shared" si="578"/>
        <v>0</v>
      </c>
      <c r="V536" s="102">
        <f t="shared" si="578"/>
        <v>4685732.3669744711</v>
      </c>
      <c r="W536" s="102">
        <f t="shared" si="578"/>
        <v>8689268.7814947572</v>
      </c>
      <c r="X536" s="102">
        <f t="shared" si="578"/>
        <v>2157106.3780216407</v>
      </c>
      <c r="Y536" s="102">
        <f t="shared" si="578"/>
        <v>3297506.2396226628</v>
      </c>
      <c r="Z536" s="102">
        <f t="shared" si="578"/>
        <v>3348578.7342193513</v>
      </c>
      <c r="AA536" s="102">
        <f t="shared" si="578"/>
        <v>2979831.3009139607</v>
      </c>
      <c r="AB536" s="102">
        <f t="shared" si="578"/>
        <v>1994914.5952379843</v>
      </c>
      <c r="AC536" s="102">
        <f t="shared" si="578"/>
        <v>1702128.7935469616</v>
      </c>
      <c r="AD536" s="102">
        <f t="shared" si="578"/>
        <v>2360988.2332892157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840</v>
      </c>
      <c r="AL562" s="98"/>
    </row>
    <row r="563" spans="1:38" x14ac:dyDescent="0.25">
      <c r="AL563" s="98"/>
    </row>
    <row r="564" spans="1:38" x14ac:dyDescent="0.25">
      <c r="A564" s="24" t="s">
        <v>841</v>
      </c>
      <c r="AL564" s="98"/>
    </row>
    <row r="565" spans="1:38" x14ac:dyDescent="0.25">
      <c r="A565" s="107" t="s">
        <v>1657</v>
      </c>
      <c r="C565" s="97" t="s">
        <v>1354</v>
      </c>
      <c r="D565" s="97" t="s">
        <v>1543</v>
      </c>
      <c r="F565" s="100">
        <f>'Jurisdictional Study'!F1134-50159545</f>
        <v>99900146.210981131</v>
      </c>
      <c r="H565" s="101">
        <f t="shared" ref="H565:H572" si="579">IF(VLOOKUP($D565,$C$5:$AJ$644,6,)=0,0,((VLOOKUP($D565,$C$5:$AJ$644,6,)/VLOOKUP($D565,$C$5:$AJ$644,4,))*$F565))</f>
        <v>34345800.63194827</v>
      </c>
      <c r="I565" s="101">
        <f t="shared" ref="I565:I572" si="580">IF(VLOOKUP($D565,$C$5:$AJ$644,7,)=0,0,((VLOOKUP($D565,$C$5:$AJ$644,7,)/VLOOKUP($D565,$C$5:$AJ$644,4,))*$F565))</f>
        <v>35979400.056153834</v>
      </c>
      <c r="J565" s="101">
        <f t="shared" ref="J565:J572" si="581">IF(VLOOKUP($D565,$C$5:$AJ$644,8,)=0,0,((VLOOKUP($D565,$C$5:$AJ$644,8,)/VLOOKUP($D565,$C$5:$AJ$644,4,))*$F565))</f>
        <v>29574945.522879023</v>
      </c>
      <c r="K565" s="101">
        <f t="shared" ref="K565:K572" si="582">IF(VLOOKUP($D565,$C$5:$AJ$644,9,)=0,0,((VLOOKUP($D565,$C$5:$AJ$644,9,)/VLOOKUP($D565,$C$5:$AJ$644,4,))*$F565))</f>
        <v>0</v>
      </c>
      <c r="L565" s="101">
        <f t="shared" ref="L565:L572" si="583">IF(VLOOKUP($D565,$C$5:$AJ$644,10,)=0,0,((VLOOKUP($D565,$C$5:$AJ$644,10,)/VLOOKUP($D565,$C$5:$AJ$644,4,))*$F565))</f>
        <v>0</v>
      </c>
      <c r="M565" s="101">
        <f t="shared" ref="M565:M572" si="584">IF(VLOOKUP($D565,$C$5:$AJ$644,11,)=0,0,((VLOOKUP($D565,$C$5:$AJ$644,11,)/VLOOKUP($D565,$C$5:$AJ$644,4,))*$F565))</f>
        <v>0</v>
      </c>
      <c r="N565" s="101"/>
      <c r="O565" s="101">
        <f t="shared" ref="O565:O572" si="585">IF(VLOOKUP($D565,$C$5:$AJ$644,13,)=0,0,((VLOOKUP($D565,$C$5:$AJ$644,13,)/VLOOKUP($D565,$C$5:$AJ$644,4,))*$F565))</f>
        <v>0</v>
      </c>
      <c r="P565" s="101">
        <f t="shared" ref="P565:P572" si="586">IF(VLOOKUP($D565,$C$5:$AJ$644,14,)=0,0,((VLOOKUP($D565,$C$5:$AJ$644,14,)/VLOOKUP($D565,$C$5:$AJ$644,4,))*$F565))</f>
        <v>0</v>
      </c>
      <c r="Q565" s="101">
        <f t="shared" ref="Q565:Q572" si="587">IF(VLOOKUP($D565,$C$5:$AJ$644,15,)=0,0,((VLOOKUP($D565,$C$5:$AJ$644,15,)/VLOOKUP($D565,$C$5:$AJ$644,4,))*$F565))</f>
        <v>0</v>
      </c>
      <c r="R565" s="101"/>
      <c r="S565" s="101">
        <f t="shared" ref="S565:S572" si="588">IF(VLOOKUP($D565,$C$5:$AJ$644,17,)=0,0,((VLOOKUP($D565,$C$5:$AJ$644,17,)/VLOOKUP($D565,$C$5:$AJ$644,4,))*$F565))</f>
        <v>0</v>
      </c>
      <c r="T565" s="101">
        <f t="shared" ref="T565:T572" si="589">IF(VLOOKUP($D565,$C$5:$AJ$644,18,)=0,0,((VLOOKUP($D565,$C$5:$AJ$644,18,)/VLOOKUP($D565,$C$5:$AJ$644,4,))*$F565))</f>
        <v>0</v>
      </c>
      <c r="U565" s="101">
        <f t="shared" ref="U565:U572" si="590">IF(VLOOKUP($D565,$C$5:$AJ$644,19,)=0,0,((VLOOKUP($D565,$C$5:$AJ$644,19,)/VLOOKUP($D565,$C$5:$AJ$644,4,))*$F565))</f>
        <v>0</v>
      </c>
      <c r="V565" s="101">
        <f t="shared" ref="V565:V572" si="591">IF(VLOOKUP($D565,$C$5:$AJ$644,20,)=0,0,((VLOOKUP($D565,$C$5:$AJ$644,20,)/VLOOKUP($D565,$C$5:$AJ$644,4,))*$F565))</f>
        <v>0</v>
      </c>
      <c r="W565" s="101">
        <f t="shared" ref="W565:W572" si="592">IF(VLOOKUP($D565,$C$5:$AJ$644,21,)=0,0,((VLOOKUP($D565,$C$5:$AJ$644,21,)/VLOOKUP($D565,$C$5:$AJ$644,4,))*$F565))</f>
        <v>0</v>
      </c>
      <c r="X565" s="101">
        <f t="shared" ref="X565:X572" si="593">IF(VLOOKUP($D565,$C$5:$AJ$644,22,)=0,0,((VLOOKUP($D565,$C$5:$AJ$644,22,)/VLOOKUP($D565,$C$5:$AJ$644,4,))*$F565))</f>
        <v>0</v>
      </c>
      <c r="Y565" s="101">
        <f t="shared" ref="Y565:Y572" si="594">IF(VLOOKUP($D565,$C$5:$AJ$644,23,)=0,0,((VLOOKUP($D565,$C$5:$AJ$644,23,)/VLOOKUP($D565,$C$5:$AJ$644,4,))*$F565))</f>
        <v>0</v>
      </c>
      <c r="Z565" s="101">
        <f t="shared" ref="Z565:Z572" si="595">IF(VLOOKUP($D565,$C$5:$AJ$644,24,)=0,0,((VLOOKUP($D565,$C$5:$AJ$644,24,)/VLOOKUP($D565,$C$5:$AJ$644,4,))*$F565))</f>
        <v>0</v>
      </c>
      <c r="AA565" s="101">
        <f t="shared" ref="AA565:AA572" si="596">IF(VLOOKUP($D565,$C$5:$AJ$644,25,)=0,0,((VLOOKUP($D565,$C$5:$AJ$644,25,)/VLOOKUP($D565,$C$5:$AJ$644,4,))*$F565))</f>
        <v>0</v>
      </c>
      <c r="AB565" s="101">
        <f t="shared" ref="AB565:AB572" si="597">IF(VLOOKUP($D565,$C$5:$AJ$644,26,)=0,0,((VLOOKUP($D565,$C$5:$AJ$644,26,)/VLOOKUP($D565,$C$5:$AJ$644,4,))*$F565))</f>
        <v>0</v>
      </c>
      <c r="AC565" s="101">
        <f t="shared" ref="AC565:AC572" si="598">IF(VLOOKUP($D565,$C$5:$AJ$644,27,)=0,0,((VLOOKUP($D565,$C$5:$AJ$644,27,)/VLOOKUP($D565,$C$5:$AJ$644,4,))*$F565))</f>
        <v>0</v>
      </c>
      <c r="AD565" s="101">
        <f t="shared" ref="AD565:AD572" si="599">IF(VLOOKUP($D565,$C$5:$AJ$644,28,)=0,0,((VLOOKUP($D565,$C$5:$AJ$644,28,)/VLOOKUP($D565,$C$5:$AJ$644,4,))*$F565))</f>
        <v>0</v>
      </c>
      <c r="AE565" s="101"/>
      <c r="AF565" s="101">
        <f t="shared" ref="AF565:AF572" si="600">IF(VLOOKUP($D565,$C$5:$AJ$644,30,)=0,0,((VLOOKUP($D565,$C$5:$AJ$644,30,)/VLOOKUP($D565,$C$5:$AJ$644,4,))*$F565))</f>
        <v>0</v>
      </c>
      <c r="AG565" s="101"/>
      <c r="AH565" s="101">
        <f t="shared" ref="AH565:AH572" si="601">IF(VLOOKUP($D565,$C$5:$AJ$644,32,)=0,0,((VLOOKUP($D565,$C$5:$AJ$644,32,)/VLOOKUP($D565,$C$5:$AJ$644,4,))*$F565))</f>
        <v>0</v>
      </c>
      <c r="AI565" s="101"/>
      <c r="AJ565" s="101">
        <f t="shared" ref="AJ565:AJ572" si="602">IF(VLOOKUP($D565,$C$5:$AJ$644,34,)=0,0,((VLOOKUP($D565,$C$5:$AJ$644,34,)/VLOOKUP($D565,$C$5:$AJ$644,4,))*$F565))</f>
        <v>0</v>
      </c>
      <c r="AK565" s="101">
        <f t="shared" ref="AK565:AK572" si="603">SUM(H565:AJ565)</f>
        <v>99900146.210981116</v>
      </c>
      <c r="AL565" s="98" t="str">
        <f t="shared" ref="AL565:AL572" si="604">IF(ABS(AK565-F565)&lt;1,"ok","err")</f>
        <v>ok</v>
      </c>
    </row>
    <row r="566" spans="1:38" x14ac:dyDescent="0.25">
      <c r="A566" s="107" t="s">
        <v>1656</v>
      </c>
      <c r="C566" s="97" t="s">
        <v>988</v>
      </c>
      <c r="D566" s="97" t="s">
        <v>1543</v>
      </c>
      <c r="F566" s="101">
        <f>'Jurisdictional Study'!F1140</f>
        <v>1118830.8925168437</v>
      </c>
      <c r="H566" s="101">
        <f t="shared" si="579"/>
        <v>384655.52086473629</v>
      </c>
      <c r="I566" s="101">
        <f t="shared" si="580"/>
        <v>402951.00461647089</v>
      </c>
      <c r="J566" s="101">
        <f t="shared" si="581"/>
        <v>331224.36703563656</v>
      </c>
      <c r="K566" s="101">
        <f t="shared" si="582"/>
        <v>0</v>
      </c>
      <c r="L566" s="101">
        <f t="shared" si="583"/>
        <v>0</v>
      </c>
      <c r="M566" s="101">
        <f t="shared" si="584"/>
        <v>0</v>
      </c>
      <c r="N566" s="101"/>
      <c r="O566" s="101">
        <f t="shared" si="585"/>
        <v>0</v>
      </c>
      <c r="P566" s="101">
        <f t="shared" si="586"/>
        <v>0</v>
      </c>
      <c r="Q566" s="101">
        <f t="shared" si="587"/>
        <v>0</v>
      </c>
      <c r="R566" s="101"/>
      <c r="S566" s="101">
        <f t="shared" si="588"/>
        <v>0</v>
      </c>
      <c r="T566" s="101">
        <f t="shared" si="589"/>
        <v>0</v>
      </c>
      <c r="U566" s="101">
        <f t="shared" si="590"/>
        <v>0</v>
      </c>
      <c r="V566" s="101">
        <f t="shared" si="591"/>
        <v>0</v>
      </c>
      <c r="W566" s="101">
        <f t="shared" si="592"/>
        <v>0</v>
      </c>
      <c r="X566" s="101">
        <f t="shared" si="593"/>
        <v>0</v>
      </c>
      <c r="Y566" s="101">
        <f t="shared" si="594"/>
        <v>0</v>
      </c>
      <c r="Z566" s="101">
        <f t="shared" si="595"/>
        <v>0</v>
      </c>
      <c r="AA566" s="101">
        <f t="shared" si="596"/>
        <v>0</v>
      </c>
      <c r="AB566" s="101">
        <f t="shared" si="597"/>
        <v>0</v>
      </c>
      <c r="AC566" s="101">
        <f t="shared" si="598"/>
        <v>0</v>
      </c>
      <c r="AD566" s="101">
        <f t="shared" si="599"/>
        <v>0</v>
      </c>
      <c r="AE566" s="101"/>
      <c r="AF566" s="101">
        <f t="shared" si="600"/>
        <v>0</v>
      </c>
      <c r="AG566" s="101"/>
      <c r="AH566" s="101">
        <f t="shared" si="601"/>
        <v>0</v>
      </c>
      <c r="AI566" s="101"/>
      <c r="AJ566" s="101">
        <f t="shared" si="602"/>
        <v>0</v>
      </c>
      <c r="AK566" s="101">
        <f t="shared" si="603"/>
        <v>1118830.8925168437</v>
      </c>
      <c r="AL566" s="98" t="str">
        <f t="shared" si="604"/>
        <v>ok</v>
      </c>
    </row>
    <row r="567" spans="1:38" x14ac:dyDescent="0.25">
      <c r="A567" s="108" t="s">
        <v>1655</v>
      </c>
      <c r="C567" s="97" t="s">
        <v>989</v>
      </c>
      <c r="D567" s="97" t="s">
        <v>1543</v>
      </c>
      <c r="F567" s="101">
        <f>'Jurisdictional Study'!F1146</f>
        <v>35620454.175360583</v>
      </c>
      <c r="H567" s="101">
        <f t="shared" si="579"/>
        <v>12246358.628371106</v>
      </c>
      <c r="I567" s="101">
        <f t="shared" si="580"/>
        <v>12828835.788193457</v>
      </c>
      <c r="J567" s="101">
        <f t="shared" si="581"/>
        <v>10545259.758796018</v>
      </c>
      <c r="K567" s="101">
        <f t="shared" si="582"/>
        <v>0</v>
      </c>
      <c r="L567" s="101">
        <f t="shared" si="583"/>
        <v>0</v>
      </c>
      <c r="M567" s="101">
        <f t="shared" si="584"/>
        <v>0</v>
      </c>
      <c r="N567" s="101"/>
      <c r="O567" s="101">
        <f t="shared" si="585"/>
        <v>0</v>
      </c>
      <c r="P567" s="101">
        <f t="shared" si="586"/>
        <v>0</v>
      </c>
      <c r="Q567" s="101">
        <f t="shared" si="587"/>
        <v>0</v>
      </c>
      <c r="R567" s="101"/>
      <c r="S567" s="101">
        <f t="shared" si="588"/>
        <v>0</v>
      </c>
      <c r="T567" s="101">
        <f t="shared" si="589"/>
        <v>0</v>
      </c>
      <c r="U567" s="101">
        <f t="shared" si="590"/>
        <v>0</v>
      </c>
      <c r="V567" s="101">
        <f t="shared" si="591"/>
        <v>0</v>
      </c>
      <c r="W567" s="101">
        <f t="shared" si="592"/>
        <v>0</v>
      </c>
      <c r="X567" s="101">
        <f t="shared" si="593"/>
        <v>0</v>
      </c>
      <c r="Y567" s="101">
        <f t="shared" si="594"/>
        <v>0</v>
      </c>
      <c r="Z567" s="101">
        <f t="shared" si="595"/>
        <v>0</v>
      </c>
      <c r="AA567" s="101">
        <f t="shared" si="596"/>
        <v>0</v>
      </c>
      <c r="AB567" s="101">
        <f t="shared" si="597"/>
        <v>0</v>
      </c>
      <c r="AC567" s="101">
        <f t="shared" si="598"/>
        <v>0</v>
      </c>
      <c r="AD567" s="101">
        <f t="shared" si="599"/>
        <v>0</v>
      </c>
      <c r="AE567" s="101"/>
      <c r="AF567" s="101">
        <f t="shared" si="600"/>
        <v>0</v>
      </c>
      <c r="AG567" s="101"/>
      <c r="AH567" s="101">
        <f t="shared" si="601"/>
        <v>0</v>
      </c>
      <c r="AI567" s="101"/>
      <c r="AJ567" s="101">
        <f t="shared" si="602"/>
        <v>0</v>
      </c>
      <c r="AK567" s="101">
        <f t="shared" si="603"/>
        <v>35620454.175360575</v>
      </c>
      <c r="AL567" s="98" t="str">
        <f t="shared" si="604"/>
        <v>ok</v>
      </c>
    </row>
    <row r="568" spans="1:38" x14ac:dyDescent="0.25">
      <c r="A568" s="97" t="s">
        <v>1658</v>
      </c>
      <c r="C568" s="97" t="s">
        <v>990</v>
      </c>
      <c r="D568" s="97" t="s">
        <v>490</v>
      </c>
      <c r="F568" s="101">
        <f>'Jurisdictional Study'!F1151</f>
        <v>20185930.110497635</v>
      </c>
      <c r="H568" s="101">
        <f t="shared" si="579"/>
        <v>0</v>
      </c>
      <c r="I568" s="101">
        <f t="shared" si="580"/>
        <v>0</v>
      </c>
      <c r="J568" s="101">
        <f t="shared" si="581"/>
        <v>0</v>
      </c>
      <c r="K568" s="101">
        <f t="shared" si="582"/>
        <v>0</v>
      </c>
      <c r="L568" s="101">
        <f t="shared" si="583"/>
        <v>0</v>
      </c>
      <c r="M568" s="101">
        <f t="shared" si="584"/>
        <v>0</v>
      </c>
      <c r="N568" s="101"/>
      <c r="O568" s="101">
        <f t="shared" si="585"/>
        <v>20185930.110497635</v>
      </c>
      <c r="P568" s="101">
        <f t="shared" si="586"/>
        <v>0</v>
      </c>
      <c r="Q568" s="101">
        <f t="shared" si="587"/>
        <v>0</v>
      </c>
      <c r="R568" s="101"/>
      <c r="S568" s="101">
        <f t="shared" si="588"/>
        <v>0</v>
      </c>
      <c r="T568" s="101">
        <f t="shared" si="589"/>
        <v>0</v>
      </c>
      <c r="U568" s="101">
        <f t="shared" si="590"/>
        <v>0</v>
      </c>
      <c r="V568" s="101">
        <f t="shared" si="591"/>
        <v>0</v>
      </c>
      <c r="W568" s="101">
        <f t="shared" si="592"/>
        <v>0</v>
      </c>
      <c r="X568" s="101">
        <f t="shared" si="593"/>
        <v>0</v>
      </c>
      <c r="Y568" s="101">
        <f t="shared" si="594"/>
        <v>0</v>
      </c>
      <c r="Z568" s="101">
        <f t="shared" si="595"/>
        <v>0</v>
      </c>
      <c r="AA568" s="101">
        <f t="shared" si="596"/>
        <v>0</v>
      </c>
      <c r="AB568" s="101">
        <f t="shared" si="597"/>
        <v>0</v>
      </c>
      <c r="AC568" s="101">
        <f t="shared" si="598"/>
        <v>0</v>
      </c>
      <c r="AD568" s="101">
        <f t="shared" si="599"/>
        <v>0</v>
      </c>
      <c r="AE568" s="101"/>
      <c r="AF568" s="101">
        <f t="shared" si="600"/>
        <v>0</v>
      </c>
      <c r="AG568" s="101"/>
      <c r="AH568" s="101">
        <f t="shared" si="601"/>
        <v>0</v>
      </c>
      <c r="AI568" s="101"/>
      <c r="AJ568" s="101">
        <f t="shared" si="602"/>
        <v>0</v>
      </c>
      <c r="AK568" s="101">
        <f t="shared" si="603"/>
        <v>20185930.110497635</v>
      </c>
      <c r="AL568" s="98" t="str">
        <f t="shared" si="604"/>
        <v>ok</v>
      </c>
    </row>
    <row r="569" spans="1:38" x14ac:dyDescent="0.25">
      <c r="A569" s="97" t="s">
        <v>1659</v>
      </c>
      <c r="C569" s="97" t="s">
        <v>991</v>
      </c>
      <c r="D569" s="97" t="s">
        <v>490</v>
      </c>
      <c r="F569" s="101">
        <f>'Jurisdictional Study'!F1152</f>
        <v>182213.83552902148</v>
      </c>
      <c r="H569" s="101">
        <f t="shared" si="579"/>
        <v>0</v>
      </c>
      <c r="I569" s="101">
        <f t="shared" si="580"/>
        <v>0</v>
      </c>
      <c r="J569" s="101">
        <f t="shared" si="581"/>
        <v>0</v>
      </c>
      <c r="K569" s="101">
        <f t="shared" si="582"/>
        <v>0</v>
      </c>
      <c r="L569" s="101">
        <f t="shared" si="583"/>
        <v>0</v>
      </c>
      <c r="M569" s="101">
        <f t="shared" si="584"/>
        <v>0</v>
      </c>
      <c r="N569" s="101"/>
      <c r="O569" s="101">
        <f t="shared" si="585"/>
        <v>182213.83552902148</v>
      </c>
      <c r="P569" s="101">
        <f t="shared" si="586"/>
        <v>0</v>
      </c>
      <c r="Q569" s="101">
        <f t="shared" si="587"/>
        <v>0</v>
      </c>
      <c r="R569" s="101"/>
      <c r="S569" s="101">
        <f t="shared" si="588"/>
        <v>0</v>
      </c>
      <c r="T569" s="101">
        <f t="shared" si="589"/>
        <v>0</v>
      </c>
      <c r="U569" s="101">
        <f t="shared" si="590"/>
        <v>0</v>
      </c>
      <c r="V569" s="101">
        <f t="shared" si="591"/>
        <v>0</v>
      </c>
      <c r="W569" s="101">
        <f t="shared" si="592"/>
        <v>0</v>
      </c>
      <c r="X569" s="101">
        <f t="shared" si="593"/>
        <v>0</v>
      </c>
      <c r="Y569" s="101">
        <f t="shared" si="594"/>
        <v>0</v>
      </c>
      <c r="Z569" s="101">
        <f t="shared" si="595"/>
        <v>0</v>
      </c>
      <c r="AA569" s="101">
        <f t="shared" si="596"/>
        <v>0</v>
      </c>
      <c r="AB569" s="101">
        <f t="shared" si="597"/>
        <v>0</v>
      </c>
      <c r="AC569" s="101">
        <f t="shared" si="598"/>
        <v>0</v>
      </c>
      <c r="AD569" s="101">
        <f t="shared" si="599"/>
        <v>0</v>
      </c>
      <c r="AE569" s="101"/>
      <c r="AF569" s="101">
        <f t="shared" si="600"/>
        <v>0</v>
      </c>
      <c r="AG569" s="101"/>
      <c r="AH569" s="101">
        <f t="shared" si="601"/>
        <v>0</v>
      </c>
      <c r="AI569" s="101"/>
      <c r="AJ569" s="101">
        <f t="shared" si="602"/>
        <v>0</v>
      </c>
      <c r="AK569" s="101">
        <f t="shared" si="603"/>
        <v>182213.83552902148</v>
      </c>
      <c r="AL569" s="98" t="str">
        <f t="shared" si="604"/>
        <v>ok</v>
      </c>
    </row>
    <row r="570" spans="1:38" x14ac:dyDescent="0.25">
      <c r="A570" s="97" t="s">
        <v>1661</v>
      </c>
      <c r="C570" s="97" t="s">
        <v>992</v>
      </c>
      <c r="D570" s="97" t="s">
        <v>115</v>
      </c>
      <c r="F570" s="101">
        <f>'Jurisdictional Study'!F1161</f>
        <v>43044392.604235888</v>
      </c>
      <c r="H570" s="101">
        <f t="shared" si="579"/>
        <v>0</v>
      </c>
      <c r="I570" s="101">
        <f t="shared" si="580"/>
        <v>0</v>
      </c>
      <c r="J570" s="101">
        <f t="shared" si="581"/>
        <v>0</v>
      </c>
      <c r="K570" s="101">
        <f t="shared" si="582"/>
        <v>0</v>
      </c>
      <c r="L570" s="101">
        <f t="shared" si="583"/>
        <v>0</v>
      </c>
      <c r="M570" s="101">
        <f t="shared" si="584"/>
        <v>0</v>
      </c>
      <c r="N570" s="101"/>
      <c r="O570" s="101">
        <f t="shared" si="585"/>
        <v>0</v>
      </c>
      <c r="P570" s="101">
        <f t="shared" si="586"/>
        <v>0</v>
      </c>
      <c r="Q570" s="101">
        <f t="shared" si="587"/>
        <v>0</v>
      </c>
      <c r="R570" s="101"/>
      <c r="S570" s="101">
        <f t="shared" si="588"/>
        <v>0</v>
      </c>
      <c r="T570" s="101">
        <f t="shared" si="589"/>
        <v>5211526.5754373176</v>
      </c>
      <c r="U570" s="101">
        <f t="shared" si="590"/>
        <v>0</v>
      </c>
      <c r="V570" s="101">
        <f t="shared" si="591"/>
        <v>5678958.5513777426</v>
      </c>
      <c r="W570" s="101">
        <f t="shared" si="592"/>
        <v>10531117.312564632</v>
      </c>
      <c r="X570" s="101">
        <f t="shared" si="593"/>
        <v>2614344.3014452914</v>
      </c>
      <c r="Y570" s="101">
        <f t="shared" si="594"/>
        <v>3996472.6516845492</v>
      </c>
      <c r="Z570" s="101">
        <f t="shared" si="595"/>
        <v>4058370.8902553818</v>
      </c>
      <c r="AA570" s="101">
        <f t="shared" si="596"/>
        <v>3611460.732853374</v>
      </c>
      <c r="AB570" s="101">
        <f t="shared" si="597"/>
        <v>2417773.0208714548</v>
      </c>
      <c r="AC570" s="101">
        <f t="shared" si="598"/>
        <v>2062925.9442534572</v>
      </c>
      <c r="AD570" s="101">
        <f t="shared" si="599"/>
        <v>2861442.6234926847</v>
      </c>
      <c r="AE570" s="101"/>
      <c r="AF570" s="101">
        <f t="shared" si="600"/>
        <v>0</v>
      </c>
      <c r="AG570" s="101"/>
      <c r="AH570" s="101">
        <f t="shared" si="601"/>
        <v>0</v>
      </c>
      <c r="AI570" s="101"/>
      <c r="AJ570" s="101">
        <f t="shared" si="602"/>
        <v>0</v>
      </c>
      <c r="AK570" s="101">
        <f t="shared" si="603"/>
        <v>43044392.604235888</v>
      </c>
      <c r="AL570" s="98" t="str">
        <f t="shared" si="604"/>
        <v>ok</v>
      </c>
    </row>
    <row r="571" spans="1:38" x14ac:dyDescent="0.25">
      <c r="A571" s="107" t="s">
        <v>198</v>
      </c>
      <c r="C571" s="97" t="s">
        <v>993</v>
      </c>
      <c r="D571" s="97" t="s">
        <v>186</v>
      </c>
      <c r="F571" s="101">
        <f>'Jurisdictional Study'!F1163</f>
        <v>11631104.926124556</v>
      </c>
      <c r="H571" s="101">
        <f t="shared" si="579"/>
        <v>2436971.6053643585</v>
      </c>
      <c r="I571" s="101">
        <f t="shared" si="580"/>
        <v>2552882.0030863262</v>
      </c>
      <c r="J571" s="101">
        <f t="shared" si="581"/>
        <v>2098460.3981661662</v>
      </c>
      <c r="K571" s="101">
        <f t="shared" si="582"/>
        <v>0</v>
      </c>
      <c r="L571" s="101">
        <f t="shared" si="583"/>
        <v>0</v>
      </c>
      <c r="M571" s="101">
        <f t="shared" si="584"/>
        <v>0</v>
      </c>
      <c r="N571" s="101"/>
      <c r="O571" s="101">
        <f t="shared" si="585"/>
        <v>1532159.7860762132</v>
      </c>
      <c r="P571" s="101">
        <f t="shared" si="586"/>
        <v>0</v>
      </c>
      <c r="Q571" s="101">
        <f t="shared" si="587"/>
        <v>0</v>
      </c>
      <c r="R571" s="101"/>
      <c r="S571" s="101">
        <f t="shared" si="588"/>
        <v>0</v>
      </c>
      <c r="T571" s="101">
        <f t="shared" si="589"/>
        <v>364507.04055638571</v>
      </c>
      <c r="U571" s="101">
        <f t="shared" si="590"/>
        <v>0</v>
      </c>
      <c r="V571" s="101">
        <f t="shared" si="591"/>
        <v>397200.38745679375</v>
      </c>
      <c r="W571" s="101">
        <f t="shared" si="592"/>
        <v>736572.35548740067</v>
      </c>
      <c r="X571" s="101">
        <f t="shared" si="593"/>
        <v>182853.69757234896</v>
      </c>
      <c r="Y571" s="101">
        <f t="shared" si="594"/>
        <v>279523.16808589344</v>
      </c>
      <c r="Z571" s="101">
        <f t="shared" si="595"/>
        <v>283852.48377305636</v>
      </c>
      <c r="AA571" s="101">
        <f t="shared" si="596"/>
        <v>252594.48354775301</v>
      </c>
      <c r="AB571" s="101">
        <f t="shared" si="597"/>
        <v>169105.01670059579</v>
      </c>
      <c r="AC571" s="101">
        <f t="shared" si="598"/>
        <v>144286.1357305304</v>
      </c>
      <c r="AD571" s="101">
        <f t="shared" si="599"/>
        <v>200136.36452073458</v>
      </c>
      <c r="AE571" s="101"/>
      <c r="AF571" s="101">
        <f t="shared" si="600"/>
        <v>0</v>
      </c>
      <c r="AG571" s="101"/>
      <c r="AH571" s="101">
        <f t="shared" si="601"/>
        <v>0</v>
      </c>
      <c r="AI571" s="101"/>
      <c r="AJ571" s="101">
        <f t="shared" si="602"/>
        <v>0</v>
      </c>
      <c r="AK571" s="101">
        <f t="shared" si="603"/>
        <v>11631104.926124556</v>
      </c>
      <c r="AL571" s="98" t="str">
        <f t="shared" si="604"/>
        <v>ok</v>
      </c>
    </row>
    <row r="572" spans="1:38" x14ac:dyDescent="0.25">
      <c r="A572" s="107" t="s">
        <v>1660</v>
      </c>
      <c r="C572" s="97" t="s">
        <v>1355</v>
      </c>
      <c r="D572" s="97" t="s">
        <v>117</v>
      </c>
      <c r="F572" s="101">
        <f>'Jurisdictional Study'!F1165+'Jurisdictional Study'!F1167</f>
        <v>16379763.783943884</v>
      </c>
      <c r="H572" s="101">
        <f t="shared" si="579"/>
        <v>3431919.7958905278</v>
      </c>
      <c r="I572" s="101">
        <f t="shared" si="580"/>
        <v>3595153.2072343142</v>
      </c>
      <c r="J572" s="101">
        <f t="shared" si="581"/>
        <v>2955203.8134158044</v>
      </c>
      <c r="K572" s="101">
        <f t="shared" si="582"/>
        <v>0</v>
      </c>
      <c r="L572" s="101">
        <f t="shared" si="583"/>
        <v>0</v>
      </c>
      <c r="M572" s="101">
        <f t="shared" si="584"/>
        <v>0</v>
      </c>
      <c r="N572" s="101"/>
      <c r="O572" s="101">
        <f t="shared" si="585"/>
        <v>2157698.3042099001</v>
      </c>
      <c r="P572" s="101">
        <f t="shared" si="586"/>
        <v>0</v>
      </c>
      <c r="Q572" s="101">
        <f t="shared" si="587"/>
        <v>0</v>
      </c>
      <c r="R572" s="101"/>
      <c r="S572" s="101">
        <f t="shared" si="588"/>
        <v>0</v>
      </c>
      <c r="T572" s="101">
        <f t="shared" si="589"/>
        <v>513325.19651573768</v>
      </c>
      <c r="U572" s="101">
        <f t="shared" si="590"/>
        <v>0</v>
      </c>
      <c r="V572" s="101">
        <f t="shared" si="591"/>
        <v>559366.33387427113</v>
      </c>
      <c r="W572" s="101">
        <f t="shared" si="592"/>
        <v>1037294.5020526733</v>
      </c>
      <c r="X572" s="101">
        <f t="shared" si="593"/>
        <v>257507.81136266017</v>
      </c>
      <c r="Y572" s="101">
        <f t="shared" si="594"/>
        <v>393644.75640682969</v>
      </c>
      <c r="Z572" s="101">
        <f t="shared" si="595"/>
        <v>399741.61210130231</v>
      </c>
      <c r="AA572" s="101">
        <f t="shared" si="596"/>
        <v>355721.83381704515</v>
      </c>
      <c r="AB572" s="101">
        <f t="shared" si="597"/>
        <v>238145.92386783377</v>
      </c>
      <c r="AC572" s="101">
        <f t="shared" si="598"/>
        <v>203194.17936431782</v>
      </c>
      <c r="AD572" s="101">
        <f t="shared" si="599"/>
        <v>281846.51383066841</v>
      </c>
      <c r="AE572" s="101"/>
      <c r="AF572" s="101">
        <f t="shared" si="600"/>
        <v>0</v>
      </c>
      <c r="AG572" s="101"/>
      <c r="AH572" s="101">
        <f t="shared" si="601"/>
        <v>0</v>
      </c>
      <c r="AI572" s="101"/>
      <c r="AJ572" s="101">
        <f t="shared" si="602"/>
        <v>0</v>
      </c>
      <c r="AK572" s="101">
        <f t="shared" si="603"/>
        <v>16379763.783943884</v>
      </c>
      <c r="AL572" s="98" t="str">
        <f t="shared" si="604"/>
        <v>ok</v>
      </c>
    </row>
    <row r="573" spans="1:38" x14ac:dyDescent="0.25">
      <c r="F573" s="101"/>
      <c r="AL573" s="98"/>
    </row>
    <row r="574" spans="1:38" x14ac:dyDescent="0.25">
      <c r="A574" s="97" t="s">
        <v>842</v>
      </c>
      <c r="C574" s="97" t="s">
        <v>843</v>
      </c>
      <c r="F574" s="100">
        <f>SUM(F565:F573)</f>
        <v>228062836.53918952</v>
      </c>
      <c r="H574" s="101">
        <f t="shared" ref="H574:M574" si="605">SUM(H565:H573)</f>
        <v>52845706.182438992</v>
      </c>
      <c r="I574" s="101">
        <f t="shared" si="605"/>
        <v>55359222.059284404</v>
      </c>
      <c r="J574" s="101">
        <f t="shared" si="605"/>
        <v>45505093.860292643</v>
      </c>
      <c r="K574" s="101">
        <f t="shared" si="605"/>
        <v>0</v>
      </c>
      <c r="L574" s="101">
        <f t="shared" si="605"/>
        <v>0</v>
      </c>
      <c r="M574" s="101">
        <f t="shared" si="605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6">SUM(S565:S573)</f>
        <v>0</v>
      </c>
      <c r="T574" s="101">
        <f t="shared" si="606"/>
        <v>6089358.8125094417</v>
      </c>
      <c r="U574" s="101">
        <f t="shared" si="606"/>
        <v>0</v>
      </c>
      <c r="V574" s="101">
        <f t="shared" si="606"/>
        <v>6635525.2727088071</v>
      </c>
      <c r="W574" s="101">
        <f t="shared" si="606"/>
        <v>12304984.170104707</v>
      </c>
      <c r="X574" s="101">
        <f t="shared" si="606"/>
        <v>3054705.8103803005</v>
      </c>
      <c r="Y574" s="101">
        <f t="shared" si="606"/>
        <v>4669640.576177272</v>
      </c>
      <c r="Z574" s="101">
        <f t="shared" si="606"/>
        <v>4741964.9861297403</v>
      </c>
      <c r="AA574" s="101">
        <f t="shared" si="606"/>
        <v>4219777.0502181724</v>
      </c>
      <c r="AB574" s="101">
        <f t="shared" si="606"/>
        <v>2825023.9614398843</v>
      </c>
      <c r="AC574" s="101">
        <f t="shared" si="606"/>
        <v>2410406.2593483059</v>
      </c>
      <c r="AD574" s="101">
        <f t="shared" si="606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272</v>
      </c>
      <c r="AL576" s="98"/>
    </row>
    <row r="577" spans="1:38" x14ac:dyDescent="0.25">
      <c r="A577" s="107" t="s">
        <v>70</v>
      </c>
      <c r="C577" s="97" t="s">
        <v>73</v>
      </c>
      <c r="D577" s="97" t="s">
        <v>1543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490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587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273</v>
      </c>
      <c r="C581" s="97" t="s">
        <v>72</v>
      </c>
      <c r="F581" s="100">
        <f>SUM(F577:F579)</f>
        <v>0</v>
      </c>
      <c r="H581" s="100">
        <f t="shared" ref="H581:M581" si="607">SUM(H577:H579)</f>
        <v>0</v>
      </c>
      <c r="I581" s="100">
        <f t="shared" si="607"/>
        <v>0</v>
      </c>
      <c r="J581" s="100">
        <f t="shared" si="607"/>
        <v>0</v>
      </c>
      <c r="K581" s="100">
        <f t="shared" si="607"/>
        <v>0</v>
      </c>
      <c r="L581" s="100">
        <f t="shared" si="607"/>
        <v>0</v>
      </c>
      <c r="M581" s="100">
        <f t="shared" si="607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8">SUM(S577:S579)</f>
        <v>0</v>
      </c>
      <c r="T581" s="100">
        <f t="shared" si="608"/>
        <v>0</v>
      </c>
      <c r="U581" s="100">
        <f t="shared" si="608"/>
        <v>0</v>
      </c>
      <c r="V581" s="100">
        <f t="shared" si="608"/>
        <v>0</v>
      </c>
      <c r="W581" s="100">
        <f t="shared" si="608"/>
        <v>0</v>
      </c>
      <c r="X581" s="100">
        <f t="shared" si="608"/>
        <v>0</v>
      </c>
      <c r="Y581" s="100">
        <f t="shared" si="608"/>
        <v>0</v>
      </c>
      <c r="Z581" s="100">
        <f t="shared" si="608"/>
        <v>0</v>
      </c>
      <c r="AA581" s="100">
        <f t="shared" si="608"/>
        <v>0</v>
      </c>
      <c r="AB581" s="100">
        <f t="shared" si="608"/>
        <v>0</v>
      </c>
      <c r="AC581" s="100">
        <f t="shared" si="608"/>
        <v>0</v>
      </c>
      <c r="AD581" s="100">
        <f t="shared" si="608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392</v>
      </c>
      <c r="C583" s="97" t="s">
        <v>393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427</v>
      </c>
      <c r="C585" s="97" t="s">
        <v>1751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730</v>
      </c>
      <c r="C587" s="97" t="s">
        <v>934</v>
      </c>
      <c r="D587" s="97" t="s">
        <v>1067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1169</v>
      </c>
      <c r="C589" s="97" t="s">
        <v>395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840</v>
      </c>
      <c r="C591" s="97" t="s">
        <v>394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396</v>
      </c>
      <c r="C593" s="97" t="s">
        <v>397</v>
      </c>
      <c r="F593" s="102">
        <f>F574+F581+F583+F585+F587+F589+F591</f>
        <v>351978912.27241039</v>
      </c>
      <c r="G593" s="102"/>
      <c r="H593" s="102">
        <f t="shared" ref="H593:AJ593" si="609">H574+H581+H583+H585+H587+H589+H591</f>
        <v>78644200.306138679</v>
      </c>
      <c r="I593" s="102">
        <f t="shared" si="609"/>
        <v>82384777.552071646</v>
      </c>
      <c r="J593" s="102">
        <f t="shared" si="609"/>
        <v>67720009.344632953</v>
      </c>
      <c r="K593" s="102">
        <f t="shared" si="609"/>
        <v>0</v>
      </c>
      <c r="L593" s="102">
        <f t="shared" si="609"/>
        <v>0</v>
      </c>
      <c r="M593" s="102">
        <f t="shared" si="609"/>
        <v>0</v>
      </c>
      <c r="N593" s="102"/>
      <c r="O593" s="102">
        <f t="shared" si="609"/>
        <v>40698208.553532511</v>
      </c>
      <c r="P593" s="102">
        <f t="shared" si="609"/>
        <v>0</v>
      </c>
      <c r="Q593" s="102">
        <f t="shared" si="609"/>
        <v>0</v>
      </c>
      <c r="R593" s="102"/>
      <c r="S593" s="102">
        <f t="shared" si="609"/>
        <v>0</v>
      </c>
      <c r="T593" s="102">
        <f t="shared" si="609"/>
        <v>9992387.1128674429</v>
      </c>
      <c r="U593" s="102">
        <f t="shared" si="609"/>
        <v>0</v>
      </c>
      <c r="V593" s="102">
        <f t="shared" si="609"/>
        <v>10888623.788421059</v>
      </c>
      <c r="W593" s="102">
        <f t="shared" si="609"/>
        <v>20191972.427836221</v>
      </c>
      <c r="X593" s="102">
        <f t="shared" si="609"/>
        <v>5012646.4728174675</v>
      </c>
      <c r="Y593" s="102">
        <f t="shared" si="609"/>
        <v>7662687.9367431467</v>
      </c>
      <c r="Z593" s="102">
        <f t="shared" si="609"/>
        <v>7781369.3158844374</v>
      </c>
      <c r="AA593" s="102">
        <f t="shared" si="609"/>
        <v>6924480.4114929931</v>
      </c>
      <c r="AB593" s="102">
        <f t="shared" si="609"/>
        <v>4635748.0146913026</v>
      </c>
      <c r="AC593" s="102">
        <f t="shared" si="609"/>
        <v>3955377.4353397386</v>
      </c>
      <c r="AD593" s="102">
        <f t="shared" si="609"/>
        <v>5486423.5999407899</v>
      </c>
      <c r="AE593" s="102"/>
      <c r="AF593" s="102">
        <f t="shared" si="609"/>
        <v>0</v>
      </c>
      <c r="AG593" s="102"/>
      <c r="AH593" s="102">
        <f t="shared" si="609"/>
        <v>0</v>
      </c>
      <c r="AI593" s="102"/>
      <c r="AJ593" s="102">
        <f t="shared" si="609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489</v>
      </c>
      <c r="F595" s="102">
        <f>F328+F593</f>
        <v>1285753150.8498964</v>
      </c>
      <c r="G595" s="102">
        <f t="shared" ref="G595:M595" si="610">G328+G593</f>
        <v>0</v>
      </c>
      <c r="H595" s="102">
        <f t="shared" si="610"/>
        <v>116269450.46963067</v>
      </c>
      <c r="I595" s="102">
        <f t="shared" si="610"/>
        <v>118336056.87504071</v>
      </c>
      <c r="J595" s="102">
        <f t="shared" si="610"/>
        <v>103653665.09026006</v>
      </c>
      <c r="K595" s="102">
        <f t="shared" si="610"/>
        <v>640387546.76813221</v>
      </c>
      <c r="L595" s="102">
        <f t="shared" si="610"/>
        <v>0</v>
      </c>
      <c r="M595" s="102">
        <f t="shared" si="610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11">S328+S593</f>
        <v>0</v>
      </c>
      <c r="T595" s="102">
        <f t="shared" si="611"/>
        <v>17420001.777544905</v>
      </c>
      <c r="U595" s="102">
        <f t="shared" si="611"/>
        <v>0</v>
      </c>
      <c r="V595" s="102">
        <f t="shared" si="611"/>
        <v>24614593.621940851</v>
      </c>
      <c r="W595" s="102">
        <f t="shared" si="611"/>
        <v>42159192.453755818</v>
      </c>
      <c r="X595" s="102">
        <f t="shared" si="611"/>
        <v>11962697.832303572</v>
      </c>
      <c r="Y595" s="102">
        <f t="shared" si="611"/>
        <v>17926608.457687505</v>
      </c>
      <c r="Z595" s="102">
        <f t="shared" si="611"/>
        <v>10830066.713025689</v>
      </c>
      <c r="AA595" s="102">
        <f t="shared" si="611"/>
        <v>9637453.4821812343</v>
      </c>
      <c r="AB595" s="102">
        <f t="shared" si="611"/>
        <v>6421513.0046040099</v>
      </c>
      <c r="AC595" s="102">
        <f t="shared" si="611"/>
        <v>16294158.234761029</v>
      </c>
      <c r="AD595" s="102">
        <f t="shared" si="611"/>
        <v>7457082.5613760613</v>
      </c>
      <c r="AE595" s="102">
        <f t="shared" si="611"/>
        <v>0</v>
      </c>
      <c r="AF595" s="102">
        <f t="shared" si="611"/>
        <v>51233939.006895855</v>
      </c>
      <c r="AG595" s="102">
        <f t="shared" si="611"/>
        <v>0</v>
      </c>
      <c r="AH595" s="102">
        <f t="shared" si="611"/>
        <v>6423986.4669190757</v>
      </c>
      <c r="AI595" s="102">
        <f t="shared" si="611"/>
        <v>0</v>
      </c>
      <c r="AJ595" s="102">
        <f t="shared" si="611"/>
        <v>0</v>
      </c>
      <c r="AK595" s="101">
        <f>SUM(H595:AJ595)</f>
        <v>1285753150.8498967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972</v>
      </c>
      <c r="AL598" s="98"/>
    </row>
    <row r="599" spans="1:38" x14ac:dyDescent="0.25">
      <c r="A599" s="97" t="s">
        <v>973</v>
      </c>
      <c r="F599" s="101">
        <v>0</v>
      </c>
      <c r="AL599" s="98"/>
    </row>
    <row r="600" spans="1:38" x14ac:dyDescent="0.25">
      <c r="A600" s="97" t="s">
        <v>541</v>
      </c>
      <c r="F600" s="101">
        <v>0</v>
      </c>
      <c r="AL600" s="98"/>
    </row>
    <row r="601" spans="1:38" x14ac:dyDescent="0.25">
      <c r="A601" s="97" t="s">
        <v>542</v>
      </c>
      <c r="F601" s="101">
        <v>0</v>
      </c>
      <c r="AL601" s="98"/>
    </row>
    <row r="602" spans="1:38" x14ac:dyDescent="0.25">
      <c r="A602" s="97" t="s">
        <v>543</v>
      </c>
      <c r="F602" s="101">
        <v>0</v>
      </c>
      <c r="AL602" s="98"/>
    </row>
    <row r="603" spans="1:38" x14ac:dyDescent="0.25">
      <c r="A603" s="97" t="s">
        <v>544</v>
      </c>
      <c r="F603" s="101">
        <v>0</v>
      </c>
      <c r="AL603" s="98"/>
    </row>
    <row r="604" spans="1:38" x14ac:dyDescent="0.25">
      <c r="A604" s="97" t="s">
        <v>545</v>
      </c>
      <c r="F604" s="101">
        <v>0</v>
      </c>
      <c r="AL604" s="98"/>
    </row>
    <row r="605" spans="1:38" x14ac:dyDescent="0.25">
      <c r="A605" s="97" t="s">
        <v>546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547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398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12">IF(ABS(AK611-F611)&lt;0.0000001,"ok","err")</f>
        <v>ok</v>
      </c>
    </row>
    <row r="612" spans="1:38" x14ac:dyDescent="0.25">
      <c r="A612" s="97" t="s">
        <v>399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13">SUM(H612:AJ612)</f>
        <v>1</v>
      </c>
      <c r="AL612" s="98" t="str">
        <f t="shared" si="612"/>
        <v>ok</v>
      </c>
    </row>
    <row r="613" spans="1:38" x14ac:dyDescent="0.25">
      <c r="A613" s="97" t="s">
        <v>400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13"/>
        <v>1</v>
      </c>
      <c r="AL613" s="98" t="str">
        <f t="shared" si="612"/>
        <v>ok</v>
      </c>
    </row>
    <row r="614" spans="1:38" x14ac:dyDescent="0.25">
      <c r="A614" s="97" t="s">
        <v>401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13"/>
        <v>1</v>
      </c>
      <c r="AL614" s="98" t="str">
        <f t="shared" si="612"/>
        <v>ok</v>
      </c>
    </row>
    <row r="615" spans="1:38" x14ac:dyDescent="0.25">
      <c r="A615" s="97" t="s">
        <v>402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13"/>
        <v>1</v>
      </c>
      <c r="AL615" s="98" t="str">
        <f t="shared" si="612"/>
        <v>ok</v>
      </c>
    </row>
    <row r="616" spans="1:38" x14ac:dyDescent="0.25">
      <c r="A616" s="97" t="s">
        <v>403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13"/>
        <v>1</v>
      </c>
      <c r="AL616" s="98" t="str">
        <f t="shared" si="612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13"/>
        <v>1</v>
      </c>
      <c r="AL617" s="98" t="str">
        <f t="shared" si="612"/>
        <v>ok</v>
      </c>
    </row>
    <row r="618" spans="1:38" x14ac:dyDescent="0.25">
      <c r="A618" s="97" t="s">
        <v>404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13"/>
        <v>1</v>
      </c>
      <c r="AL618" s="98" t="str">
        <f t="shared" si="612"/>
        <v>ok</v>
      </c>
    </row>
    <row r="619" spans="1:38" x14ac:dyDescent="0.25">
      <c r="A619" s="97" t="s">
        <v>405</v>
      </c>
      <c r="C619" s="97" t="s">
        <v>311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13"/>
        <v>1</v>
      </c>
      <c r="AL619" s="98" t="str">
        <f t="shared" si="612"/>
        <v>ok</v>
      </c>
    </row>
    <row r="620" spans="1:38" x14ac:dyDescent="0.25">
      <c r="A620" s="97" t="s">
        <v>406</v>
      </c>
      <c r="C620" s="97" t="s">
        <v>1230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13"/>
        <v>1</v>
      </c>
      <c r="AL620" s="98" t="str">
        <f t="shared" si="612"/>
        <v>ok</v>
      </c>
    </row>
    <row r="621" spans="1:38" x14ac:dyDescent="0.25">
      <c r="A621" s="97" t="s">
        <v>458</v>
      </c>
      <c r="C621" s="97" t="s">
        <v>491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09">
        <v>0</v>
      </c>
      <c r="Q621" s="309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13"/>
        <v>1</v>
      </c>
      <c r="AL621" s="98" t="str">
        <f t="shared" si="612"/>
        <v>ok</v>
      </c>
    </row>
    <row r="622" spans="1:38" x14ac:dyDescent="0.25">
      <c r="A622" s="97" t="s">
        <v>994</v>
      </c>
      <c r="C622" s="97" t="s">
        <v>995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13"/>
        <v>1</v>
      </c>
      <c r="AL622" s="98" t="str">
        <f t="shared" si="612"/>
        <v>ok</v>
      </c>
    </row>
    <row r="623" spans="1:38" x14ac:dyDescent="0.25">
      <c r="A623" s="97" t="s">
        <v>748</v>
      </c>
      <c r="C623" s="97" t="s">
        <v>731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13"/>
        <v>1</v>
      </c>
      <c r="AL623" s="98" t="str">
        <f t="shared" si="612"/>
        <v>ok</v>
      </c>
    </row>
    <row r="624" spans="1:38" x14ac:dyDescent="0.25">
      <c r="A624" s="97" t="s">
        <v>749</v>
      </c>
      <c r="C624" s="97" t="s">
        <v>733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13"/>
        <v>1</v>
      </c>
      <c r="AL624" s="98" t="str">
        <f t="shared" si="612"/>
        <v>ok</v>
      </c>
    </row>
    <row r="625" spans="1:38" x14ac:dyDescent="0.25">
      <c r="A625" s="97" t="s">
        <v>750</v>
      </c>
      <c r="C625" s="97" t="s">
        <v>751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13"/>
        <v>1</v>
      </c>
      <c r="AL625" s="98" t="str">
        <f t="shared" si="612"/>
        <v>ok</v>
      </c>
    </row>
    <row r="626" spans="1:38" x14ac:dyDescent="0.25">
      <c r="A626" s="97" t="s">
        <v>752</v>
      </c>
      <c r="C626" s="97" t="s">
        <v>742</v>
      </c>
      <c r="F626" s="116">
        <f>F360+F361+F362+F363+F364</f>
        <v>18373986.24719847</v>
      </c>
      <c r="G626" s="114"/>
      <c r="H626" s="101">
        <f t="shared" ref="H626:M626" si="614">H360+H361+H362+H363+H364</f>
        <v>5447166.7430808321</v>
      </c>
      <c r="I626" s="101">
        <f t="shared" si="614"/>
        <v>5134922.8818487478</v>
      </c>
      <c r="J626" s="101">
        <f t="shared" si="614"/>
        <v>5273601.2480795123</v>
      </c>
      <c r="K626" s="101">
        <f t="shared" si="614"/>
        <v>2518295.3741893796</v>
      </c>
      <c r="L626" s="101">
        <f t="shared" si="614"/>
        <v>0</v>
      </c>
      <c r="M626" s="101">
        <f t="shared" si="614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5">S360+S361+S362+S363+S364</f>
        <v>0</v>
      </c>
      <c r="T626" s="101">
        <f t="shared" si="615"/>
        <v>0</v>
      </c>
      <c r="U626" s="101">
        <f t="shared" si="615"/>
        <v>0</v>
      </c>
      <c r="V626" s="101">
        <f t="shared" si="615"/>
        <v>0</v>
      </c>
      <c r="W626" s="101">
        <f t="shared" si="615"/>
        <v>0</v>
      </c>
      <c r="X626" s="106">
        <f t="shared" si="615"/>
        <v>0</v>
      </c>
      <c r="Y626" s="106">
        <f t="shared" si="615"/>
        <v>0</v>
      </c>
      <c r="Z626" s="106">
        <f t="shared" si="615"/>
        <v>0</v>
      </c>
      <c r="AA626" s="106">
        <f t="shared" si="615"/>
        <v>0</v>
      </c>
      <c r="AB626" s="106">
        <f t="shared" si="615"/>
        <v>0</v>
      </c>
      <c r="AC626" s="106">
        <f t="shared" si="615"/>
        <v>0</v>
      </c>
      <c r="AD626" s="106">
        <f t="shared" si="615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13"/>
        <v>18373986.247198474</v>
      </c>
      <c r="AL626" s="98" t="str">
        <f t="shared" si="612"/>
        <v>ok</v>
      </c>
    </row>
    <row r="627" spans="1:38" x14ac:dyDescent="0.25">
      <c r="A627" s="97" t="s">
        <v>734</v>
      </c>
      <c r="C627" s="97" t="s">
        <v>734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13"/>
        <v>1</v>
      </c>
      <c r="AL627" s="98" t="str">
        <f t="shared" si="612"/>
        <v>ok</v>
      </c>
    </row>
    <row r="628" spans="1:38" x14ac:dyDescent="0.25">
      <c r="A628" s="97" t="s">
        <v>753</v>
      </c>
      <c r="C628" s="97" t="s">
        <v>743</v>
      </c>
      <c r="F628" s="101">
        <f>F370+F371+F372+F373</f>
        <v>12842397.527229311</v>
      </c>
      <c r="G628" s="114"/>
      <c r="H628" s="101">
        <f t="shared" ref="H628:M628" si="616">H370+H371+H372+H373</f>
        <v>425610.8128132422</v>
      </c>
      <c r="I628" s="101">
        <f t="shared" si="616"/>
        <v>401213.84282077051</v>
      </c>
      <c r="J628" s="101">
        <f t="shared" si="616"/>
        <v>412049.38631612272</v>
      </c>
      <c r="K628" s="101">
        <f t="shared" si="616"/>
        <v>11603523.485279175</v>
      </c>
      <c r="L628" s="101">
        <f t="shared" si="616"/>
        <v>0</v>
      </c>
      <c r="M628" s="101">
        <f t="shared" si="616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7">S370+S371+S372+S373</f>
        <v>0</v>
      </c>
      <c r="T628" s="101">
        <f t="shared" si="617"/>
        <v>0</v>
      </c>
      <c r="U628" s="101">
        <f t="shared" si="617"/>
        <v>0</v>
      </c>
      <c r="V628" s="101">
        <f t="shared" si="617"/>
        <v>0</v>
      </c>
      <c r="W628" s="101">
        <f t="shared" si="617"/>
        <v>0</v>
      </c>
      <c r="X628" s="101">
        <f t="shared" si="617"/>
        <v>0</v>
      </c>
      <c r="Y628" s="101">
        <f t="shared" si="617"/>
        <v>0</v>
      </c>
      <c r="Z628" s="101">
        <f t="shared" si="617"/>
        <v>0</v>
      </c>
      <c r="AA628" s="101">
        <f t="shared" si="617"/>
        <v>0</v>
      </c>
      <c r="AB628" s="101">
        <f t="shared" si="617"/>
        <v>0</v>
      </c>
      <c r="AC628" s="101">
        <f t="shared" si="617"/>
        <v>0</v>
      </c>
      <c r="AD628" s="101">
        <f t="shared" si="617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13"/>
        <v>12842397.527229309</v>
      </c>
      <c r="AL628" s="98" t="str">
        <f t="shared" si="612"/>
        <v>ok</v>
      </c>
    </row>
    <row r="629" spans="1:38" x14ac:dyDescent="0.25">
      <c r="A629" s="97" t="s">
        <v>754</v>
      </c>
      <c r="C629" s="97" t="s">
        <v>744</v>
      </c>
      <c r="F629" s="101">
        <f>F381+F382+F383+F384+F385</f>
        <v>0</v>
      </c>
      <c r="G629" s="114"/>
      <c r="H629" s="101">
        <f t="shared" ref="H629:M629" si="618">H381+H382+H383+H384+H385</f>
        <v>0</v>
      </c>
      <c r="I629" s="101">
        <f t="shared" si="618"/>
        <v>0</v>
      </c>
      <c r="J629" s="101">
        <f t="shared" si="618"/>
        <v>0</v>
      </c>
      <c r="K629" s="101">
        <f t="shared" si="618"/>
        <v>0</v>
      </c>
      <c r="L629" s="101">
        <f t="shared" si="618"/>
        <v>0</v>
      </c>
      <c r="M629" s="101">
        <f t="shared" si="618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9">S381+S382+S383+S384+S385</f>
        <v>0</v>
      </c>
      <c r="T629" s="101">
        <f t="shared" si="619"/>
        <v>0</v>
      </c>
      <c r="U629" s="101">
        <f t="shared" si="619"/>
        <v>0</v>
      </c>
      <c r="V629" s="101">
        <f t="shared" si="619"/>
        <v>0</v>
      </c>
      <c r="W629" s="101">
        <f t="shared" si="619"/>
        <v>0</v>
      </c>
      <c r="X629" s="101">
        <f t="shared" si="619"/>
        <v>0</v>
      </c>
      <c r="Y629" s="101">
        <f t="shared" si="619"/>
        <v>0</v>
      </c>
      <c r="Z629" s="101">
        <f t="shared" si="619"/>
        <v>0</v>
      </c>
      <c r="AA629" s="101">
        <f t="shared" si="619"/>
        <v>0</v>
      </c>
      <c r="AB629" s="101">
        <f t="shared" si="619"/>
        <v>0</v>
      </c>
      <c r="AC629" s="101">
        <f t="shared" si="619"/>
        <v>0</v>
      </c>
      <c r="AD629" s="101">
        <f t="shared" si="619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13"/>
        <v>0</v>
      </c>
      <c r="AL629" s="98" t="str">
        <f t="shared" si="612"/>
        <v>ok</v>
      </c>
    </row>
    <row r="630" spans="1:38" x14ac:dyDescent="0.25">
      <c r="A630" s="97" t="s">
        <v>755</v>
      </c>
      <c r="C630" s="97" t="s">
        <v>745</v>
      </c>
      <c r="F630" s="101">
        <f>F391+F392+F393+F394</f>
        <v>47184.925882498494</v>
      </c>
      <c r="G630" s="114"/>
      <c r="H630" s="101">
        <f t="shared" ref="H630:M630" si="620">H391+H392+H393+H394</f>
        <v>16210.215064132475</v>
      </c>
      <c r="I630" s="101">
        <f t="shared" si="620"/>
        <v>15281.009041670144</v>
      </c>
      <c r="J630" s="101">
        <f t="shared" si="620"/>
        <v>15693.701776695874</v>
      </c>
      <c r="K630" s="101">
        <f t="shared" si="620"/>
        <v>0</v>
      </c>
      <c r="L630" s="101">
        <f t="shared" si="620"/>
        <v>0</v>
      </c>
      <c r="M630" s="101">
        <f t="shared" si="620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21">S391+S392+S393+S394</f>
        <v>0</v>
      </c>
      <c r="T630" s="101">
        <f t="shared" si="621"/>
        <v>0</v>
      </c>
      <c r="U630" s="101">
        <f t="shared" si="621"/>
        <v>0</v>
      </c>
      <c r="V630" s="101">
        <f t="shared" si="621"/>
        <v>0</v>
      </c>
      <c r="W630" s="101">
        <f t="shared" si="621"/>
        <v>0</v>
      </c>
      <c r="X630" s="101">
        <f t="shared" si="621"/>
        <v>0</v>
      </c>
      <c r="Y630" s="101">
        <f t="shared" si="621"/>
        <v>0</v>
      </c>
      <c r="Z630" s="101">
        <f t="shared" si="621"/>
        <v>0</v>
      </c>
      <c r="AA630" s="101">
        <f t="shared" si="621"/>
        <v>0</v>
      </c>
      <c r="AB630" s="101">
        <f t="shared" si="621"/>
        <v>0</v>
      </c>
      <c r="AC630" s="101">
        <f t="shared" si="621"/>
        <v>0</v>
      </c>
      <c r="AD630" s="101">
        <f t="shared" si="621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13"/>
        <v>47184.925882498494</v>
      </c>
      <c r="AL630" s="98" t="str">
        <f t="shared" si="612"/>
        <v>ok</v>
      </c>
    </row>
    <row r="631" spans="1:38" x14ac:dyDescent="0.25">
      <c r="A631" s="97" t="s">
        <v>756</v>
      </c>
      <c r="C631" s="97" t="s">
        <v>746</v>
      </c>
      <c r="F631" s="101">
        <f>F444+F445+F446+F447+F448+F449+F450+F451+F452+F453</f>
        <v>12444302.580154542</v>
      </c>
      <c r="G631" s="114"/>
      <c r="H631" s="101">
        <f t="shared" ref="H631:M631" si="622">H444+H445+H446+H447+H448+H449+H450+H451+H452+H453</f>
        <v>0</v>
      </c>
      <c r="I631" s="101">
        <f t="shared" si="622"/>
        <v>0</v>
      </c>
      <c r="J631" s="101">
        <f t="shared" si="622"/>
        <v>0</v>
      </c>
      <c r="K631" s="101">
        <f t="shared" si="622"/>
        <v>0</v>
      </c>
      <c r="L631" s="101">
        <f t="shared" si="622"/>
        <v>0</v>
      </c>
      <c r="M631" s="101">
        <f t="shared" si="622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23">S444+S445+S446+S447+S448+S449+S450+S451+S452+S453</f>
        <v>0</v>
      </c>
      <c r="T631" s="101">
        <f t="shared" si="623"/>
        <v>1618225.8348742258</v>
      </c>
      <c r="U631" s="101">
        <f t="shared" si="623"/>
        <v>0</v>
      </c>
      <c r="V631" s="101">
        <f t="shared" si="623"/>
        <v>1018596.4745117625</v>
      </c>
      <c r="W631" s="101">
        <f t="shared" si="623"/>
        <v>1655551.7175841164</v>
      </c>
      <c r="X631" s="101">
        <f t="shared" si="623"/>
        <v>511164.86002779927</v>
      </c>
      <c r="Y631" s="101">
        <f t="shared" si="623"/>
        <v>757279.69185181917</v>
      </c>
      <c r="Z631" s="101">
        <f t="shared" si="623"/>
        <v>315193.21004416078</v>
      </c>
      <c r="AA631" s="101">
        <f t="shared" si="623"/>
        <v>280483.95085567492</v>
      </c>
      <c r="AB631" s="101">
        <f t="shared" si="623"/>
        <v>187776.2432794029</v>
      </c>
      <c r="AC631" s="101">
        <f t="shared" si="623"/>
        <v>5877796.7722128723</v>
      </c>
      <c r="AD631" s="101">
        <f t="shared" si="623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13"/>
        <v>12444302.580154542</v>
      </c>
      <c r="AL631" s="98" t="str">
        <f t="shared" si="612"/>
        <v>ok</v>
      </c>
    </row>
    <row r="632" spans="1:38" x14ac:dyDescent="0.25">
      <c r="A632" s="97" t="s">
        <v>757</v>
      </c>
      <c r="C632" s="97" t="s">
        <v>747</v>
      </c>
      <c r="F632" s="101">
        <f>F471+F472+F473+F474+F475+F476+F477</f>
        <v>7228849.9753027568</v>
      </c>
      <c r="G632" s="114"/>
      <c r="H632" s="101">
        <f t="shared" ref="H632:M632" si="624">H471+H472+H473+H474+H475+H476+H477</f>
        <v>0</v>
      </c>
      <c r="I632" s="101">
        <f t="shared" si="624"/>
        <v>0</v>
      </c>
      <c r="J632" s="101">
        <f t="shared" si="624"/>
        <v>0</v>
      </c>
      <c r="K632" s="101">
        <f t="shared" si="624"/>
        <v>0</v>
      </c>
      <c r="L632" s="101">
        <f t="shared" si="624"/>
        <v>0</v>
      </c>
      <c r="M632" s="101">
        <f t="shared" si="624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5">S471+S472+S473+S474+S475+S476+S477</f>
        <v>0</v>
      </c>
      <c r="T632" s="101">
        <f t="shared" si="625"/>
        <v>605268.88174267509</v>
      </c>
      <c r="U632" s="101">
        <f t="shared" si="625"/>
        <v>0</v>
      </c>
      <c r="V632" s="101">
        <f t="shared" si="625"/>
        <v>1716338.7897032718</v>
      </c>
      <c r="W632" s="101">
        <f t="shared" si="625"/>
        <v>2679438.4391976842</v>
      </c>
      <c r="X632" s="101">
        <f t="shared" si="625"/>
        <v>881261.6717432735</v>
      </c>
      <c r="Y632" s="101">
        <f t="shared" si="625"/>
        <v>1295121.7716360111</v>
      </c>
      <c r="Z632" s="101">
        <f t="shared" si="625"/>
        <v>27208.3079709372</v>
      </c>
      <c r="AA632" s="101">
        <f t="shared" si="625"/>
        <v>24212.113308904056</v>
      </c>
      <c r="AB632" s="101">
        <f t="shared" si="625"/>
        <v>0</v>
      </c>
      <c r="AC632" s="101">
        <f t="shared" si="625"/>
        <v>0</v>
      </c>
      <c r="AD632" s="101">
        <f t="shared" si="625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13"/>
        <v>7228849.9753027568</v>
      </c>
      <c r="AL632" s="98" t="str">
        <f t="shared" si="612"/>
        <v>ok</v>
      </c>
    </row>
    <row r="633" spans="1:38" x14ac:dyDescent="0.25">
      <c r="A633" s="97" t="s">
        <v>308</v>
      </c>
      <c r="C633" s="97" t="s">
        <v>739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13"/>
        <v>1</v>
      </c>
      <c r="AL633" s="98" t="str">
        <f t="shared" si="612"/>
        <v>ok</v>
      </c>
    </row>
    <row r="634" spans="1:38" x14ac:dyDescent="0.25">
      <c r="A634" s="97" t="s">
        <v>319</v>
      </c>
      <c r="C634" s="97" t="s">
        <v>740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13"/>
        <v>1</v>
      </c>
      <c r="AL634" s="98" t="str">
        <f t="shared" si="612"/>
        <v>ok</v>
      </c>
    </row>
    <row r="635" spans="1:38" x14ac:dyDescent="0.25">
      <c r="A635" s="97" t="s">
        <v>205</v>
      </c>
      <c r="C635" s="97" t="s">
        <v>572</v>
      </c>
      <c r="F635" s="101">
        <v>918042685.90230596</v>
      </c>
      <c r="G635" s="101"/>
      <c r="H635" s="101">
        <f t="shared" ref="H635:M635" si="626">H36+H37</f>
        <v>0</v>
      </c>
      <c r="I635" s="101">
        <f t="shared" si="626"/>
        <v>0</v>
      </c>
      <c r="J635" s="101">
        <f t="shared" si="626"/>
        <v>0</v>
      </c>
      <c r="K635" s="101">
        <f t="shared" si="626"/>
        <v>0</v>
      </c>
      <c r="L635" s="101">
        <f t="shared" si="626"/>
        <v>0</v>
      </c>
      <c r="M635" s="101">
        <f t="shared" si="626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7">S36+S37</f>
        <v>0</v>
      </c>
      <c r="T635" s="101">
        <f t="shared" si="627"/>
        <v>0</v>
      </c>
      <c r="U635" s="101">
        <f t="shared" si="627"/>
        <v>0</v>
      </c>
      <c r="V635" s="101">
        <f t="shared" si="627"/>
        <v>228454092.63455608</v>
      </c>
      <c r="W635" s="101">
        <f t="shared" si="627"/>
        <v>423647545.28562999</v>
      </c>
      <c r="X635" s="101">
        <f t="shared" si="627"/>
        <v>105170278.98999348</v>
      </c>
      <c r="Y635" s="101">
        <f t="shared" si="627"/>
        <v>160770768.99212644</v>
      </c>
      <c r="Z635" s="101">
        <f t="shared" si="627"/>
        <v>0</v>
      </c>
      <c r="AA635" s="101">
        <f t="shared" si="627"/>
        <v>0</v>
      </c>
      <c r="AB635" s="101">
        <f t="shared" si="627"/>
        <v>0</v>
      </c>
      <c r="AC635" s="101">
        <f t="shared" si="627"/>
        <v>0</v>
      </c>
      <c r="AD635" s="101">
        <f t="shared" si="627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12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441</v>
      </c>
      <c r="D637" s="97" t="s">
        <v>731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442</v>
      </c>
      <c r="D638" s="97" t="s">
        <v>751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501</v>
      </c>
      <c r="C639" s="97" t="s">
        <v>804</v>
      </c>
      <c r="D639" s="97" t="s">
        <v>731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8">L637+L638</f>
        <v>0</v>
      </c>
      <c r="M639" s="101">
        <f t="shared" si="628"/>
        <v>0</v>
      </c>
      <c r="N639" s="101">
        <f t="shared" si="628"/>
        <v>0</v>
      </c>
      <c r="O639" s="101">
        <f t="shared" si="628"/>
        <v>0</v>
      </c>
      <c r="P639" s="101">
        <f t="shared" si="628"/>
        <v>0</v>
      </c>
      <c r="Q639" s="101">
        <f t="shared" si="628"/>
        <v>0</v>
      </c>
      <c r="R639" s="101">
        <f t="shared" si="628"/>
        <v>0</v>
      </c>
      <c r="S639" s="101">
        <f t="shared" si="628"/>
        <v>0</v>
      </c>
      <c r="T639" s="101">
        <f t="shared" si="628"/>
        <v>0</v>
      </c>
      <c r="U639" s="101">
        <f t="shared" si="628"/>
        <v>0</v>
      </c>
      <c r="V639" s="101">
        <f t="shared" si="628"/>
        <v>0</v>
      </c>
      <c r="W639" s="101">
        <f t="shared" si="628"/>
        <v>0</v>
      </c>
      <c r="X639" s="101">
        <f t="shared" si="628"/>
        <v>0</v>
      </c>
      <c r="Y639" s="101">
        <f t="shared" si="628"/>
        <v>0</v>
      </c>
      <c r="Z639" s="101">
        <f t="shared" si="628"/>
        <v>0</v>
      </c>
      <c r="AA639" s="101">
        <f t="shared" si="628"/>
        <v>0</v>
      </c>
      <c r="AB639" s="101">
        <f t="shared" si="628"/>
        <v>0</v>
      </c>
      <c r="AC639" s="101">
        <f t="shared" si="628"/>
        <v>0</v>
      </c>
      <c r="AD639" s="101">
        <f t="shared" si="628"/>
        <v>0</v>
      </c>
      <c r="AE639" s="101">
        <f t="shared" si="628"/>
        <v>0</v>
      </c>
      <c r="AF639" s="101">
        <f t="shared" si="628"/>
        <v>0</v>
      </c>
      <c r="AG639" s="101">
        <f t="shared" si="628"/>
        <v>0</v>
      </c>
      <c r="AH639" s="101">
        <f t="shared" si="628"/>
        <v>0</v>
      </c>
      <c r="AI639" s="101">
        <f t="shared" si="628"/>
        <v>0</v>
      </c>
      <c r="AJ639" s="101">
        <f t="shared" si="628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730</v>
      </c>
      <c r="C641" s="97" t="s">
        <v>1067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1069</v>
      </c>
      <c r="C642" s="97" t="s">
        <v>1068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1072</v>
      </c>
      <c r="C643" s="97" t="s">
        <v>1071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446</v>
      </c>
      <c r="AL645" s="98"/>
    </row>
    <row r="646" spans="1:38" x14ac:dyDescent="0.25">
      <c r="A646" s="97" t="s">
        <v>204</v>
      </c>
      <c r="D646" s="97" t="s">
        <v>492</v>
      </c>
      <c r="F646" s="114">
        <v>1</v>
      </c>
      <c r="H646" s="118">
        <f t="shared" ref="H646:M646" si="629">H47/$F$47</f>
        <v>0.20952193457482191</v>
      </c>
      <c r="I646" s="118">
        <f t="shared" si="629"/>
        <v>0.21948748801606224</v>
      </c>
      <c r="J646" s="118">
        <f t="shared" si="629"/>
        <v>0.18041797503286439</v>
      </c>
      <c r="K646" s="118">
        <f t="shared" si="629"/>
        <v>0</v>
      </c>
      <c r="L646" s="118">
        <f t="shared" si="629"/>
        <v>0</v>
      </c>
      <c r="M646" s="118">
        <f t="shared" si="629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30">S47/$F$47</f>
        <v>0</v>
      </c>
      <c r="T646" s="118">
        <f t="shared" si="630"/>
        <v>3.1338986525490678E-2</v>
      </c>
      <c r="U646" s="118">
        <f t="shared" si="630"/>
        <v>0</v>
      </c>
      <c r="V646" s="118">
        <f t="shared" si="630"/>
        <v>3.4149841307393271E-2</v>
      </c>
      <c r="W646" s="118">
        <f t="shared" si="630"/>
        <v>6.3327805927791941E-2</v>
      </c>
      <c r="X646" s="118">
        <f t="shared" si="630"/>
        <v>1.5721094318532226E-2</v>
      </c>
      <c r="Y646" s="118">
        <f t="shared" si="630"/>
        <v>2.4032382981780016E-2</v>
      </c>
      <c r="Z646" s="118">
        <f t="shared" si="630"/>
        <v>2.4404601761909742E-2</v>
      </c>
      <c r="AA646" s="118">
        <f t="shared" si="630"/>
        <v>2.1717152854532507E-2</v>
      </c>
      <c r="AB646" s="118">
        <f t="shared" si="630"/>
        <v>1.4539032858414855E-2</v>
      </c>
      <c r="AC646" s="118">
        <f t="shared" si="630"/>
        <v>1.2405195950597107E-2</v>
      </c>
      <c r="AD646" s="118">
        <f t="shared" si="630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31">SUM(H646:AJ646)</f>
        <v>0.99999999999999989</v>
      </c>
      <c r="AL646" s="98" t="str">
        <f t="shared" ref="AL646:AL664" si="632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33">H45/$F$45</f>
        <v>0</v>
      </c>
      <c r="I647" s="118">
        <f t="shared" si="633"/>
        <v>0</v>
      </c>
      <c r="J647" s="118">
        <f t="shared" si="633"/>
        <v>0</v>
      </c>
      <c r="K647" s="118">
        <f t="shared" si="633"/>
        <v>0</v>
      </c>
      <c r="L647" s="118">
        <f t="shared" si="633"/>
        <v>0</v>
      </c>
      <c r="M647" s="118">
        <f t="shared" si="633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4">S45/$F$45</f>
        <v>0</v>
      </c>
      <c r="T647" s="118">
        <f t="shared" si="634"/>
        <v>0.12107329805658508</v>
      </c>
      <c r="U647" s="118">
        <f t="shared" si="634"/>
        <v>0</v>
      </c>
      <c r="V647" s="118">
        <f t="shared" si="634"/>
        <v>0.13193259813402247</v>
      </c>
      <c r="W647" s="118">
        <f t="shared" si="634"/>
        <v>0.2446571243179371</v>
      </c>
      <c r="X647" s="118">
        <f t="shared" si="634"/>
        <v>6.0736001678137759E-2</v>
      </c>
      <c r="Y647" s="118">
        <f t="shared" si="634"/>
        <v>9.2845372181910329E-2</v>
      </c>
      <c r="Z647" s="118">
        <f t="shared" si="634"/>
        <v>9.4283381521243909E-2</v>
      </c>
      <c r="AA647" s="118">
        <f t="shared" si="634"/>
        <v>8.3900840837930174E-2</v>
      </c>
      <c r="AB647" s="118">
        <f t="shared" si="634"/>
        <v>5.6169291157183804E-2</v>
      </c>
      <c r="AC647" s="118">
        <f t="shared" si="634"/>
        <v>4.7925544291463645E-2</v>
      </c>
      <c r="AD647" s="118">
        <f t="shared" si="634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31"/>
        <v>1</v>
      </c>
      <c r="AL647" s="98" t="str">
        <f t="shared" si="632"/>
        <v>ok</v>
      </c>
    </row>
    <row r="648" spans="1:38" x14ac:dyDescent="0.25">
      <c r="A648" s="97" t="s">
        <v>462</v>
      </c>
      <c r="D648" s="97" t="s">
        <v>490</v>
      </c>
      <c r="F648" s="114">
        <v>1</v>
      </c>
      <c r="H648" s="118">
        <f t="shared" ref="H648:M648" si="635">H32/$F$32</f>
        <v>0</v>
      </c>
      <c r="I648" s="118">
        <f t="shared" si="635"/>
        <v>0</v>
      </c>
      <c r="J648" s="118">
        <f t="shared" si="635"/>
        <v>0</v>
      </c>
      <c r="K648" s="118">
        <f t="shared" si="635"/>
        <v>0</v>
      </c>
      <c r="L648" s="118">
        <f t="shared" si="635"/>
        <v>0</v>
      </c>
      <c r="M648" s="118">
        <f t="shared" si="635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6">S32/$F$32</f>
        <v>0</v>
      </c>
      <c r="T648" s="118">
        <f t="shared" si="636"/>
        <v>0</v>
      </c>
      <c r="U648" s="118">
        <f t="shared" si="636"/>
        <v>0</v>
      </c>
      <c r="V648" s="118">
        <f t="shared" si="636"/>
        <v>0</v>
      </c>
      <c r="W648" s="118">
        <f t="shared" si="636"/>
        <v>0</v>
      </c>
      <c r="X648" s="118">
        <f t="shared" si="636"/>
        <v>0</v>
      </c>
      <c r="Y648" s="118">
        <f t="shared" si="636"/>
        <v>0</v>
      </c>
      <c r="Z648" s="118">
        <f t="shared" si="636"/>
        <v>0</v>
      </c>
      <c r="AA648" s="118">
        <f t="shared" si="636"/>
        <v>0</v>
      </c>
      <c r="AB648" s="118">
        <f t="shared" si="636"/>
        <v>0</v>
      </c>
      <c r="AC648" s="118">
        <f t="shared" si="636"/>
        <v>0</v>
      </c>
      <c r="AD648" s="118">
        <f t="shared" si="636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31"/>
        <v>1</v>
      </c>
      <c r="AL648" s="98" t="str">
        <f t="shared" si="632"/>
        <v>ok</v>
      </c>
    </row>
    <row r="649" spans="1:38" x14ac:dyDescent="0.25">
      <c r="A649" s="97" t="s">
        <v>1352</v>
      </c>
      <c r="D649" s="97" t="s">
        <v>795</v>
      </c>
      <c r="F649" s="114">
        <v>1</v>
      </c>
      <c r="H649" s="118">
        <f t="shared" ref="H649:M649" si="637">H330/$F$330</f>
        <v>3.9764185243287328E-2</v>
      </c>
      <c r="I649" s="118">
        <f t="shared" si="637"/>
        <v>3.7733706917855762E-2</v>
      </c>
      <c r="J649" s="118">
        <f t="shared" si="637"/>
        <v>3.8243147239114206E-2</v>
      </c>
      <c r="K649" s="118">
        <f t="shared" si="637"/>
        <v>0.67605482796901784</v>
      </c>
      <c r="L649" s="118">
        <f t="shared" si="637"/>
        <v>0</v>
      </c>
      <c r="M649" s="118">
        <f t="shared" si="637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8">S330/$F$330</f>
        <v>0</v>
      </c>
      <c r="T649" s="118">
        <f t="shared" si="638"/>
        <v>8.4103189556986417E-3</v>
      </c>
      <c r="U649" s="118">
        <f t="shared" si="638"/>
        <v>0</v>
      </c>
      <c r="V649" s="118">
        <f t="shared" si="638"/>
        <v>1.5541972690799535E-2</v>
      </c>
      <c r="W649" s="118">
        <f t="shared" si="638"/>
        <v>2.4873574536195611E-2</v>
      </c>
      <c r="X649" s="118">
        <f t="shared" si="638"/>
        <v>7.8695720403669268E-3</v>
      </c>
      <c r="Y649" s="118">
        <f t="shared" si="638"/>
        <v>1.1621879865092747E-2</v>
      </c>
      <c r="Z649" s="118">
        <f t="shared" si="638"/>
        <v>3.4520527338745017E-3</v>
      </c>
      <c r="AA649" s="118">
        <f t="shared" si="638"/>
        <v>3.0719106836838142E-3</v>
      </c>
      <c r="AB649" s="118">
        <f t="shared" si="638"/>
        <v>2.0220291201304549E-3</v>
      </c>
      <c r="AC649" s="118">
        <f t="shared" si="638"/>
        <v>1.3971252782011357E-2</v>
      </c>
      <c r="AD649" s="118">
        <f t="shared" si="638"/>
        <v>2.2313853325475618E-3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31"/>
        <v>1</v>
      </c>
      <c r="AL649" s="98" t="str">
        <f t="shared" si="632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9">H66/$F$66</f>
        <v>0.2095237336356337</v>
      </c>
      <c r="I650" s="118">
        <f t="shared" si="639"/>
        <v>0.21948937264613286</v>
      </c>
      <c r="J650" s="118">
        <f t="shared" si="639"/>
        <v>0.18041952419242746</v>
      </c>
      <c r="K650" s="118">
        <f t="shared" si="639"/>
        <v>0</v>
      </c>
      <c r="L650" s="118">
        <f t="shared" si="639"/>
        <v>0</v>
      </c>
      <c r="M650" s="118">
        <f t="shared" si="639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40">S66/$F$66</f>
        <v>0</v>
      </c>
      <c r="T650" s="118">
        <f t="shared" si="640"/>
        <v>3.1339233772213988E-2</v>
      </c>
      <c r="U650" s="118">
        <f t="shared" si="640"/>
        <v>0</v>
      </c>
      <c r="V650" s="118">
        <f t="shared" si="640"/>
        <v>3.4150110730157092E-2</v>
      </c>
      <c r="W650" s="118">
        <f t="shared" si="640"/>
        <v>6.3328305548049219E-2</v>
      </c>
      <c r="X650" s="118">
        <f t="shared" si="640"/>
        <v>1.5721218348996771E-2</v>
      </c>
      <c r="Y650" s="118">
        <f t="shared" si="640"/>
        <v>2.4032572583570132E-2</v>
      </c>
      <c r="Z650" s="118">
        <f t="shared" si="640"/>
        <v>2.4404794300293672E-2</v>
      </c>
      <c r="AA650" s="118">
        <f t="shared" si="640"/>
        <v>2.1717324190477869E-2</v>
      </c>
      <c r="AB650" s="118">
        <f t="shared" si="640"/>
        <v>1.4539147563088904E-2</v>
      </c>
      <c r="AC650" s="118">
        <f t="shared" si="640"/>
        <v>1.240529382051541E-2</v>
      </c>
      <c r="AD650" s="118">
        <f t="shared" si="640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31"/>
        <v>0.99999999999999989</v>
      </c>
      <c r="AL650" s="98" t="str">
        <f t="shared" si="632"/>
        <v>ok</v>
      </c>
    </row>
    <row r="651" spans="1:38" x14ac:dyDescent="0.25">
      <c r="A651" s="97" t="s">
        <v>447</v>
      </c>
      <c r="D651" s="97" t="s">
        <v>1052</v>
      </c>
      <c r="F651" s="114">
        <v>1</v>
      </c>
      <c r="H651" s="118">
        <f>H534/$F$534</f>
        <v>0.10930162913694068</v>
      </c>
      <c r="I651" s="118">
        <f t="shared" ref="I651:AJ651" si="641">I534/$F$534</f>
        <v>0.10311221651137267</v>
      </c>
      <c r="J651" s="118">
        <f t="shared" si="641"/>
        <v>0.10574133652178345</v>
      </c>
      <c r="K651" s="118">
        <f t="shared" si="641"/>
        <v>0.22637866608158227</v>
      </c>
      <c r="L651" s="118">
        <f t="shared" si="641"/>
        <v>0</v>
      </c>
      <c r="M651" s="118">
        <f t="shared" si="641"/>
        <v>0</v>
      </c>
      <c r="N651" s="118"/>
      <c r="O651" s="118">
        <f t="shared" si="641"/>
        <v>6.7445316068513755E-2</v>
      </c>
      <c r="P651" s="118">
        <f t="shared" si="641"/>
        <v>0</v>
      </c>
      <c r="Q651" s="118">
        <f t="shared" si="641"/>
        <v>0</v>
      </c>
      <c r="R651" s="118"/>
      <c r="S651" s="118">
        <f t="shared" si="641"/>
        <v>0</v>
      </c>
      <c r="T651" s="118">
        <f t="shared" si="641"/>
        <v>2.5076617309441759E-2</v>
      </c>
      <c r="U651" s="118">
        <f t="shared" si="641"/>
        <v>0</v>
      </c>
      <c r="V651" s="118">
        <f t="shared" si="641"/>
        <v>2.7325787990850139E-2</v>
      </c>
      <c r="W651" s="118">
        <f t="shared" si="641"/>
        <v>5.0673213475047815E-2</v>
      </c>
      <c r="X651" s="118">
        <f t="shared" si="641"/>
        <v>1.2579598436944006E-2</v>
      </c>
      <c r="Y651" s="118">
        <f t="shared" si="641"/>
        <v>1.9230068929569591E-2</v>
      </c>
      <c r="Z651" s="118">
        <f t="shared" si="641"/>
        <v>1.9527908424063399E-2</v>
      </c>
      <c r="AA651" s="118">
        <f t="shared" si="641"/>
        <v>1.7377483816868128E-2</v>
      </c>
      <c r="AB651" s="118">
        <f t="shared" si="641"/>
        <v>1.1633744529144759E-2</v>
      </c>
      <c r="AC651" s="118">
        <f t="shared" si="641"/>
        <v>9.9263054103147855E-3</v>
      </c>
      <c r="AD651" s="118">
        <f t="shared" si="641"/>
        <v>1.3768576363103333E-2</v>
      </c>
      <c r="AE651" s="118"/>
      <c r="AF651" s="118">
        <f t="shared" si="641"/>
        <v>0.15903920210728373</v>
      </c>
      <c r="AG651" s="118"/>
      <c r="AH651" s="118">
        <f t="shared" si="641"/>
        <v>2.1862328887175847E-2</v>
      </c>
      <c r="AI651" s="118"/>
      <c r="AJ651" s="118">
        <f t="shared" si="641"/>
        <v>0</v>
      </c>
      <c r="AK651" s="115">
        <f t="shared" si="631"/>
        <v>1.0000000000000002</v>
      </c>
      <c r="AL651" s="98" t="str">
        <f t="shared" si="632"/>
        <v>ok</v>
      </c>
    </row>
    <row r="652" spans="1:38" x14ac:dyDescent="0.25">
      <c r="A652" s="97" t="s">
        <v>1617</v>
      </c>
      <c r="D652" s="97" t="s">
        <v>1351</v>
      </c>
      <c r="F652" s="114">
        <v>1</v>
      </c>
      <c r="H652" s="118">
        <f t="shared" ref="H652:M652" si="642">H304/$F$304</f>
        <v>2.9538372935310656E-2</v>
      </c>
      <c r="I652" s="118">
        <f t="shared" si="642"/>
        <v>2.81659088678759E-2</v>
      </c>
      <c r="J652" s="118">
        <f t="shared" si="642"/>
        <v>2.8269838939716765E-2</v>
      </c>
      <c r="K652" s="118">
        <f t="shared" si="642"/>
        <v>0.7522802397900149</v>
      </c>
      <c r="L652" s="118">
        <f t="shared" si="642"/>
        <v>0</v>
      </c>
      <c r="M652" s="118">
        <f t="shared" si="642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43">S304/$F$304</f>
        <v>0</v>
      </c>
      <c r="T652" s="118">
        <f t="shared" si="643"/>
        <v>5.5012556449742902E-3</v>
      </c>
      <c r="U652" s="118">
        <f t="shared" si="643"/>
        <v>0</v>
      </c>
      <c r="V652" s="118">
        <f t="shared" si="643"/>
        <v>1.286387579436242E-2</v>
      </c>
      <c r="W652" s="118">
        <f t="shared" si="643"/>
        <v>1.9602803239215361E-2</v>
      </c>
      <c r="X652" s="118">
        <f t="shared" si="643"/>
        <v>6.691820589909774E-3</v>
      </c>
      <c r="Y652" s="118">
        <f t="shared" si="643"/>
        <v>9.7900076496004948E-3</v>
      </c>
      <c r="Z652" s="118">
        <f t="shared" si="643"/>
        <v>9.4778102976250276E-4</v>
      </c>
      <c r="AA652" s="118">
        <f t="shared" si="643"/>
        <v>8.4341083279237234E-4</v>
      </c>
      <c r="AB652" s="118">
        <f t="shared" si="643"/>
        <v>5.2744681503194796E-4</v>
      </c>
      <c r="AC652" s="118">
        <f t="shared" si="643"/>
        <v>1.3640564512974539E-2</v>
      </c>
      <c r="AD652" s="118">
        <f t="shared" si="643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31"/>
        <v>0.99999999999999989</v>
      </c>
      <c r="AL652" s="98" t="str">
        <f t="shared" si="632"/>
        <v>ok</v>
      </c>
    </row>
    <row r="653" spans="1:38" x14ac:dyDescent="0.25">
      <c r="A653" s="97" t="s">
        <v>448</v>
      </c>
      <c r="D653" s="97" t="s">
        <v>732</v>
      </c>
      <c r="F653" s="114">
        <v>1</v>
      </c>
      <c r="H653" s="118">
        <f t="shared" ref="H653:M653" si="644">H366/$F$366</f>
        <v>0.29646080441098488</v>
      </c>
      <c r="I653" s="118">
        <f t="shared" si="644"/>
        <v>0.27946700366294674</v>
      </c>
      <c r="J653" s="118">
        <f t="shared" si="644"/>
        <v>0.28701454203404514</v>
      </c>
      <c r="K653" s="118">
        <f t="shared" si="644"/>
        <v>0.13705764989202335</v>
      </c>
      <c r="L653" s="118">
        <f t="shared" si="644"/>
        <v>0</v>
      </c>
      <c r="M653" s="118">
        <f t="shared" si="644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5">S366/$F$366</f>
        <v>0</v>
      </c>
      <c r="T653" s="118">
        <f t="shared" si="645"/>
        <v>0</v>
      </c>
      <c r="U653" s="118">
        <f t="shared" si="645"/>
        <v>0</v>
      </c>
      <c r="V653" s="118">
        <f t="shared" si="645"/>
        <v>0</v>
      </c>
      <c r="W653" s="118">
        <f t="shared" si="645"/>
        <v>0</v>
      </c>
      <c r="X653" s="118">
        <f t="shared" si="645"/>
        <v>0</v>
      </c>
      <c r="Y653" s="118">
        <f t="shared" si="645"/>
        <v>0</v>
      </c>
      <c r="Z653" s="118">
        <f t="shared" si="645"/>
        <v>0</v>
      </c>
      <c r="AA653" s="118">
        <f t="shared" si="645"/>
        <v>0</v>
      </c>
      <c r="AB653" s="118">
        <f t="shared" si="645"/>
        <v>0</v>
      </c>
      <c r="AC653" s="118">
        <f t="shared" si="645"/>
        <v>0</v>
      </c>
      <c r="AD653" s="118">
        <f t="shared" si="645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31"/>
        <v>1</v>
      </c>
      <c r="AL653" s="98" t="str">
        <f t="shared" si="632"/>
        <v>ok</v>
      </c>
    </row>
    <row r="654" spans="1:38" x14ac:dyDescent="0.25">
      <c r="A654" s="97" t="s">
        <v>449</v>
      </c>
      <c r="D654" s="97" t="s">
        <v>1040</v>
      </c>
      <c r="F654" s="114">
        <v>1</v>
      </c>
      <c r="H654" s="118">
        <f t="shared" ref="H654:M654" si="646">H375/$F$375</f>
        <v>3.314107135453747E-2</v>
      </c>
      <c r="I654" s="118">
        <f t="shared" si="646"/>
        <v>3.1241350532101971E-2</v>
      </c>
      <c r="J654" s="118">
        <f t="shared" si="646"/>
        <v>3.2085082667972858E-2</v>
      </c>
      <c r="K654" s="118">
        <f t="shared" si="646"/>
        <v>0.90353249544538761</v>
      </c>
      <c r="L654" s="118">
        <f t="shared" si="646"/>
        <v>0</v>
      </c>
      <c r="M654" s="118">
        <f t="shared" si="646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7">S375/$F$375</f>
        <v>0</v>
      </c>
      <c r="T654" s="118">
        <f t="shared" si="647"/>
        <v>0</v>
      </c>
      <c r="U654" s="118">
        <f t="shared" si="647"/>
        <v>0</v>
      </c>
      <c r="V654" s="118">
        <f t="shared" si="647"/>
        <v>0</v>
      </c>
      <c r="W654" s="118">
        <f t="shared" si="647"/>
        <v>0</v>
      </c>
      <c r="X654" s="118">
        <f t="shared" si="647"/>
        <v>0</v>
      </c>
      <c r="Y654" s="118">
        <f t="shared" si="647"/>
        <v>0</v>
      </c>
      <c r="Z654" s="118">
        <f t="shared" si="647"/>
        <v>0</v>
      </c>
      <c r="AA654" s="118">
        <f t="shared" si="647"/>
        <v>0</v>
      </c>
      <c r="AB654" s="118">
        <f t="shared" si="647"/>
        <v>0</v>
      </c>
      <c r="AC654" s="118">
        <f t="shared" si="647"/>
        <v>0</v>
      </c>
      <c r="AD654" s="118">
        <f t="shared" si="647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31"/>
        <v>0.99999999999999989</v>
      </c>
      <c r="AL654" s="98" t="str">
        <f t="shared" si="632"/>
        <v>ok</v>
      </c>
    </row>
    <row r="655" spans="1:38" x14ac:dyDescent="0.25">
      <c r="A655" s="97" t="s">
        <v>450</v>
      </c>
      <c r="D655" s="97" t="s">
        <v>735</v>
      </c>
      <c r="F655" s="114">
        <v>1</v>
      </c>
      <c r="H655" s="118" t="e">
        <f t="shared" ref="H655:M655" si="648">H387/$F$387</f>
        <v>#DIV/0!</v>
      </c>
      <c r="I655" s="118" t="e">
        <f t="shared" si="648"/>
        <v>#DIV/0!</v>
      </c>
      <c r="J655" s="118" t="e">
        <f t="shared" si="648"/>
        <v>#DIV/0!</v>
      </c>
      <c r="K655" s="118" t="e">
        <f t="shared" si="648"/>
        <v>#DIV/0!</v>
      </c>
      <c r="L655" s="118" t="e">
        <f t="shared" si="648"/>
        <v>#DIV/0!</v>
      </c>
      <c r="M655" s="118" t="e">
        <f t="shared" si="648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9">S387/$F$387</f>
        <v>#DIV/0!</v>
      </c>
      <c r="T655" s="118" t="e">
        <f t="shared" si="649"/>
        <v>#DIV/0!</v>
      </c>
      <c r="U655" s="118" t="e">
        <f t="shared" si="649"/>
        <v>#DIV/0!</v>
      </c>
      <c r="V655" s="118" t="e">
        <f t="shared" si="649"/>
        <v>#DIV/0!</v>
      </c>
      <c r="W655" s="118" t="e">
        <f t="shared" si="649"/>
        <v>#DIV/0!</v>
      </c>
      <c r="X655" s="118" t="e">
        <f t="shared" si="649"/>
        <v>#DIV/0!</v>
      </c>
      <c r="Y655" s="118" t="e">
        <f t="shared" si="649"/>
        <v>#DIV/0!</v>
      </c>
      <c r="Z655" s="118" t="e">
        <f t="shared" si="649"/>
        <v>#DIV/0!</v>
      </c>
      <c r="AA655" s="118" t="e">
        <f t="shared" si="649"/>
        <v>#DIV/0!</v>
      </c>
      <c r="AB655" s="118" t="e">
        <f t="shared" si="649"/>
        <v>#DIV/0!</v>
      </c>
      <c r="AC655" s="118" t="e">
        <f t="shared" si="649"/>
        <v>#DIV/0!</v>
      </c>
      <c r="AD655" s="118" t="e">
        <f t="shared" si="649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31"/>
        <v>#DIV/0!</v>
      </c>
      <c r="AL655" s="98" t="e">
        <f t="shared" si="632"/>
        <v>#DIV/0!</v>
      </c>
    </row>
    <row r="656" spans="1:38" x14ac:dyDescent="0.25">
      <c r="A656" s="97" t="s">
        <v>451</v>
      </c>
      <c r="D656" s="97" t="s">
        <v>736</v>
      </c>
      <c r="F656" s="114">
        <v>1</v>
      </c>
      <c r="H656" s="118">
        <f t="shared" ref="H656:M656" si="650">H396/$F$396</f>
        <v>0.34354647720544701</v>
      </c>
      <c r="I656" s="118">
        <f t="shared" si="650"/>
        <v>0.32385361968615639</v>
      </c>
      <c r="J656" s="118">
        <f t="shared" si="650"/>
        <v>0.3325999031083966</v>
      </c>
      <c r="K656" s="118">
        <f t="shared" si="650"/>
        <v>0</v>
      </c>
      <c r="L656" s="118">
        <f t="shared" si="650"/>
        <v>0</v>
      </c>
      <c r="M656" s="118">
        <f t="shared" si="650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51">S396/$F$396</f>
        <v>0</v>
      </c>
      <c r="T656" s="118">
        <f t="shared" si="651"/>
        <v>0</v>
      </c>
      <c r="U656" s="118">
        <f t="shared" si="651"/>
        <v>0</v>
      </c>
      <c r="V656" s="118">
        <f t="shared" si="651"/>
        <v>0</v>
      </c>
      <c r="W656" s="118">
        <f t="shared" si="651"/>
        <v>0</v>
      </c>
      <c r="X656" s="118">
        <f t="shared" si="651"/>
        <v>0</v>
      </c>
      <c r="Y656" s="118">
        <f t="shared" si="651"/>
        <v>0</v>
      </c>
      <c r="Z656" s="118">
        <f t="shared" si="651"/>
        <v>0</v>
      </c>
      <c r="AA656" s="118">
        <f t="shared" si="651"/>
        <v>0</v>
      </c>
      <c r="AB656" s="118">
        <f t="shared" si="651"/>
        <v>0</v>
      </c>
      <c r="AC656" s="118">
        <f t="shared" si="651"/>
        <v>0</v>
      </c>
      <c r="AD656" s="118">
        <f t="shared" si="651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31"/>
        <v>1</v>
      </c>
      <c r="AL656" s="98" t="str">
        <f t="shared" si="632"/>
        <v>ok</v>
      </c>
    </row>
    <row r="657" spans="1:38" x14ac:dyDescent="0.25">
      <c r="A657" s="97" t="s">
        <v>452</v>
      </c>
      <c r="D657" s="97" t="s">
        <v>737</v>
      </c>
      <c r="F657" s="114">
        <v>1</v>
      </c>
      <c r="H657" s="118">
        <f t="shared" ref="H657:M657" si="652">H407/$F$407</f>
        <v>0.34354647720544707</v>
      </c>
      <c r="I657" s="118">
        <f t="shared" si="652"/>
        <v>0.32385361968615645</v>
      </c>
      <c r="J657" s="118">
        <f t="shared" si="652"/>
        <v>0.3325999031083966</v>
      </c>
      <c r="K657" s="118">
        <f t="shared" si="652"/>
        <v>0</v>
      </c>
      <c r="L657" s="118">
        <f t="shared" si="652"/>
        <v>0</v>
      </c>
      <c r="M657" s="118">
        <f t="shared" si="652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53">S407/$F$407</f>
        <v>0</v>
      </c>
      <c r="T657" s="118">
        <f t="shared" si="653"/>
        <v>0</v>
      </c>
      <c r="U657" s="118">
        <f t="shared" si="653"/>
        <v>0</v>
      </c>
      <c r="V657" s="118">
        <f t="shared" si="653"/>
        <v>0</v>
      </c>
      <c r="W657" s="118">
        <f t="shared" si="653"/>
        <v>0</v>
      </c>
      <c r="X657" s="118">
        <f t="shared" si="653"/>
        <v>0</v>
      </c>
      <c r="Y657" s="118">
        <f t="shared" si="653"/>
        <v>0</v>
      </c>
      <c r="Z657" s="118">
        <f t="shared" si="653"/>
        <v>0</v>
      </c>
      <c r="AA657" s="118">
        <f t="shared" si="653"/>
        <v>0</v>
      </c>
      <c r="AB657" s="118">
        <f t="shared" si="653"/>
        <v>0</v>
      </c>
      <c r="AC657" s="118">
        <f t="shared" si="653"/>
        <v>0</v>
      </c>
      <c r="AD657" s="118">
        <f t="shared" si="653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31"/>
        <v>1</v>
      </c>
      <c r="AL657" s="98" t="str">
        <f t="shared" si="632"/>
        <v>ok</v>
      </c>
    </row>
    <row r="658" spans="1:38" x14ac:dyDescent="0.25">
      <c r="A658" s="97" t="s">
        <v>1057</v>
      </c>
      <c r="D658" s="97" t="s">
        <v>738</v>
      </c>
      <c r="F658" s="114">
        <v>1</v>
      </c>
      <c r="H658" s="119">
        <f t="shared" ref="H658:M658" si="654">H440/$F$440</f>
        <v>0</v>
      </c>
      <c r="I658" s="119">
        <f t="shared" si="654"/>
        <v>0</v>
      </c>
      <c r="J658" s="119">
        <f t="shared" si="654"/>
        <v>0</v>
      </c>
      <c r="K658" s="119">
        <f t="shared" si="654"/>
        <v>0</v>
      </c>
      <c r="L658" s="119">
        <f t="shared" si="654"/>
        <v>0</v>
      </c>
      <c r="M658" s="119">
        <f t="shared" si="654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5">S440/$F$440</f>
        <v>0</v>
      </c>
      <c r="T658" s="119">
        <f t="shared" si="655"/>
        <v>0</v>
      </c>
      <c r="U658" s="119">
        <f t="shared" si="655"/>
        <v>0</v>
      </c>
      <c r="V658" s="119">
        <f t="shared" si="655"/>
        <v>0</v>
      </c>
      <c r="W658" s="119">
        <f t="shared" si="655"/>
        <v>0</v>
      </c>
      <c r="X658" s="119">
        <f t="shared" si="655"/>
        <v>0</v>
      </c>
      <c r="Y658" s="119">
        <f t="shared" si="655"/>
        <v>0</v>
      </c>
      <c r="Z658" s="119">
        <f t="shared" si="655"/>
        <v>0</v>
      </c>
      <c r="AA658" s="119">
        <f t="shared" si="655"/>
        <v>0</v>
      </c>
      <c r="AB658" s="119">
        <f t="shared" si="655"/>
        <v>0</v>
      </c>
      <c r="AC658" s="119">
        <f t="shared" si="655"/>
        <v>0</v>
      </c>
      <c r="AD658" s="119">
        <f t="shared" si="655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31"/>
        <v>1</v>
      </c>
      <c r="AL658" s="98" t="str">
        <f t="shared" si="632"/>
        <v>ok</v>
      </c>
    </row>
    <row r="659" spans="1:38" x14ac:dyDescent="0.25">
      <c r="A659" s="97" t="s">
        <v>1060</v>
      </c>
      <c r="D659" s="97" t="s">
        <v>1017</v>
      </c>
      <c r="F659" s="114">
        <v>1</v>
      </c>
      <c r="H659" s="118">
        <f t="shared" ref="H659:M659" si="656">H455/$F$455</f>
        <v>0</v>
      </c>
      <c r="I659" s="118">
        <f t="shared" si="656"/>
        <v>0</v>
      </c>
      <c r="J659" s="118">
        <f t="shared" si="656"/>
        <v>0</v>
      </c>
      <c r="K659" s="118">
        <f t="shared" si="656"/>
        <v>0</v>
      </c>
      <c r="L659" s="118">
        <f t="shared" si="656"/>
        <v>0</v>
      </c>
      <c r="M659" s="118">
        <f t="shared" si="656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7">S455/$F$455</f>
        <v>0</v>
      </c>
      <c r="T659" s="118">
        <f t="shared" si="657"/>
        <v>0.13003748699062326</v>
      </c>
      <c r="U659" s="118">
        <f t="shared" si="657"/>
        <v>0</v>
      </c>
      <c r="V659" s="118">
        <f t="shared" si="657"/>
        <v>8.1852435518255703E-2</v>
      </c>
      <c r="W659" s="118">
        <f t="shared" si="657"/>
        <v>0.13303692247280255</v>
      </c>
      <c r="X659" s="118">
        <f t="shared" si="657"/>
        <v>4.1076215941821884E-2</v>
      </c>
      <c r="Y659" s="118">
        <f t="shared" si="657"/>
        <v>6.0853526099524879E-2</v>
      </c>
      <c r="Z659" s="118">
        <f t="shared" si="657"/>
        <v>2.5328314545068422E-2</v>
      </c>
      <c r="AA659" s="118">
        <f t="shared" si="657"/>
        <v>2.2539145850003248E-2</v>
      </c>
      <c r="AB659" s="118">
        <f t="shared" si="657"/>
        <v>1.5089334421911089E-2</v>
      </c>
      <c r="AC659" s="118">
        <f t="shared" si="657"/>
        <v>0.47232833936282176</v>
      </c>
      <c r="AD659" s="118">
        <f t="shared" si="657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31"/>
        <v>1</v>
      </c>
      <c r="AL659" s="98" t="str">
        <f t="shared" si="632"/>
        <v>ok</v>
      </c>
    </row>
    <row r="660" spans="1:38" x14ac:dyDescent="0.25">
      <c r="A660" s="97" t="s">
        <v>1062</v>
      </c>
      <c r="D660" s="97" t="s">
        <v>1026</v>
      </c>
      <c r="F660" s="114">
        <v>1</v>
      </c>
      <c r="H660" s="118">
        <f t="shared" ref="H660:M660" si="658">H479/$F$479</f>
        <v>0</v>
      </c>
      <c r="I660" s="118">
        <f t="shared" si="658"/>
        <v>0</v>
      </c>
      <c r="J660" s="118">
        <f t="shared" si="658"/>
        <v>0</v>
      </c>
      <c r="K660" s="118">
        <f t="shared" si="658"/>
        <v>0</v>
      </c>
      <c r="L660" s="118">
        <f t="shared" si="658"/>
        <v>0</v>
      </c>
      <c r="M660" s="118">
        <f t="shared" si="658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9">S479/$F$479</f>
        <v>0</v>
      </c>
      <c r="T660" s="118">
        <f t="shared" si="659"/>
        <v>8.3729622804535428E-2</v>
      </c>
      <c r="U660" s="118">
        <f t="shared" si="659"/>
        <v>0</v>
      </c>
      <c r="V660" s="118">
        <f t="shared" si="659"/>
        <v>0.23742902336707972</v>
      </c>
      <c r="W660" s="118">
        <f t="shared" si="659"/>
        <v>0.37065901884143954</v>
      </c>
      <c r="X660" s="118">
        <f t="shared" si="659"/>
        <v>0.12190897234748115</v>
      </c>
      <c r="Y660" s="118">
        <f t="shared" si="659"/>
        <v>0.17916013972634273</v>
      </c>
      <c r="Z660" s="118">
        <f t="shared" si="659"/>
        <v>3.7638501371440717E-3</v>
      </c>
      <c r="AA660" s="118">
        <f t="shared" si="659"/>
        <v>3.349372775977414E-3</v>
      </c>
      <c r="AB660" s="118">
        <f t="shared" si="659"/>
        <v>0</v>
      </c>
      <c r="AC660" s="118">
        <f t="shared" si="659"/>
        <v>0</v>
      </c>
      <c r="AD660" s="118">
        <f t="shared" si="659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31"/>
        <v>1</v>
      </c>
      <c r="AL660" s="98" t="str">
        <f t="shared" si="632"/>
        <v>ok</v>
      </c>
    </row>
    <row r="661" spans="1:38" x14ac:dyDescent="0.25">
      <c r="A661" s="97" t="s">
        <v>307</v>
      </c>
      <c r="D661" s="97" t="s">
        <v>741</v>
      </c>
      <c r="F661" s="114">
        <v>1</v>
      </c>
      <c r="H661" s="118">
        <f>H510/$F$510</f>
        <v>0.10895381681095527</v>
      </c>
      <c r="I661" s="118">
        <f t="shared" ref="I661:AJ661" si="660">I510/$F$510</f>
        <v>0.10270833873737889</v>
      </c>
      <c r="J661" s="118">
        <f t="shared" si="660"/>
        <v>0.10548217291991825</v>
      </c>
      <c r="K661" s="118">
        <f t="shared" si="660"/>
        <v>0.2271643081733648</v>
      </c>
      <c r="L661" s="118">
        <f t="shared" si="660"/>
        <v>0</v>
      </c>
      <c r="M661" s="118">
        <f t="shared" si="660"/>
        <v>0</v>
      </c>
      <c r="N661" s="118"/>
      <c r="O661" s="118">
        <f t="shared" si="660"/>
        <v>6.7222219202898781E-2</v>
      </c>
      <c r="P661" s="118">
        <f t="shared" si="660"/>
        <v>0</v>
      </c>
      <c r="Q661" s="118">
        <f t="shared" si="660"/>
        <v>0</v>
      </c>
      <c r="R661" s="118"/>
      <c r="S661" s="118">
        <f t="shared" si="660"/>
        <v>0</v>
      </c>
      <c r="T661" s="118">
        <f t="shared" si="660"/>
        <v>2.5054883897298413E-2</v>
      </c>
      <c r="U661" s="118">
        <f t="shared" si="660"/>
        <v>0</v>
      </c>
      <c r="V661" s="118">
        <f t="shared" si="660"/>
        <v>2.7302105266612715E-2</v>
      </c>
      <c r="W661" s="118">
        <f t="shared" si="660"/>
        <v>5.0629295995290029E-2</v>
      </c>
      <c r="X661" s="118">
        <f t="shared" si="660"/>
        <v>1.2568695945828309E-2</v>
      </c>
      <c r="Y661" s="118">
        <f t="shared" si="660"/>
        <v>1.9213402606180197E-2</v>
      </c>
      <c r="Z661" s="118">
        <f t="shared" si="660"/>
        <v>1.9510983969028634E-2</v>
      </c>
      <c r="AA661" s="118">
        <f t="shared" si="660"/>
        <v>1.7362423092642607E-2</v>
      </c>
      <c r="AB661" s="118">
        <f t="shared" si="660"/>
        <v>1.162366179105045E-2</v>
      </c>
      <c r="AC661" s="118">
        <f t="shared" si="660"/>
        <v>9.9177024761996704E-3</v>
      </c>
      <c r="AD661" s="118">
        <f t="shared" si="660"/>
        <v>1.375664340815036E-2</v>
      </c>
      <c r="AE661" s="118"/>
      <c r="AF661" s="118">
        <f t="shared" si="660"/>
        <v>0.15959114409714406</v>
      </c>
      <c r="AG661" s="118"/>
      <c r="AH661" s="118">
        <f t="shared" si="660"/>
        <v>2.1938201610058529E-2</v>
      </c>
      <c r="AI661" s="118"/>
      <c r="AJ661" s="118">
        <f t="shared" si="660"/>
        <v>0</v>
      </c>
      <c r="AK661" s="115">
        <f t="shared" si="631"/>
        <v>0.99999999999999989</v>
      </c>
      <c r="AL661" s="98" t="str">
        <f t="shared" si="632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61">I57/$F$57</f>
        <v>0.21948748801606224</v>
      </c>
      <c r="J662" s="118">
        <f t="shared" si="661"/>
        <v>0.18041797503286439</v>
      </c>
      <c r="K662" s="118">
        <f t="shared" si="661"/>
        <v>0</v>
      </c>
      <c r="L662" s="118">
        <f t="shared" si="661"/>
        <v>0</v>
      </c>
      <c r="M662" s="118">
        <f t="shared" si="661"/>
        <v>0</v>
      </c>
      <c r="N662" s="118"/>
      <c r="O662" s="118">
        <f t="shared" si="661"/>
        <v>0.13172951287154483</v>
      </c>
      <c r="P662" s="118">
        <f t="shared" si="661"/>
        <v>0</v>
      </c>
      <c r="Q662" s="118">
        <f t="shared" si="661"/>
        <v>0</v>
      </c>
      <c r="R662" s="118"/>
      <c r="S662" s="118">
        <f t="shared" si="661"/>
        <v>0</v>
      </c>
      <c r="T662" s="118">
        <f t="shared" si="661"/>
        <v>3.1338986525490678E-2</v>
      </c>
      <c r="U662" s="118">
        <f t="shared" si="661"/>
        <v>0</v>
      </c>
      <c r="V662" s="118">
        <f t="shared" si="661"/>
        <v>3.4149841307393271E-2</v>
      </c>
      <c r="W662" s="118">
        <f t="shared" si="661"/>
        <v>6.3327805927791941E-2</v>
      </c>
      <c r="X662" s="118">
        <f t="shared" si="661"/>
        <v>1.5721094318532226E-2</v>
      </c>
      <c r="Y662" s="118">
        <f t="shared" si="661"/>
        <v>2.4032382981780013E-2</v>
      </c>
      <c r="Z662" s="118">
        <f t="shared" si="661"/>
        <v>2.4404601761909738E-2</v>
      </c>
      <c r="AA662" s="118">
        <f t="shared" si="661"/>
        <v>2.1717152854532507E-2</v>
      </c>
      <c r="AB662" s="118">
        <f t="shared" si="661"/>
        <v>1.4539032858414855E-2</v>
      </c>
      <c r="AC662" s="118">
        <f t="shared" si="661"/>
        <v>1.2405195950597107E-2</v>
      </c>
      <c r="AD662" s="118">
        <f t="shared" si="661"/>
        <v>1.7206995018264299E-2</v>
      </c>
      <c r="AE662" s="118"/>
      <c r="AF662" s="118">
        <f t="shared" si="661"/>
        <v>0</v>
      </c>
      <c r="AG662" s="118"/>
      <c r="AH662" s="118">
        <f t="shared" si="661"/>
        <v>0</v>
      </c>
      <c r="AI662" s="118"/>
      <c r="AJ662" s="118">
        <f t="shared" si="661"/>
        <v>0</v>
      </c>
      <c r="AK662" s="115">
        <f t="shared" si="631"/>
        <v>0.99999999999999989</v>
      </c>
      <c r="AL662" s="98" t="str">
        <f t="shared" si="632"/>
        <v>ok</v>
      </c>
    </row>
    <row r="663" spans="1:38" x14ac:dyDescent="0.25">
      <c r="A663" s="97" t="s">
        <v>1542</v>
      </c>
      <c r="D663" s="97" t="s">
        <v>1543</v>
      </c>
      <c r="F663" s="114">
        <v>1</v>
      </c>
      <c r="H663" s="118">
        <f>H26/$F$26</f>
        <v>0.34380130494917077</v>
      </c>
      <c r="I663" s="118">
        <f t="shared" ref="I663:AJ663" si="662">I26/$F$26</f>
        <v>0.36015362760499087</v>
      </c>
      <c r="J663" s="118">
        <f t="shared" si="662"/>
        <v>0.29604506744583836</v>
      </c>
      <c r="K663" s="118">
        <f t="shared" si="662"/>
        <v>0</v>
      </c>
      <c r="L663" s="118">
        <f t="shared" si="662"/>
        <v>0</v>
      </c>
      <c r="M663" s="118">
        <f t="shared" si="662"/>
        <v>0</v>
      </c>
      <c r="N663" s="118"/>
      <c r="O663" s="118">
        <f t="shared" si="662"/>
        <v>0</v>
      </c>
      <c r="P663" s="118">
        <f t="shared" si="662"/>
        <v>0</v>
      </c>
      <c r="Q663" s="118">
        <f t="shared" si="662"/>
        <v>0</v>
      </c>
      <c r="R663" s="118"/>
      <c r="S663" s="118">
        <f t="shared" si="662"/>
        <v>0</v>
      </c>
      <c r="T663" s="118">
        <f t="shared" si="662"/>
        <v>0</v>
      </c>
      <c r="U663" s="118">
        <f t="shared" si="662"/>
        <v>0</v>
      </c>
      <c r="V663" s="118">
        <f t="shared" si="662"/>
        <v>0</v>
      </c>
      <c r="W663" s="118">
        <f t="shared" si="662"/>
        <v>0</v>
      </c>
      <c r="X663" s="118">
        <f t="shared" si="662"/>
        <v>0</v>
      </c>
      <c r="Y663" s="118">
        <f t="shared" si="662"/>
        <v>0</v>
      </c>
      <c r="Z663" s="118">
        <f t="shared" si="662"/>
        <v>0</v>
      </c>
      <c r="AA663" s="118">
        <f t="shared" si="662"/>
        <v>0</v>
      </c>
      <c r="AB663" s="118">
        <f t="shared" si="662"/>
        <v>0</v>
      </c>
      <c r="AC663" s="118">
        <f t="shared" si="662"/>
        <v>0</v>
      </c>
      <c r="AD663" s="118">
        <f t="shared" si="662"/>
        <v>0</v>
      </c>
      <c r="AE663" s="118"/>
      <c r="AF663" s="118">
        <f t="shared" si="662"/>
        <v>0</v>
      </c>
      <c r="AG663" s="118"/>
      <c r="AH663" s="118">
        <f t="shared" si="662"/>
        <v>0</v>
      </c>
      <c r="AI663" s="118"/>
      <c r="AJ663" s="118">
        <f t="shared" si="662"/>
        <v>0</v>
      </c>
      <c r="AK663" s="115">
        <f t="shared" si="631"/>
        <v>1</v>
      </c>
      <c r="AL663" s="98" t="str">
        <f t="shared" si="632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63">I12/$F$12</f>
        <v>0.21948748801606227</v>
      </c>
      <c r="J664" s="118">
        <f t="shared" si="663"/>
        <v>0.18041797503286441</v>
      </c>
      <c r="K664" s="118">
        <f t="shared" si="663"/>
        <v>0</v>
      </c>
      <c r="L664" s="118">
        <f t="shared" si="663"/>
        <v>0</v>
      </c>
      <c r="M664" s="118">
        <f t="shared" si="663"/>
        <v>0</v>
      </c>
      <c r="N664" s="118"/>
      <c r="O664" s="118">
        <f t="shared" si="663"/>
        <v>0.13172951287154486</v>
      </c>
      <c r="P664" s="118">
        <f t="shared" si="663"/>
        <v>0</v>
      </c>
      <c r="Q664" s="118">
        <f t="shared" si="663"/>
        <v>0</v>
      </c>
      <c r="R664" s="118"/>
      <c r="S664" s="118">
        <f t="shared" si="663"/>
        <v>0</v>
      </c>
      <c r="T664" s="118">
        <f t="shared" si="663"/>
        <v>3.1338986525490685E-2</v>
      </c>
      <c r="U664" s="118">
        <f t="shared" si="663"/>
        <v>0</v>
      </c>
      <c r="V664" s="118">
        <f t="shared" si="663"/>
        <v>3.4149841307393271E-2</v>
      </c>
      <c r="W664" s="118">
        <f t="shared" si="663"/>
        <v>6.3327805927791941E-2</v>
      </c>
      <c r="X664" s="118">
        <f t="shared" si="663"/>
        <v>1.572109431853223E-2</v>
      </c>
      <c r="Y664" s="118">
        <f t="shared" si="663"/>
        <v>2.403238298178002E-2</v>
      </c>
      <c r="Z664" s="118">
        <f t="shared" si="663"/>
        <v>2.4404601761909742E-2</v>
      </c>
      <c r="AA664" s="118">
        <f t="shared" si="663"/>
        <v>2.1717152854532511E-2</v>
      </c>
      <c r="AB664" s="118">
        <f t="shared" si="663"/>
        <v>1.4539032858414855E-2</v>
      </c>
      <c r="AC664" s="118">
        <f t="shared" si="663"/>
        <v>1.2405195950597107E-2</v>
      </c>
      <c r="AD664" s="118">
        <f t="shared" si="663"/>
        <v>1.7206995018264299E-2</v>
      </c>
      <c r="AE664" s="118"/>
      <c r="AF664" s="118">
        <f t="shared" si="663"/>
        <v>0</v>
      </c>
      <c r="AG664" s="118"/>
      <c r="AH664" s="118">
        <f t="shared" si="663"/>
        <v>0</v>
      </c>
      <c r="AI664" s="118"/>
      <c r="AJ664" s="118">
        <f t="shared" si="663"/>
        <v>0</v>
      </c>
      <c r="AK664" s="115">
        <f t="shared" si="631"/>
        <v>1</v>
      </c>
      <c r="AL664" s="98" t="str">
        <f t="shared" si="632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LOLP METHODOLOGY&amp;RExhibit WSS-17
Page &amp;P of &amp;N</oddHeader>
  </headerFooter>
  <rowBreaks count="12" manualBreakCount="12">
    <brk id="52" max="16383" man="1"/>
    <brk id="89" max="16383" man="1"/>
    <brk id="147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tabSelected="1" zoomScaleNormal="100" zoomScaleSheetLayoutView="100" workbookViewId="0">
      <pane xSplit="6" ySplit="3" topLeftCell="G780" activePane="bottomRight" state="frozen"/>
      <selection pane="topRight" activeCell="G1" sqref="G1"/>
      <selection pane="bottomLeft" activeCell="A4" sqref="A4"/>
      <selection pane="bottomRight" activeCell="I802" sqref="I802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8" width="20.42578125" style="97" customWidth="1"/>
    <col min="9" max="9" width="16.42578125" style="97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39" customFormat="1" ht="17.25" customHeight="1" x14ac:dyDescent="0.25">
      <c r="A2" s="235"/>
      <c r="B2" s="235"/>
      <c r="C2" s="235"/>
      <c r="D2" s="236"/>
      <c r="E2" s="237" t="s">
        <v>407</v>
      </c>
      <c r="F2" s="29" t="s">
        <v>68</v>
      </c>
      <c r="G2" s="238" t="s">
        <v>1546</v>
      </c>
      <c r="H2" s="238" t="s">
        <v>2259</v>
      </c>
      <c r="I2" s="313" t="s">
        <v>2380</v>
      </c>
      <c r="J2" s="238" t="s">
        <v>2286</v>
      </c>
      <c r="K2" s="238" t="s">
        <v>2285</v>
      </c>
      <c r="L2" s="238" t="s">
        <v>1874</v>
      </c>
      <c r="M2" s="238" t="s">
        <v>1874</v>
      </c>
      <c r="N2" s="238" t="s">
        <v>1877</v>
      </c>
      <c r="O2" s="238" t="s">
        <v>1877</v>
      </c>
      <c r="P2" s="238" t="s">
        <v>1880</v>
      </c>
      <c r="Q2" s="238" t="s">
        <v>2150</v>
      </c>
      <c r="R2" s="238" t="s">
        <v>2172</v>
      </c>
      <c r="S2" s="238" t="s">
        <v>2173</v>
      </c>
      <c r="T2" s="276" t="s">
        <v>2204</v>
      </c>
      <c r="U2" s="238"/>
      <c r="W2" s="235"/>
      <c r="X2" s="39"/>
    </row>
    <row r="3" spans="1:25" ht="17.25" customHeight="1" thickBot="1" x14ac:dyDescent="0.3">
      <c r="A3" s="30" t="s">
        <v>105</v>
      </c>
      <c r="B3" s="30"/>
      <c r="C3" s="31" t="s">
        <v>1687</v>
      </c>
      <c r="D3" s="32" t="s">
        <v>106</v>
      </c>
      <c r="E3" s="32" t="s">
        <v>107</v>
      </c>
      <c r="F3" s="22" t="s">
        <v>108</v>
      </c>
      <c r="G3" s="31" t="s">
        <v>1807</v>
      </c>
      <c r="H3" s="31" t="s">
        <v>2284</v>
      </c>
      <c r="I3" s="31"/>
      <c r="J3" s="31" t="s">
        <v>2287</v>
      </c>
      <c r="K3" s="31"/>
      <c r="L3" s="31" t="s">
        <v>1875</v>
      </c>
      <c r="M3" s="31" t="s">
        <v>1876</v>
      </c>
      <c r="N3" s="31" t="s">
        <v>1878</v>
      </c>
      <c r="O3" s="275" t="s">
        <v>2201</v>
      </c>
      <c r="P3" s="31" t="s">
        <v>1871</v>
      </c>
      <c r="Q3" s="31" t="s">
        <v>2168</v>
      </c>
      <c r="R3" s="31" t="s">
        <v>2180</v>
      </c>
      <c r="S3" s="31" t="s">
        <v>2167</v>
      </c>
      <c r="T3" s="275" t="s">
        <v>2205</v>
      </c>
      <c r="U3" s="22"/>
      <c r="V3" s="22" t="s">
        <v>112</v>
      </c>
      <c r="W3" s="22" t="s">
        <v>113</v>
      </c>
      <c r="X3" s="22" t="s">
        <v>847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2213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539805608.53418458</v>
      </c>
      <c r="H8" s="100">
        <f t="shared" si="1"/>
        <v>158703501.58892748</v>
      </c>
      <c r="I8" s="100">
        <f t="shared" si="1"/>
        <v>15346741.003322259</v>
      </c>
      <c r="J8" s="100">
        <f t="shared" si="1"/>
        <v>10364259.171389703</v>
      </c>
      <c r="K8" s="100">
        <f t="shared" si="1"/>
        <v>0</v>
      </c>
      <c r="L8" s="100">
        <f t="shared" si="1"/>
        <v>167060983.70487297</v>
      </c>
      <c r="M8" s="100">
        <f t="shared" si="1"/>
        <v>13150677.762885995</v>
      </c>
      <c r="N8" s="100">
        <f t="shared" si="1"/>
        <v>118068230.34232914</v>
      </c>
      <c r="O8" s="100">
        <f t="shared" si="1"/>
        <v>296752781.6938116</v>
      </c>
      <c r="P8" s="100">
        <f t="shared" si="1"/>
        <v>101585833.12887692</v>
      </c>
      <c r="Q8" s="100">
        <f t="shared" si="1"/>
        <v>39430413.092916451</v>
      </c>
      <c r="R8" s="100">
        <f t="shared" si="1"/>
        <v>194078.12953510915</v>
      </c>
      <c r="S8" s="100">
        <f t="shared" si="1"/>
        <v>740.46212469090256</v>
      </c>
      <c r="T8" s="100">
        <f t="shared" si="1"/>
        <v>74396.183419669338</v>
      </c>
      <c r="U8" s="100"/>
      <c r="V8" s="102">
        <f>SUM(G8:T8)</f>
        <v>1460538244.7985966</v>
      </c>
      <c r="W8" s="98" t="str">
        <f t="shared" ref="W8:W14" si="2">IF(ABS(F8-V8)&lt;0.01,"ok","err")</f>
        <v>err</v>
      </c>
      <c r="X8" s="240">
        <f t="shared" ref="X8:X14" si="3">IF(W8="err",V8-F8,"")</f>
        <v>-1.04217529296875E-2</v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565480541.56993127</v>
      </c>
      <c r="H9" s="101">
        <f t="shared" si="1"/>
        <v>166251962.94504207</v>
      </c>
      <c r="I9" s="101">
        <f t="shared" si="1"/>
        <v>16076682.562557269</v>
      </c>
      <c r="J9" s="101">
        <f t="shared" si="1"/>
        <v>10857217.480795082</v>
      </c>
      <c r="K9" s="101">
        <f t="shared" si="1"/>
        <v>0</v>
      </c>
      <c r="L9" s="101">
        <f t="shared" si="1"/>
        <v>175006954.44266486</v>
      </c>
      <c r="M9" s="101">
        <f t="shared" si="1"/>
        <v>13776167.31986491</v>
      </c>
      <c r="N9" s="101">
        <f t="shared" si="1"/>
        <v>123683944.33225973</v>
      </c>
      <c r="O9" s="101">
        <f t="shared" si="1"/>
        <v>310867321.5905894</v>
      </c>
      <c r="P9" s="101">
        <f t="shared" si="1"/>
        <v>106417590.0090007</v>
      </c>
      <c r="Q9" s="101">
        <f t="shared" si="1"/>
        <v>41305853.436119825</v>
      </c>
      <c r="R9" s="101">
        <f t="shared" si="1"/>
        <v>203309.12473178343</v>
      </c>
      <c r="S9" s="101">
        <f t="shared" si="1"/>
        <v>775.68094266237551</v>
      </c>
      <c r="T9" s="101">
        <f t="shared" si="1"/>
        <v>77934.710988143415</v>
      </c>
      <c r="U9" s="101"/>
      <c r="V9" s="101">
        <f t="shared" ref="V9:V14" si="4">SUM(G9:T9)</f>
        <v>1530006255.2054877</v>
      </c>
      <c r="W9" s="98" t="str">
        <f t="shared" si="2"/>
        <v>err</v>
      </c>
      <c r="X9" s="102">
        <f t="shared" si="3"/>
        <v>-1.0917425155639648E-2</v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464823098.35842854</v>
      </c>
      <c r="H10" s="101">
        <f t="shared" si="1"/>
        <v>136658552.93577492</v>
      </c>
      <c r="I10" s="101">
        <f t="shared" si="1"/>
        <v>13214978.85551673</v>
      </c>
      <c r="J10" s="101">
        <f t="shared" si="1"/>
        <v>8924596.1584521718</v>
      </c>
      <c r="K10" s="101">
        <f t="shared" si="1"/>
        <v>0</v>
      </c>
      <c r="L10" s="101">
        <f t="shared" si="1"/>
        <v>143855126.42480886</v>
      </c>
      <c r="M10" s="101">
        <f t="shared" si="1"/>
        <v>11323963.083408481</v>
      </c>
      <c r="N10" s="101">
        <f t="shared" si="1"/>
        <v>101667785.17630498</v>
      </c>
      <c r="O10" s="101">
        <f t="shared" si="1"/>
        <v>255531890.0964413</v>
      </c>
      <c r="P10" s="101">
        <f t="shared" si="1"/>
        <v>87474900.145089135</v>
      </c>
      <c r="Q10" s="101">
        <f t="shared" si="1"/>
        <v>33953272.240300357</v>
      </c>
      <c r="R10" s="101">
        <f t="shared" si="1"/>
        <v>167119.41496696207</v>
      </c>
      <c r="S10" s="101">
        <f t="shared" si="1"/>
        <v>637.60711925632768</v>
      </c>
      <c r="T10" s="101">
        <f t="shared" si="1"/>
        <v>64062.069634800238</v>
      </c>
      <c r="U10" s="101"/>
      <c r="V10" s="101">
        <f t="shared" si="4"/>
        <v>1257659982.5662467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409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409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409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410</v>
      </c>
      <c r="F14" s="100">
        <f>SUM(F8:F13)</f>
        <v>4248204482.6006441</v>
      </c>
      <c r="G14" s="100">
        <f t="shared" ref="G14:O14" si="5">SUM(G8:G13)</f>
        <v>1570109248.4625444</v>
      </c>
      <c r="H14" s="100">
        <f t="shared" si="5"/>
        <v>461614017.46974444</v>
      </c>
      <c r="I14" s="100">
        <f>SUM(I8:I13)</f>
        <v>44638402.421396255</v>
      </c>
      <c r="J14" s="100">
        <f>SUM(J8:J13)</f>
        <v>30146072.810636956</v>
      </c>
      <c r="K14" s="100">
        <f>SUM(K8:K13)</f>
        <v>0</v>
      </c>
      <c r="L14" s="100">
        <f t="shared" si="5"/>
        <v>485923064.57234669</v>
      </c>
      <c r="M14" s="100">
        <f t="shared" si="5"/>
        <v>38250808.166159384</v>
      </c>
      <c r="N14" s="100">
        <f t="shared" si="5"/>
        <v>343419959.85089386</v>
      </c>
      <c r="O14" s="100">
        <f t="shared" si="5"/>
        <v>863151993.38084221</v>
      </c>
      <c r="P14" s="100">
        <f>SUM(P8:P13)</f>
        <v>295478323.28296679</v>
      </c>
      <c r="Q14" s="100">
        <f>SUM(Q8:Q13)</f>
        <v>114689538.76933664</v>
      </c>
      <c r="R14" s="100">
        <f>SUM(R8:R13)</f>
        <v>564506.66923385463</v>
      </c>
      <c r="S14" s="100">
        <f>SUM(S8:S13)</f>
        <v>2153.7501866096059</v>
      </c>
      <c r="T14" s="100">
        <f>SUM(T8:T13)</f>
        <v>216392.96404261299</v>
      </c>
      <c r="U14" s="100"/>
      <c r="V14" s="102">
        <f t="shared" si="4"/>
        <v>4248204482.5703301</v>
      </c>
      <c r="W14" s="98" t="str">
        <f t="shared" si="2"/>
        <v>err</v>
      </c>
      <c r="X14" s="240">
        <f t="shared" si="3"/>
        <v>-3.0313968658447266E-2</v>
      </c>
    </row>
    <row r="15" spans="1:25" ht="12" customHeight="1" x14ac:dyDescent="0.25">
      <c r="F15" s="101"/>
      <c r="G15" s="241">
        <f t="shared" ref="G15:N15" si="6">G14/$F$14</f>
        <v>0.36959361417117165</v>
      </c>
      <c r="H15" s="241">
        <f t="shared" si="6"/>
        <v>0.10866096944259047</v>
      </c>
      <c r="I15" s="241">
        <f>I14/$F$14</f>
        <v>1.0507592702804585E-2</v>
      </c>
      <c r="J15" s="241">
        <f t="shared" si="6"/>
        <v>7.0961915637785611E-3</v>
      </c>
      <c r="K15" s="241">
        <f>K14/$F$14</f>
        <v>0</v>
      </c>
      <c r="L15" s="241">
        <f t="shared" si="6"/>
        <v>0.11438316271322156</v>
      </c>
      <c r="M15" s="241">
        <f t="shared" si="6"/>
        <v>9.00399411629621E-3</v>
      </c>
      <c r="N15" s="241">
        <f t="shared" si="6"/>
        <v>8.0838848802461782E-2</v>
      </c>
    </row>
    <row r="16" spans="1:25" ht="12" customHeight="1" x14ac:dyDescent="0.25">
      <c r="A16" s="24" t="s">
        <v>460</v>
      </c>
      <c r="F16" s="101"/>
      <c r="G16" s="101"/>
    </row>
    <row r="17" spans="1:24" ht="12" customHeight="1" x14ac:dyDescent="0.25">
      <c r="A17" s="107" t="s">
        <v>2370</v>
      </c>
      <c r="C17" s="97" t="s">
        <v>188</v>
      </c>
      <c r="D17" s="97" t="s">
        <v>145</v>
      </c>
      <c r="E17" s="97" t="s">
        <v>2371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390548219.10539854</v>
      </c>
      <c r="H17" s="100">
        <f t="shared" si="7"/>
        <v>98875136.776693776</v>
      </c>
      <c r="I17" s="100">
        <f t="shared" si="7"/>
        <v>11361384.278406439</v>
      </c>
      <c r="J17" s="100">
        <f t="shared" si="7"/>
        <v>9545370.4265154805</v>
      </c>
      <c r="K17" s="100">
        <f t="shared" si="7"/>
        <v>0</v>
      </c>
      <c r="L17" s="100">
        <f t="shared" si="7"/>
        <v>82489836.92770271</v>
      </c>
      <c r="M17" s="100">
        <f t="shared" si="7"/>
        <v>6854993.1042073974</v>
      </c>
      <c r="N17" s="100">
        <f t="shared" si="7"/>
        <v>60688841.201627381</v>
      </c>
      <c r="O17" s="100">
        <f t="shared" si="7"/>
        <v>156093339.04643467</v>
      </c>
      <c r="P17" s="100">
        <f t="shared" si="7"/>
        <v>57127324.819404051</v>
      </c>
      <c r="Q17" s="100">
        <f t="shared" si="7"/>
        <v>37772005.372727245</v>
      </c>
      <c r="R17" s="100">
        <f t="shared" si="7"/>
        <v>6774442.917221833</v>
      </c>
      <c r="S17" s="100">
        <f t="shared" si="7"/>
        <v>28375.775076831353</v>
      </c>
      <c r="T17" s="100">
        <f t="shared" si="7"/>
        <v>43946.666434367296</v>
      </c>
      <c r="U17" s="100"/>
      <c r="V17" s="102">
        <f>SUM(G17:T17)</f>
        <v>918203216.41785061</v>
      </c>
      <c r="W17" s="98" t="str">
        <f>IF(ABS(F17-V17)&lt;0.01,"ok","err")</f>
        <v>ok</v>
      </c>
      <c r="X17" s="240" t="str">
        <f>IF(W17="err",V17-F17,"")</f>
        <v/>
      </c>
    </row>
    <row r="18" spans="1:24" ht="12" hidden="1" customHeight="1" x14ac:dyDescent="0.25">
      <c r="A18" s="107" t="s">
        <v>2369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2369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462</v>
      </c>
      <c r="D20" s="97" t="s">
        <v>148</v>
      </c>
      <c r="F20" s="100">
        <f t="shared" ref="F20:T20" si="8">SUM(F17:F19)</f>
        <v>918203216.41785061</v>
      </c>
      <c r="G20" s="100">
        <f t="shared" si="8"/>
        <v>390548219.10539854</v>
      </c>
      <c r="H20" s="100">
        <f t="shared" si="8"/>
        <v>98875136.776693776</v>
      </c>
      <c r="I20" s="100">
        <f>SUM(I17:I19)</f>
        <v>11361384.278406439</v>
      </c>
      <c r="J20" s="100">
        <f>SUM(J17:J19)</f>
        <v>9545370.4265154805</v>
      </c>
      <c r="K20" s="100">
        <f>SUM(K17:K19)</f>
        <v>0</v>
      </c>
      <c r="L20" s="100">
        <f t="shared" si="8"/>
        <v>82489836.92770271</v>
      </c>
      <c r="M20" s="100">
        <f t="shared" si="8"/>
        <v>6854993.1042073974</v>
      </c>
      <c r="N20" s="100">
        <f t="shared" si="8"/>
        <v>60688841.201627381</v>
      </c>
      <c r="O20" s="100">
        <f t="shared" si="8"/>
        <v>156093339.04643467</v>
      </c>
      <c r="P20" s="100">
        <f>SUM(P17:P19)</f>
        <v>57127324.819404051</v>
      </c>
      <c r="Q20" s="100">
        <f t="shared" si="8"/>
        <v>37772005.372727245</v>
      </c>
      <c r="R20" s="100">
        <f t="shared" si="8"/>
        <v>6774442.917221833</v>
      </c>
      <c r="S20" s="100">
        <f t="shared" si="8"/>
        <v>28375.775076831353</v>
      </c>
      <c r="T20" s="100">
        <f t="shared" si="8"/>
        <v>43946.666434367296</v>
      </c>
      <c r="U20" s="100"/>
      <c r="V20" s="102">
        <f>SUM(G20:T20)</f>
        <v>918203216.41785061</v>
      </c>
      <c r="W20" s="98" t="str">
        <f>IF(ABS(F20-V20)&lt;0.01,"ok","err")</f>
        <v>ok</v>
      </c>
      <c r="X20" s="240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1693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2375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1694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2375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103629303.57170449</v>
      </c>
      <c r="H26" s="100">
        <f t="shared" si="10"/>
        <v>26235842.499029763</v>
      </c>
      <c r="I26" s="100">
        <f t="shared" si="10"/>
        <v>3014665.7513346141</v>
      </c>
      <c r="J26" s="100">
        <f t="shared" si="10"/>
        <v>2532798.8741046852</v>
      </c>
      <c r="K26" s="100">
        <f t="shared" si="10"/>
        <v>0</v>
      </c>
      <c r="L26" s="100">
        <f t="shared" si="10"/>
        <v>21888115.05053702</v>
      </c>
      <c r="M26" s="100">
        <f t="shared" si="10"/>
        <v>1818925.6194921664</v>
      </c>
      <c r="N26" s="100">
        <f t="shared" si="10"/>
        <v>16103369.675336147</v>
      </c>
      <c r="O26" s="100">
        <f t="shared" si="10"/>
        <v>41418301.828688011</v>
      </c>
      <c r="P26" s="100">
        <f t="shared" si="10"/>
        <v>0</v>
      </c>
      <c r="Q26" s="100">
        <f t="shared" si="10"/>
        <v>0</v>
      </c>
      <c r="R26" s="100">
        <f t="shared" si="10"/>
        <v>1797552.1773113129</v>
      </c>
      <c r="S26" s="100">
        <f t="shared" si="10"/>
        <v>7529.3181883023362</v>
      </c>
      <c r="T26" s="100">
        <f t="shared" si="10"/>
        <v>11660.947903752796</v>
      </c>
      <c r="U26" s="100"/>
      <c r="V26" s="102">
        <f>SUM(G26:T26)</f>
        <v>218458065.31363028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818</v>
      </c>
      <c r="C29" s="97" t="s">
        <v>188</v>
      </c>
      <c r="D29" s="97" t="s">
        <v>164</v>
      </c>
      <c r="E29" s="97" t="s">
        <v>2375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819</v>
      </c>
      <c r="C30" s="97" t="s">
        <v>188</v>
      </c>
      <c r="D30" s="97" t="s">
        <v>165</v>
      </c>
      <c r="E30" s="97" t="s">
        <v>2375</v>
      </c>
      <c r="F30" s="101">
        <f>VLOOKUP(C30,'Functional Assignment'!$C$1:$AU$771,20,)</f>
        <v>238051994.97158346</v>
      </c>
      <c r="G30" s="101">
        <f t="shared" si="11"/>
        <v>112924017.78503214</v>
      </c>
      <c r="H30" s="101">
        <f t="shared" si="11"/>
        <v>28588986.347049799</v>
      </c>
      <c r="I30" s="101">
        <f t="shared" si="11"/>
        <v>3285056.9982271846</v>
      </c>
      <c r="J30" s="101">
        <f t="shared" si="11"/>
        <v>2759970.5416084798</v>
      </c>
      <c r="K30" s="101">
        <f t="shared" si="11"/>
        <v>0</v>
      </c>
      <c r="L30" s="101">
        <f t="shared" si="11"/>
        <v>23851302.749877367</v>
      </c>
      <c r="M30" s="101">
        <f t="shared" si="11"/>
        <v>1982068.6034337843</v>
      </c>
      <c r="N30" s="101">
        <f t="shared" si="11"/>
        <v>17547712.287368182</v>
      </c>
      <c r="O30" s="101">
        <f t="shared" si="11"/>
        <v>45133190.044960029</v>
      </c>
      <c r="P30" s="101">
        <f t="shared" si="11"/>
        <v>0</v>
      </c>
      <c r="Q30" s="101">
        <f t="shared" si="11"/>
        <v>0</v>
      </c>
      <c r="R30" s="101">
        <f t="shared" si="11"/>
        <v>1958778.1355663817</v>
      </c>
      <c r="S30" s="101">
        <f t="shared" si="11"/>
        <v>8204.6374114316968</v>
      </c>
      <c r="T30" s="101">
        <f t="shared" si="11"/>
        <v>12706.841048705654</v>
      </c>
      <c r="U30" s="101"/>
      <c r="V30" s="101">
        <f t="shared" si="12"/>
        <v>238051994.97158349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820</v>
      </c>
      <c r="C31" s="97" t="s">
        <v>188</v>
      </c>
      <c r="D31" s="97" t="s">
        <v>166</v>
      </c>
      <c r="E31" s="97" t="s">
        <v>939</v>
      </c>
      <c r="F31" s="101">
        <f>VLOOKUP(C31,'Functional Assignment'!$C$1:$AU$771,21,)</f>
        <v>441445990.99558365</v>
      </c>
      <c r="G31" s="101">
        <f t="shared" si="11"/>
        <v>352743594.94499433</v>
      </c>
      <c r="H31" s="101">
        <f t="shared" si="11"/>
        <v>68249994.249001414</v>
      </c>
      <c r="I31" s="101">
        <f t="shared" si="11"/>
        <v>168722.75936701859</v>
      </c>
      <c r="J31" s="101">
        <f t="shared" si="11"/>
        <v>485692.21507107781</v>
      </c>
      <c r="K31" s="101">
        <f t="shared" si="11"/>
        <v>0</v>
      </c>
      <c r="L31" s="101">
        <f t="shared" si="11"/>
        <v>3587406.242852143</v>
      </c>
      <c r="M31" s="101">
        <f t="shared" si="11"/>
        <v>141694.35616744767</v>
      </c>
      <c r="N31" s="101">
        <f t="shared" si="11"/>
        <v>438187.7488415289</v>
      </c>
      <c r="O31" s="101">
        <f t="shared" si="11"/>
        <v>226874.77837215608</v>
      </c>
      <c r="P31" s="101">
        <f t="shared" si="11"/>
        <v>0</v>
      </c>
      <c r="Q31" s="101">
        <f t="shared" si="11"/>
        <v>0</v>
      </c>
      <c r="R31" s="101">
        <f t="shared" si="11"/>
        <v>15332840.015745826</v>
      </c>
      <c r="S31" s="101">
        <f t="shared" si="11"/>
        <v>364.01889831071969</v>
      </c>
      <c r="T31" s="101">
        <f t="shared" si="11"/>
        <v>70619.666272279632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821</v>
      </c>
      <c r="C32" s="97" t="s">
        <v>188</v>
      </c>
      <c r="D32" s="97" t="s">
        <v>167</v>
      </c>
      <c r="E32" s="97" t="s">
        <v>758</v>
      </c>
      <c r="F32" s="101">
        <f>VLOOKUP(C32,'Functional Assignment'!$C$1:$AU$771,22,)</f>
        <v>109588733.72137173</v>
      </c>
      <c r="G32" s="101">
        <f t="shared" si="11"/>
        <v>90158730.501310334</v>
      </c>
      <c r="H32" s="101">
        <f t="shared" si="11"/>
        <v>16237135.005298145</v>
      </c>
      <c r="I32" s="101">
        <f t="shared" si="11"/>
        <v>1357537.5528963727</v>
      </c>
      <c r="J32" s="101">
        <f t="shared" si="11"/>
        <v>1140536.3063977615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687460.16972982953</v>
      </c>
      <c r="S32" s="101">
        <f t="shared" si="11"/>
        <v>2879.5305221250233</v>
      </c>
      <c r="T32" s="101">
        <f t="shared" si="11"/>
        <v>4454.655217155715</v>
      </c>
      <c r="U32" s="101"/>
      <c r="V32" s="101">
        <f t="shared" si="12"/>
        <v>109588733.72137173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822</v>
      </c>
      <c r="C33" s="97" t="s">
        <v>188</v>
      </c>
      <c r="D33" s="97" t="s">
        <v>168</v>
      </c>
      <c r="E33" s="97" t="s">
        <v>938</v>
      </c>
      <c r="F33" s="101">
        <f>VLOOKUP(C33,'Functional Assignment'!$C$1:$AU$771,23,)</f>
        <v>167525133.16936862</v>
      </c>
      <c r="G33" s="101">
        <f t="shared" si="11"/>
        <v>135209176.46285892</v>
      </c>
      <c r="H33" s="101">
        <f t="shared" si="11"/>
        <v>26160717.439649969</v>
      </c>
      <c r="I33" s="101">
        <f t="shared" si="11"/>
        <v>64672.656488952147</v>
      </c>
      <c r="J33" s="101">
        <f t="shared" si="11"/>
        <v>186169.34610654673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5877188.703281885</v>
      </c>
      <c r="S33" s="101">
        <f t="shared" si="11"/>
        <v>139.5310819610618</v>
      </c>
      <c r="T33" s="101">
        <f t="shared" si="11"/>
        <v>27069.029900445992</v>
      </c>
      <c r="U33" s="101"/>
      <c r="V33" s="101">
        <f t="shared" si="12"/>
        <v>167525133.16936868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691035519.69419575</v>
      </c>
      <c r="H34" s="100">
        <f t="shared" si="15"/>
        <v>139236833.04099932</v>
      </c>
      <c r="I34" s="100">
        <f>SUM(I29:I33)</f>
        <v>4875989.9669795278</v>
      </c>
      <c r="J34" s="100">
        <f>SUM(J29:J33)</f>
        <v>4572368.4091838663</v>
      </c>
      <c r="K34" s="100">
        <f>SUM(K29:K33)</f>
        <v>0</v>
      </c>
      <c r="L34" s="100">
        <f t="shared" si="15"/>
        <v>27438708.992729511</v>
      </c>
      <c r="M34" s="100">
        <f t="shared" si="15"/>
        <v>2123762.9596012319</v>
      </c>
      <c r="N34" s="100">
        <f t="shared" si="15"/>
        <v>17985900.03620971</v>
      </c>
      <c r="O34" s="100">
        <f t="shared" si="15"/>
        <v>45360064.823332183</v>
      </c>
      <c r="P34" s="100">
        <f>SUM(P29:P33)</f>
        <v>0</v>
      </c>
      <c r="Q34" s="100">
        <f t="shared" si="15"/>
        <v>0</v>
      </c>
      <c r="R34" s="100">
        <f t="shared" si="15"/>
        <v>23856267.024323925</v>
      </c>
      <c r="S34" s="100">
        <f t="shared" si="15"/>
        <v>11587.717913828503</v>
      </c>
      <c r="T34" s="100">
        <f t="shared" si="15"/>
        <v>114850.19243858699</v>
      </c>
      <c r="U34" s="100"/>
      <c r="V34" s="102">
        <f t="shared" si="12"/>
        <v>956611852.85790753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817</v>
      </c>
      <c r="F36" s="101"/>
    </row>
    <row r="37" spans="1:24" ht="12" customHeight="1" x14ac:dyDescent="0.25">
      <c r="A37" s="107" t="s">
        <v>408</v>
      </c>
      <c r="C37" s="97" t="s">
        <v>188</v>
      </c>
      <c r="D37" s="97" t="s">
        <v>170</v>
      </c>
      <c r="E37" s="97" t="s">
        <v>2281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118027154.16094525</v>
      </c>
      <c r="H37" s="100">
        <f t="shared" si="16"/>
        <v>21256098.280737799</v>
      </c>
      <c r="I37" s="100">
        <f t="shared" si="16"/>
        <v>1777157.8320154354</v>
      </c>
      <c r="J37" s="100">
        <f t="shared" si="16"/>
        <v>1493080.6335988422</v>
      </c>
      <c r="K37" s="100">
        <f t="shared" si="16"/>
        <v>0</v>
      </c>
      <c r="L37" s="100">
        <f t="shared" si="16"/>
        <v>15957914.057169022</v>
      </c>
      <c r="M37" s="100">
        <f t="shared" si="16"/>
        <v>0</v>
      </c>
      <c r="N37" s="100">
        <f t="shared" si="16"/>
        <v>10698835.876734374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899956.85366302868</v>
      </c>
      <c r="S37" s="100">
        <f t="shared" si="16"/>
        <v>3769.6049063274895</v>
      </c>
      <c r="T37" s="100">
        <f t="shared" si="16"/>
        <v>5831.6069350760808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411</v>
      </c>
      <c r="C38" s="97" t="s">
        <v>188</v>
      </c>
      <c r="D38" s="97" t="s">
        <v>171</v>
      </c>
      <c r="E38" s="97" t="s">
        <v>2280</v>
      </c>
      <c r="F38" s="101">
        <f>VLOOKUP(C38,'Functional Assignment'!$C$1:$AU$771,25,)</f>
        <v>151386107.93500358</v>
      </c>
      <c r="G38" s="101">
        <f t="shared" si="16"/>
        <v>121068268.95017822</v>
      </c>
      <c r="H38" s="101">
        <f t="shared" si="16"/>
        <v>23424688.011343509</v>
      </c>
      <c r="I38" s="101">
        <f t="shared" si="16"/>
        <v>57908.84002372239</v>
      </c>
      <c r="J38" s="101">
        <f t="shared" si="16"/>
        <v>166698.74822362803</v>
      </c>
      <c r="K38" s="101">
        <f t="shared" si="16"/>
        <v>0</v>
      </c>
      <c r="L38" s="101">
        <f t="shared" si="16"/>
        <v>1231265.6276888547</v>
      </c>
      <c r="M38" s="101">
        <f t="shared" si="16"/>
        <v>0</v>
      </c>
      <c r="N38" s="101">
        <f t="shared" si="16"/>
        <v>150394.31753733728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5262520.4976034751</v>
      </c>
      <c r="S38" s="101">
        <f t="shared" si="16"/>
        <v>124.93816617847332</v>
      </c>
      <c r="T38" s="101">
        <f t="shared" si="16"/>
        <v>24238.004238623827</v>
      </c>
      <c r="U38" s="101"/>
      <c r="V38" s="101">
        <f>SUM(G38:T38)</f>
        <v>151386107.93500358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1532</v>
      </c>
      <c r="D39" s="97" t="s">
        <v>174</v>
      </c>
      <c r="F39" s="100">
        <f t="shared" ref="F39:O39" si="17">F37+F38</f>
        <v>321505906.84170872</v>
      </c>
      <c r="G39" s="100">
        <f t="shared" si="17"/>
        <v>239095423.11112347</v>
      </c>
      <c r="H39" s="100">
        <f t="shared" si="17"/>
        <v>44680786.292081311</v>
      </c>
      <c r="I39" s="100">
        <f>I37+I38</f>
        <v>1835066.6720391579</v>
      </c>
      <c r="J39" s="100">
        <f>J37+J38</f>
        <v>1659779.3818224701</v>
      </c>
      <c r="K39" s="100">
        <f>K37+K38</f>
        <v>0</v>
      </c>
      <c r="L39" s="100">
        <f t="shared" si="17"/>
        <v>17189179.684857875</v>
      </c>
      <c r="M39" s="100">
        <f t="shared" si="17"/>
        <v>0</v>
      </c>
      <c r="N39" s="100">
        <f t="shared" si="17"/>
        <v>10849230.194271712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6162477.3512665033</v>
      </c>
      <c r="S39" s="100">
        <f>S37+S38</f>
        <v>3894.5430725059628</v>
      </c>
      <c r="T39" s="100">
        <f>T37+T38</f>
        <v>30069.611173699908</v>
      </c>
      <c r="U39" s="100"/>
      <c r="V39" s="102">
        <f>SUM(G39:T39)</f>
        <v>321505906.84170866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411</v>
      </c>
      <c r="C42" s="97" t="s">
        <v>188</v>
      </c>
      <c r="D42" s="97" t="s">
        <v>162</v>
      </c>
      <c r="E42" s="97" t="s">
        <v>412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71075454.164605618</v>
      </c>
      <c r="H42" s="100">
        <f t="shared" si="18"/>
        <v>27840373.45372884</v>
      </c>
      <c r="I42" s="100">
        <f t="shared" si="18"/>
        <v>91566.427812021037</v>
      </c>
      <c r="J42" s="100">
        <f t="shared" si="18"/>
        <v>263660.93574674992</v>
      </c>
      <c r="K42" s="100">
        <f t="shared" si="18"/>
        <v>0</v>
      </c>
      <c r="L42" s="100">
        <f t="shared" si="18"/>
        <v>1839837.8420459181</v>
      </c>
      <c r="M42" s="100">
        <f t="shared" si="18"/>
        <v>0</v>
      </c>
      <c r="N42" s="100">
        <f t="shared" si="18"/>
        <v>237917.1382834187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101348809.96222256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411</v>
      </c>
      <c r="C45" s="97" t="s">
        <v>188</v>
      </c>
      <c r="D45" s="97" t="s">
        <v>173</v>
      </c>
      <c r="E45" s="97" t="s">
        <v>413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53746271.93344114</v>
      </c>
      <c r="H45" s="100">
        <f t="shared" si="19"/>
        <v>20031112.916313548</v>
      </c>
      <c r="I45" s="100">
        <f t="shared" si="19"/>
        <v>274206.84765646356</v>
      </c>
      <c r="J45" s="100">
        <f t="shared" si="19"/>
        <v>424892.02890763275</v>
      </c>
      <c r="K45" s="100">
        <f t="shared" si="19"/>
        <v>0</v>
      </c>
      <c r="L45" s="100">
        <f t="shared" si="19"/>
        <v>5281114.180445265</v>
      </c>
      <c r="M45" s="100">
        <f t="shared" si="19"/>
        <v>1197073.9959188306</v>
      </c>
      <c r="N45" s="100">
        <f t="shared" si="19"/>
        <v>871725.71297885163</v>
      </c>
      <c r="O45" s="100">
        <f t="shared" si="19"/>
        <v>2659749.4313532682</v>
      </c>
      <c r="P45" s="100">
        <f t="shared" si="19"/>
        <v>1813979.7568381357</v>
      </c>
      <c r="Q45" s="100">
        <f t="shared" si="19"/>
        <v>76775.589351504663</v>
      </c>
      <c r="R45" s="100">
        <f t="shared" si="19"/>
        <v>0</v>
      </c>
      <c r="S45" s="100">
        <f t="shared" si="19"/>
        <v>499.17785756677932</v>
      </c>
      <c r="T45" s="100">
        <f t="shared" si="19"/>
        <v>96840.504367955204</v>
      </c>
      <c r="U45" s="100"/>
      <c r="V45" s="102">
        <f>SUM(G45:T45)</f>
        <v>86474242.07543017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411</v>
      </c>
      <c r="C48" s="97" t="s">
        <v>188</v>
      </c>
      <c r="D48" s="97" t="s">
        <v>175</v>
      </c>
      <c r="E48" s="97" t="s">
        <v>414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308</v>
      </c>
      <c r="F50" s="101"/>
    </row>
    <row r="51" spans="1:24" ht="12" customHeight="1" x14ac:dyDescent="0.25">
      <c r="A51" s="107" t="s">
        <v>411</v>
      </c>
      <c r="C51" s="97" t="s">
        <v>188</v>
      </c>
      <c r="D51" s="97" t="s">
        <v>176</v>
      </c>
      <c r="E51" s="97" t="s">
        <v>415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1696</v>
      </c>
      <c r="F53" s="101"/>
    </row>
    <row r="54" spans="1:24" ht="12" customHeight="1" x14ac:dyDescent="0.25">
      <c r="A54" s="107" t="s">
        <v>411</v>
      </c>
      <c r="C54" s="97" t="s">
        <v>188</v>
      </c>
      <c r="D54" s="97" t="s">
        <v>223</v>
      </c>
      <c r="E54" s="97" t="s">
        <v>415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1695</v>
      </c>
      <c r="F56" s="101"/>
    </row>
    <row r="57" spans="1:24" ht="12" customHeight="1" x14ac:dyDescent="0.25">
      <c r="A57" s="107" t="s">
        <v>411</v>
      </c>
      <c r="C57" s="97" t="s">
        <v>188</v>
      </c>
      <c r="D57" s="97" t="s">
        <v>224</v>
      </c>
      <c r="E57" s="97" t="s">
        <v>416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417</v>
      </c>
      <c r="F59" s="100">
        <f>F14+F20+F23+F26+F34+F39+F42+F45+F48+F51+F54+F57</f>
        <v>6970753238.6231995</v>
      </c>
      <c r="G59" s="100">
        <f>G14+G20+G23+G26+G34+G39+G42+G45+G48+G51+G54+G57</f>
        <v>3119239440.0430136</v>
      </c>
      <c r="H59" s="100">
        <f t="shared" ref="H59:T59" si="24">H14+H20+H23+H26+H34+H39+H42+H45+H48+H51+H54+H57</f>
        <v>818514102.44859099</v>
      </c>
      <c r="I59" s="100">
        <f>I14+I20+I23+I26+I34+I39+I42+I45+I48+I51+I54+I57</f>
        <v>66091282.36562448</v>
      </c>
      <c r="J59" s="100">
        <f>J14+J20+J23+J26+J34+J39+J42+J45+J48+J51+J54+J57</f>
        <v>49144942.866917841</v>
      </c>
      <c r="K59" s="100">
        <f>K14+K20+K23+K26+K34+K39+K42+K45+K48+K51+K54+K57</f>
        <v>0</v>
      </c>
      <c r="L59" s="100">
        <f t="shared" si="24"/>
        <v>642049857.25066495</v>
      </c>
      <c r="M59" s="100">
        <f t="shared" si="24"/>
        <v>50245563.84537901</v>
      </c>
      <c r="N59" s="100">
        <f t="shared" si="24"/>
        <v>450156943.80960101</v>
      </c>
      <c r="O59" s="100">
        <f>O14+O20+O23+O26+O34+O39+O42+O45+O48+O51+O54+O57</f>
        <v>1108683448.5106504</v>
      </c>
      <c r="P59" s="100">
        <f>P14+P20+P23+P26+P34+P39+P42+P45+P48+P51+P54+P57</f>
        <v>354419627.859209</v>
      </c>
      <c r="Q59" s="100">
        <f t="shared" si="24"/>
        <v>152538319.73141539</v>
      </c>
      <c r="R59" s="100">
        <f t="shared" si="24"/>
        <v>159101908.6931631</v>
      </c>
      <c r="S59" s="100">
        <f t="shared" si="24"/>
        <v>54040.282295644545</v>
      </c>
      <c r="T59" s="100">
        <f t="shared" si="24"/>
        <v>513760.88636097522</v>
      </c>
      <c r="U59" s="100"/>
      <c r="V59" s="102">
        <f>SUM(G59:T59)</f>
        <v>6970753238.592886</v>
      </c>
      <c r="W59" s="98" t="str">
        <f>IF(ABS(F59-V59)&lt;0.01,"ok","err")</f>
        <v>err</v>
      </c>
      <c r="X59" s="240">
        <f>IF(W59="err",V59-F59,"")</f>
        <v>-3.0313491821289063E-2</v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225</v>
      </c>
      <c r="E66" s="97" t="s">
        <v>2213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328133258.8147158</v>
      </c>
      <c r="H66" s="100">
        <f t="shared" si="25"/>
        <v>96471574.838006452</v>
      </c>
      <c r="I66" s="100">
        <f t="shared" si="25"/>
        <v>9328869.6115624942</v>
      </c>
      <c r="J66" s="100">
        <f t="shared" si="25"/>
        <v>6300153.3947438439</v>
      </c>
      <c r="K66" s="100">
        <f t="shared" si="25"/>
        <v>0</v>
      </c>
      <c r="L66" s="100">
        <f t="shared" si="25"/>
        <v>101551862.62834206</v>
      </c>
      <c r="M66" s="100">
        <f t="shared" si="25"/>
        <v>7993942.0445734933</v>
      </c>
      <c r="N66" s="100">
        <f t="shared" si="25"/>
        <v>71770490.288008049</v>
      </c>
      <c r="O66" s="100">
        <f t="shared" si="25"/>
        <v>180388005.94150525</v>
      </c>
      <c r="P66" s="100">
        <f t="shared" si="25"/>
        <v>61751285.920319155</v>
      </c>
      <c r="Q66" s="100">
        <f t="shared" si="25"/>
        <v>23968683.800308745</v>
      </c>
      <c r="R66" s="100">
        <f t="shared" si="25"/>
        <v>117974.85632272194</v>
      </c>
      <c r="S66" s="100">
        <f t="shared" si="25"/>
        <v>450.1069387987057</v>
      </c>
      <c r="T66" s="100">
        <f t="shared" si="25"/>
        <v>45223.431774194847</v>
      </c>
      <c r="U66" s="100"/>
      <c r="V66" s="102">
        <f t="shared" ref="V66:V72" si="26">SUM(G66:T66)</f>
        <v>887821775.67712128</v>
      </c>
      <c r="W66" s="98" t="str">
        <f t="shared" ref="W66:W72" si="27">IF(ABS(F66-V66)&lt;0.01,"ok","err")</f>
        <v>ok</v>
      </c>
      <c r="X66" s="240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226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343740357.5807814</v>
      </c>
      <c r="H67" s="101">
        <f t="shared" si="25"/>
        <v>101060080.74579933</v>
      </c>
      <c r="I67" s="101">
        <f t="shared" si="25"/>
        <v>9772581.3825951777</v>
      </c>
      <c r="J67" s="101">
        <f t="shared" si="25"/>
        <v>6599809.4449360985</v>
      </c>
      <c r="K67" s="101">
        <f t="shared" si="25"/>
        <v>0</v>
      </c>
      <c r="L67" s="101">
        <f t="shared" si="25"/>
        <v>106382003.75955062</v>
      </c>
      <c r="M67" s="101">
        <f t="shared" si="25"/>
        <v>8374160.2628380153</v>
      </c>
      <c r="N67" s="101">
        <f t="shared" si="25"/>
        <v>75184131.241259873</v>
      </c>
      <c r="O67" s="101">
        <f t="shared" si="25"/>
        <v>188967853.76038304</v>
      </c>
      <c r="P67" s="101">
        <f t="shared" si="25"/>
        <v>64688380.507351466</v>
      </c>
      <c r="Q67" s="101">
        <f t="shared" si="25"/>
        <v>25108713.362430163</v>
      </c>
      <c r="R67" s="101">
        <f t="shared" si="25"/>
        <v>123586.12913667585</v>
      </c>
      <c r="S67" s="101">
        <f t="shared" si="25"/>
        <v>471.51550760547059</v>
      </c>
      <c r="T67" s="101">
        <f t="shared" si="25"/>
        <v>47374.407169952668</v>
      </c>
      <c r="U67" s="101"/>
      <c r="V67" s="101">
        <f t="shared" si="26"/>
        <v>930049504.09973955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227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282553414.83182347</v>
      </c>
      <c r="H68" s="101">
        <f t="shared" si="25"/>
        <v>83071045.596369401</v>
      </c>
      <c r="I68" s="101">
        <f t="shared" si="25"/>
        <v>8033028.9431471564</v>
      </c>
      <c r="J68" s="101">
        <f t="shared" si="25"/>
        <v>5425021.1090438375</v>
      </c>
      <c r="K68" s="101">
        <f t="shared" si="25"/>
        <v>0</v>
      </c>
      <c r="L68" s="101">
        <f t="shared" si="25"/>
        <v>87445648.368038729</v>
      </c>
      <c r="M68" s="101">
        <f t="shared" si="25"/>
        <v>6883531.4982116418</v>
      </c>
      <c r="N68" s="101">
        <f t="shared" si="25"/>
        <v>61801102.357873641</v>
      </c>
      <c r="O68" s="101">
        <f t="shared" si="25"/>
        <v>155330938.58753261</v>
      </c>
      <c r="P68" s="101">
        <f t="shared" si="25"/>
        <v>53173630.646488987</v>
      </c>
      <c r="Q68" s="101">
        <f t="shared" si="25"/>
        <v>20639277.716818016</v>
      </c>
      <c r="R68" s="101">
        <f t="shared" si="25"/>
        <v>101587.38141536991</v>
      </c>
      <c r="S68" s="101">
        <f t="shared" si="25"/>
        <v>387.58415729167547</v>
      </c>
      <c r="T68" s="101">
        <f t="shared" si="25"/>
        <v>38941.602946222549</v>
      </c>
      <c r="U68" s="101"/>
      <c r="V68" s="101">
        <f t="shared" si="26"/>
        <v>764497556.22386646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228</v>
      </c>
      <c r="E69" s="97" t="s">
        <v>409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229</v>
      </c>
      <c r="E70" s="97" t="s">
        <v>409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230</v>
      </c>
      <c r="E71" s="97" t="s">
        <v>409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231</v>
      </c>
      <c r="F72" s="100">
        <f t="shared" ref="F72:T72" si="29">SUM(F66:F71)</f>
        <v>2582368836.0191536</v>
      </c>
      <c r="G72" s="100">
        <f t="shared" si="29"/>
        <v>954427031.22732067</v>
      </c>
      <c r="H72" s="100">
        <f t="shared" si="29"/>
        <v>280602701.18017519</v>
      </c>
      <c r="I72" s="100">
        <f>SUM(I66:I71)</f>
        <v>27134479.937304828</v>
      </c>
      <c r="J72" s="100">
        <f>SUM(J66:J71)</f>
        <v>18324983.948723778</v>
      </c>
      <c r="K72" s="100">
        <f>SUM(K66:K71)</f>
        <v>0</v>
      </c>
      <c r="L72" s="100">
        <f t="shared" si="29"/>
        <v>295379514.75593138</v>
      </c>
      <c r="M72" s="100">
        <f t="shared" si="29"/>
        <v>23251633.805623151</v>
      </c>
      <c r="N72" s="100">
        <f t="shared" si="29"/>
        <v>208755723.88714156</v>
      </c>
      <c r="O72" s="100">
        <f t="shared" si="29"/>
        <v>524686798.28942096</v>
      </c>
      <c r="P72" s="100">
        <f>SUM(P66:P71)</f>
        <v>179613297.07415962</v>
      </c>
      <c r="Q72" s="100">
        <f t="shared" si="29"/>
        <v>69716674.879556924</v>
      </c>
      <c r="R72" s="100">
        <f t="shared" si="29"/>
        <v>343148.3668747677</v>
      </c>
      <c r="S72" s="100">
        <f t="shared" si="29"/>
        <v>1309.2066036958518</v>
      </c>
      <c r="T72" s="100">
        <f t="shared" si="29"/>
        <v>131539.44189037007</v>
      </c>
      <c r="U72" s="100"/>
      <c r="V72" s="102">
        <f t="shared" si="26"/>
        <v>2582368836.0007267</v>
      </c>
      <c r="W72" s="98" t="str">
        <f t="shared" si="27"/>
        <v>err</v>
      </c>
      <c r="X72" s="240">
        <f t="shared" si="28"/>
        <v>-1.8426895141601563E-2</v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460</v>
      </c>
      <c r="F74" s="101"/>
      <c r="G74" s="101"/>
    </row>
    <row r="75" spans="1:24" ht="12" customHeight="1" x14ac:dyDescent="0.25">
      <c r="A75" s="107" t="s">
        <v>2370</v>
      </c>
      <c r="C75" s="97" t="s">
        <v>203</v>
      </c>
      <c r="D75" s="97" t="s">
        <v>232</v>
      </c>
      <c r="E75" s="97" t="s">
        <v>2371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267724872.82654497</v>
      </c>
      <c r="H75" s="100">
        <f t="shared" si="30"/>
        <v>67779936.315888494</v>
      </c>
      <c r="I75" s="100">
        <f t="shared" si="30"/>
        <v>7788347.282794781</v>
      </c>
      <c r="J75" s="100">
        <f t="shared" si="30"/>
        <v>6543450.8685634285</v>
      </c>
      <c r="K75" s="100">
        <f t="shared" si="30"/>
        <v>0</v>
      </c>
      <c r="L75" s="100">
        <f t="shared" si="30"/>
        <v>56547642.571611889</v>
      </c>
      <c r="M75" s="100">
        <f t="shared" si="30"/>
        <v>4699169.1864698594</v>
      </c>
      <c r="N75" s="100">
        <f t="shared" si="30"/>
        <v>41602832.884282582</v>
      </c>
      <c r="O75" s="100">
        <f t="shared" si="30"/>
        <v>107003610.05614896</v>
      </c>
      <c r="P75" s="100">
        <f t="shared" si="30"/>
        <v>39161376.301316902</v>
      </c>
      <c r="Q75" s="100">
        <f t="shared" si="30"/>
        <v>25893103.181934826</v>
      </c>
      <c r="R75" s="100">
        <f t="shared" si="30"/>
        <v>4643951.1941403523</v>
      </c>
      <c r="S75" s="100">
        <f t="shared" si="30"/>
        <v>19451.889426614227</v>
      </c>
      <c r="T75" s="100">
        <f t="shared" si="30"/>
        <v>30125.897665702454</v>
      </c>
      <c r="U75" s="100"/>
      <c r="V75" s="102">
        <f>SUM(G75:T75)</f>
        <v>629437870.45678926</v>
      </c>
      <c r="W75" s="98" t="str">
        <f>IF(ABS(F75-V75)&lt;0.01,"ok","err")</f>
        <v>ok</v>
      </c>
      <c r="X75" s="240" t="str">
        <f>IF(W75="err",V75-F75,"")</f>
        <v/>
      </c>
    </row>
    <row r="76" spans="1:24" ht="12" hidden="1" customHeight="1" x14ac:dyDescent="0.25">
      <c r="A76" s="107" t="s">
        <v>2369</v>
      </c>
      <c r="C76" s="97" t="s">
        <v>203</v>
      </c>
      <c r="D76" s="97" t="s">
        <v>233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2369</v>
      </c>
      <c r="C77" s="97" t="s">
        <v>203</v>
      </c>
      <c r="D77" s="97" t="s">
        <v>234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462</v>
      </c>
      <c r="D78" s="97" t="s">
        <v>235</v>
      </c>
      <c r="F78" s="100">
        <f t="shared" ref="F78:T78" si="31">SUM(F75:F77)</f>
        <v>629437870.45678926</v>
      </c>
      <c r="G78" s="100">
        <f t="shared" si="31"/>
        <v>267724872.82654497</v>
      </c>
      <c r="H78" s="100">
        <f t="shared" si="31"/>
        <v>67779936.315888494</v>
      </c>
      <c r="I78" s="100">
        <f>SUM(I75:I77)</f>
        <v>7788347.282794781</v>
      </c>
      <c r="J78" s="100">
        <f>SUM(J75:J77)</f>
        <v>6543450.8685634285</v>
      </c>
      <c r="K78" s="100">
        <f>SUM(K75:K77)</f>
        <v>0</v>
      </c>
      <c r="L78" s="100">
        <f t="shared" si="31"/>
        <v>56547642.571611889</v>
      </c>
      <c r="M78" s="100">
        <f t="shared" si="31"/>
        <v>4699169.1864698594</v>
      </c>
      <c r="N78" s="100">
        <f t="shared" si="31"/>
        <v>41602832.884282582</v>
      </c>
      <c r="O78" s="100">
        <f t="shared" si="31"/>
        <v>107003610.05614896</v>
      </c>
      <c r="P78" s="100">
        <f>SUM(P75:P77)</f>
        <v>39161376.301316902</v>
      </c>
      <c r="Q78" s="100">
        <f t="shared" si="31"/>
        <v>25893103.181934826</v>
      </c>
      <c r="R78" s="100">
        <f t="shared" si="31"/>
        <v>4643951.1941403523</v>
      </c>
      <c r="S78" s="100">
        <f t="shared" si="31"/>
        <v>19451.889426614227</v>
      </c>
      <c r="T78" s="100">
        <f t="shared" si="31"/>
        <v>30125.897665702454</v>
      </c>
      <c r="U78" s="100"/>
      <c r="V78" s="102">
        <f>SUM(G78:T78)</f>
        <v>629437870.45678926</v>
      </c>
      <c r="W78" s="98" t="str">
        <f>IF(ABS(F78-V78)&lt;0.01,"ok","err")</f>
        <v>ok</v>
      </c>
      <c r="X78" s="240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1693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236</v>
      </c>
      <c r="E81" s="97" t="s">
        <v>2375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1694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237</v>
      </c>
      <c r="E84" s="97" t="s">
        <v>2375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67662473.004142269</v>
      </c>
      <c r="H84" s="100">
        <f t="shared" si="33"/>
        <v>17130115.938714411</v>
      </c>
      <c r="I84" s="100">
        <f t="shared" si="33"/>
        <v>1968359.6529725818</v>
      </c>
      <c r="J84" s="100">
        <f t="shared" si="33"/>
        <v>1653735.2808267202</v>
      </c>
      <c r="K84" s="100">
        <f t="shared" si="33"/>
        <v>0</v>
      </c>
      <c r="L84" s="100">
        <f t="shared" si="33"/>
        <v>14291362.989752857</v>
      </c>
      <c r="M84" s="100">
        <f t="shared" si="33"/>
        <v>1187627.450765152</v>
      </c>
      <c r="N84" s="100">
        <f t="shared" si="33"/>
        <v>10514340.812675923</v>
      </c>
      <c r="O84" s="100">
        <f t="shared" si="33"/>
        <v>27043168.609368317</v>
      </c>
      <c r="P84" s="100">
        <f t="shared" si="33"/>
        <v>0</v>
      </c>
      <c r="Q84" s="100">
        <f t="shared" si="33"/>
        <v>0</v>
      </c>
      <c r="R84" s="100">
        <f t="shared" si="33"/>
        <v>1173672.1320982948</v>
      </c>
      <c r="S84" s="100">
        <f t="shared" si="33"/>
        <v>4916.1025993299045</v>
      </c>
      <c r="T84" s="100">
        <f t="shared" si="33"/>
        <v>7613.7592895666057</v>
      </c>
      <c r="U84" s="100"/>
      <c r="V84" s="102">
        <f>SUM(G84:T84)</f>
        <v>142637385.73320541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818</v>
      </c>
      <c r="C87" s="97" t="s">
        <v>203</v>
      </c>
      <c r="D87" s="97" t="s">
        <v>238</v>
      </c>
      <c r="E87" s="97" t="s">
        <v>2375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819</v>
      </c>
      <c r="C88" s="97" t="s">
        <v>203</v>
      </c>
      <c r="D88" s="97" t="s">
        <v>239</v>
      </c>
      <c r="E88" s="97" t="s">
        <v>2375</v>
      </c>
      <c r="F88" s="101">
        <f>VLOOKUP(C88,'Functional Assignment'!$C$1:$AU$771,20,)</f>
        <v>155430810.86327949</v>
      </c>
      <c r="G88" s="101">
        <f t="shared" si="34"/>
        <v>73731252.083655626</v>
      </c>
      <c r="H88" s="101">
        <f t="shared" si="34"/>
        <v>18666549.424261771</v>
      </c>
      <c r="I88" s="101">
        <f t="shared" si="34"/>
        <v>2144905.6666275491</v>
      </c>
      <c r="J88" s="101">
        <f t="shared" si="34"/>
        <v>1802062.0213335287</v>
      </c>
      <c r="K88" s="101">
        <f t="shared" si="34"/>
        <v>0</v>
      </c>
      <c r="L88" s="101">
        <f t="shared" si="34"/>
        <v>15573183.190510726</v>
      </c>
      <c r="M88" s="101">
        <f t="shared" si="34"/>
        <v>1294148.0715384732</v>
      </c>
      <c r="N88" s="101">
        <f t="shared" si="34"/>
        <v>11457392.532865556</v>
      </c>
      <c r="O88" s="101">
        <f t="shared" si="34"/>
        <v>29468723.109722439</v>
      </c>
      <c r="P88" s="101">
        <f t="shared" si="34"/>
        <v>0</v>
      </c>
      <c r="Q88" s="101">
        <f t="shared" si="34"/>
        <v>0</v>
      </c>
      <c r="R88" s="101">
        <f t="shared" si="34"/>
        <v>1278941.0731411371</v>
      </c>
      <c r="S88" s="101">
        <f t="shared" si="34"/>
        <v>5357.0374230648877</v>
      </c>
      <c r="T88" s="101">
        <f t="shared" si="34"/>
        <v>8296.652199646076</v>
      </c>
      <c r="U88" s="101"/>
      <c r="V88" s="101">
        <f t="shared" si="35"/>
        <v>155430810.86327955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820</v>
      </c>
      <c r="C89" s="97" t="s">
        <v>203</v>
      </c>
      <c r="D89" s="97" t="s">
        <v>240</v>
      </c>
      <c r="E89" s="97" t="s">
        <v>939</v>
      </c>
      <c r="F89" s="101">
        <f>VLOOKUP(C89,'Functional Assignment'!$C$1:$AU$771,21,)</f>
        <v>288232444.0968374</v>
      </c>
      <c r="G89" s="101">
        <f t="shared" si="34"/>
        <v>230316166.83436525</v>
      </c>
      <c r="H89" s="101">
        <f t="shared" si="34"/>
        <v>44562331.640206419</v>
      </c>
      <c r="I89" s="101">
        <f t="shared" si="34"/>
        <v>110163.81233283159</v>
      </c>
      <c r="J89" s="101">
        <f t="shared" si="34"/>
        <v>317122.0422979084</v>
      </c>
      <c r="K89" s="101">
        <f t="shared" si="34"/>
        <v>0</v>
      </c>
      <c r="L89" s="101">
        <f t="shared" si="34"/>
        <v>2342317.9515427295</v>
      </c>
      <c r="M89" s="101">
        <f t="shared" si="34"/>
        <v>92516.211328057601</v>
      </c>
      <c r="N89" s="101">
        <f t="shared" si="34"/>
        <v>286105.04659254802</v>
      </c>
      <c r="O89" s="101">
        <f t="shared" si="34"/>
        <v>148132.89328249684</v>
      </c>
      <c r="P89" s="101">
        <f t="shared" si="34"/>
        <v>0</v>
      </c>
      <c r="Q89" s="101">
        <f t="shared" si="34"/>
        <v>0</v>
      </c>
      <c r="R89" s="101">
        <f t="shared" si="34"/>
        <v>10011240.429927075</v>
      </c>
      <c r="S89" s="101">
        <f t="shared" si="34"/>
        <v>237.6781280104241</v>
      </c>
      <c r="T89" s="101">
        <f t="shared" si="34"/>
        <v>46109.556834022282</v>
      </c>
      <c r="U89" s="101"/>
      <c r="V89" s="101">
        <f t="shared" si="35"/>
        <v>288232444.09683722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821</v>
      </c>
      <c r="C90" s="97" t="s">
        <v>203</v>
      </c>
      <c r="D90" s="97" t="s">
        <v>241</v>
      </c>
      <c r="E90" s="97" t="s">
        <v>758</v>
      </c>
      <c r="F90" s="101">
        <f>VLOOKUP(C90,'Functional Assignment'!$C$1:$AU$771,22,)</f>
        <v>71553551.760093957</v>
      </c>
      <c r="G90" s="101">
        <f t="shared" si="34"/>
        <v>58867158.789807044</v>
      </c>
      <c r="H90" s="101">
        <f t="shared" si="34"/>
        <v>10601679.94085197</v>
      </c>
      <c r="I90" s="101">
        <f t="shared" si="34"/>
        <v>886374.26730753947</v>
      </c>
      <c r="J90" s="101">
        <f t="shared" si="34"/>
        <v>744688.0793566769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448861.98760934657</v>
      </c>
      <c r="S90" s="101">
        <f t="shared" si="34"/>
        <v>1880.1260792327384</v>
      </c>
      <c r="T90" s="101">
        <f t="shared" si="34"/>
        <v>2908.56908215158</v>
      </c>
      <c r="U90" s="101"/>
      <c r="V90" s="101">
        <f t="shared" si="35"/>
        <v>71553551.760093942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822</v>
      </c>
      <c r="C91" s="97" t="s">
        <v>203</v>
      </c>
      <c r="D91" s="97" t="s">
        <v>242</v>
      </c>
      <c r="E91" s="97" t="s">
        <v>938</v>
      </c>
      <c r="F91" s="101">
        <f>VLOOKUP(C91,'Functional Assignment'!$C$1:$AU$771,23,)</f>
        <v>109381848.66546527</v>
      </c>
      <c r="G91" s="101">
        <f t="shared" si="34"/>
        <v>88281855.971369058</v>
      </c>
      <c r="H91" s="101">
        <f t="shared" si="34"/>
        <v>17081064.684609409</v>
      </c>
      <c r="I91" s="101">
        <f t="shared" si="34"/>
        <v>42226.587682913967</v>
      </c>
      <c r="J91" s="101">
        <f t="shared" si="34"/>
        <v>121555.17716489315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3837381.0135750151</v>
      </c>
      <c r="S91" s="101">
        <f t="shared" si="34"/>
        <v>91.103749046200576</v>
      </c>
      <c r="T91" s="101">
        <f t="shared" si="34"/>
        <v>17674.127314962912</v>
      </c>
      <c r="U91" s="101"/>
      <c r="V91" s="101">
        <f t="shared" si="35"/>
        <v>109381848.66546533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243</v>
      </c>
      <c r="F92" s="100">
        <f>SUM(F87:F91)</f>
        <v>624598655.38567603</v>
      </c>
      <c r="G92" s="100">
        <f t="shared" ref="G92:T92" si="38">SUM(G87:G91)</f>
        <v>451196433.67919695</v>
      </c>
      <c r="H92" s="100">
        <f t="shared" si="38"/>
        <v>90911625.689929575</v>
      </c>
      <c r="I92" s="100">
        <f>SUM(I87:I91)</f>
        <v>3183670.3339508343</v>
      </c>
      <c r="J92" s="100">
        <f>SUM(J87:J91)</f>
        <v>2985427.3201530073</v>
      </c>
      <c r="K92" s="100">
        <f>SUM(K87:K91)</f>
        <v>0</v>
      </c>
      <c r="L92" s="100">
        <f t="shared" si="38"/>
        <v>17915501.142053455</v>
      </c>
      <c r="M92" s="100">
        <f t="shared" si="38"/>
        <v>1386664.2828665308</v>
      </c>
      <c r="N92" s="100">
        <f t="shared" si="38"/>
        <v>11743497.579458104</v>
      </c>
      <c r="O92" s="100">
        <f t="shared" si="38"/>
        <v>29616856.003004935</v>
      </c>
      <c r="P92" s="100">
        <f>SUM(P87:P91)</f>
        <v>0</v>
      </c>
      <c r="Q92" s="100">
        <f t="shared" si="38"/>
        <v>0</v>
      </c>
      <c r="R92" s="100">
        <f t="shared" si="38"/>
        <v>15576424.504252575</v>
      </c>
      <c r="S92" s="100">
        <f t="shared" si="38"/>
        <v>7565.9453793542507</v>
      </c>
      <c r="T92" s="100">
        <f t="shared" si="38"/>
        <v>74988.905430782848</v>
      </c>
      <c r="U92" s="100"/>
      <c r="V92" s="102">
        <f t="shared" si="35"/>
        <v>624598655.38567615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817</v>
      </c>
      <c r="F94" s="101"/>
    </row>
    <row r="95" spans="1:24" ht="12" customHeight="1" x14ac:dyDescent="0.25">
      <c r="A95" s="107" t="s">
        <v>408</v>
      </c>
      <c r="C95" s="97" t="s">
        <v>203</v>
      </c>
      <c r="D95" s="97" t="s">
        <v>244</v>
      </c>
      <c r="E95" s="97" t="s">
        <v>2281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77063232.666085765</v>
      </c>
      <c r="H95" s="100">
        <f t="shared" si="39"/>
        <v>13878701.549882084</v>
      </c>
      <c r="I95" s="100">
        <f t="shared" si="39"/>
        <v>1160356.0931936752</v>
      </c>
      <c r="J95" s="100">
        <f t="shared" si="39"/>
        <v>974874.13870331016</v>
      </c>
      <c r="K95" s="100">
        <f t="shared" si="39"/>
        <v>0</v>
      </c>
      <c r="L95" s="100">
        <f t="shared" si="39"/>
        <v>10419368.768106271</v>
      </c>
      <c r="M95" s="100">
        <f t="shared" si="39"/>
        <v>0</v>
      </c>
      <c r="N95" s="100">
        <f t="shared" si="39"/>
        <v>6985569.4165153932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587607.02057341754</v>
      </c>
      <c r="S95" s="100">
        <f t="shared" si="39"/>
        <v>2461.2805588737851</v>
      </c>
      <c r="T95" s="100">
        <f t="shared" si="39"/>
        <v>3807.6194012278647</v>
      </c>
      <c r="U95" s="100"/>
      <c r="V95" s="102">
        <f>SUM(G95:T95)</f>
        <v>111075978.55302003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411</v>
      </c>
      <c r="C96" s="97" t="s">
        <v>203</v>
      </c>
      <c r="D96" s="97" t="s">
        <v>245</v>
      </c>
      <c r="E96" s="97" t="s">
        <v>2280</v>
      </c>
      <c r="F96" s="101">
        <f>VLOOKUP(C96,'Functional Assignment'!$C$1:$AU$771,25,)</f>
        <v>98844227.340259716</v>
      </c>
      <c r="G96" s="101">
        <f t="shared" si="39"/>
        <v>79048861.636240855</v>
      </c>
      <c r="H96" s="101">
        <f t="shared" si="39"/>
        <v>15294634.48628979</v>
      </c>
      <c r="I96" s="101">
        <f t="shared" si="39"/>
        <v>37810.302585842823</v>
      </c>
      <c r="J96" s="101">
        <f t="shared" si="39"/>
        <v>108842.27880293589</v>
      </c>
      <c r="K96" s="101">
        <f t="shared" si="39"/>
        <v>0</v>
      </c>
      <c r="L96" s="101">
        <f t="shared" si="39"/>
        <v>803927.79284461937</v>
      </c>
      <c r="M96" s="101">
        <f t="shared" si="39"/>
        <v>0</v>
      </c>
      <c r="N96" s="101">
        <f t="shared" si="39"/>
        <v>98196.659628281122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3436046.93682478</v>
      </c>
      <c r="S96" s="101">
        <f t="shared" si="39"/>
        <v>81.575625859423567</v>
      </c>
      <c r="T96" s="101">
        <f t="shared" si="39"/>
        <v>15825.671416728173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1532</v>
      </c>
      <c r="D97" s="97" t="s">
        <v>246</v>
      </c>
      <c r="F97" s="100">
        <f t="shared" ref="F97:T97" si="40">F95+F96</f>
        <v>209920205.89327973</v>
      </c>
      <c r="G97" s="100">
        <f t="shared" si="40"/>
        <v>156112094.30232662</v>
      </c>
      <c r="H97" s="100">
        <f t="shared" si="40"/>
        <v>29173336.036171876</v>
      </c>
      <c r="I97" s="100">
        <f>I95+I96</f>
        <v>1198166.3957795179</v>
      </c>
      <c r="J97" s="100">
        <f>J95+J96</f>
        <v>1083716.4175062461</v>
      </c>
      <c r="K97" s="100">
        <f>K95+K96</f>
        <v>0</v>
      </c>
      <c r="L97" s="100">
        <f t="shared" si="40"/>
        <v>11223296.56095089</v>
      </c>
      <c r="M97" s="100">
        <f t="shared" si="40"/>
        <v>0</v>
      </c>
      <c r="N97" s="100">
        <f t="shared" si="40"/>
        <v>7083766.0761436746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4023653.9573981976</v>
      </c>
      <c r="S97" s="100">
        <f t="shared" si="40"/>
        <v>2542.8561847332089</v>
      </c>
      <c r="T97" s="100">
        <f t="shared" si="40"/>
        <v>19633.29081795604</v>
      </c>
      <c r="U97" s="100"/>
      <c r="V97" s="102">
        <f>SUM(G97:T97)</f>
        <v>209920205.89327973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411</v>
      </c>
      <c r="C100" s="97" t="s">
        <v>203</v>
      </c>
      <c r="D100" s="97" t="s">
        <v>247</v>
      </c>
      <c r="E100" s="97" t="s">
        <v>412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46407153.506943882</v>
      </c>
      <c r="H100" s="100">
        <f t="shared" si="41"/>
        <v>18177759.111685425</v>
      </c>
      <c r="I100" s="100">
        <f t="shared" si="41"/>
        <v>59786.283767020293</v>
      </c>
      <c r="J100" s="100">
        <f t="shared" si="41"/>
        <v>172151.60511879061</v>
      </c>
      <c r="K100" s="100">
        <f t="shared" si="41"/>
        <v>0</v>
      </c>
      <c r="L100" s="100">
        <f t="shared" si="41"/>
        <v>1201281.6262274114</v>
      </c>
      <c r="M100" s="100">
        <f t="shared" si="41"/>
        <v>0</v>
      </c>
      <c r="N100" s="100">
        <f t="shared" si="41"/>
        <v>155342.75915678448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66173474.892899312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411</v>
      </c>
      <c r="C103" s="97" t="s">
        <v>203</v>
      </c>
      <c r="D103" s="97" t="s">
        <v>248</v>
      </c>
      <c r="E103" s="97" t="s">
        <v>413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35092445.364678763</v>
      </c>
      <c r="H103" s="100">
        <f t="shared" si="42"/>
        <v>13078874.316714641</v>
      </c>
      <c r="I103" s="100">
        <f t="shared" si="42"/>
        <v>179037.32619672225</v>
      </c>
      <c r="J103" s="100">
        <f t="shared" si="42"/>
        <v>277423.8988853707</v>
      </c>
      <c r="K103" s="100">
        <f t="shared" si="42"/>
        <v>0</v>
      </c>
      <c r="L103" s="100">
        <f t="shared" si="42"/>
        <v>3448187.2728105336</v>
      </c>
      <c r="M103" s="100">
        <f t="shared" si="42"/>
        <v>781603.11939927423</v>
      </c>
      <c r="N103" s="100">
        <f t="shared" si="42"/>
        <v>569174.11859895266</v>
      </c>
      <c r="O103" s="100">
        <f t="shared" si="42"/>
        <v>1736624.8531449351</v>
      </c>
      <c r="P103" s="100">
        <f t="shared" si="42"/>
        <v>1184398.158598009</v>
      </c>
      <c r="Q103" s="100">
        <f t="shared" si="42"/>
        <v>50128.931323743062</v>
      </c>
      <c r="R103" s="100">
        <f t="shared" si="42"/>
        <v>0</v>
      </c>
      <c r="S103" s="100">
        <f t="shared" si="42"/>
        <v>325.92719576183708</v>
      </c>
      <c r="T103" s="100">
        <f t="shared" si="42"/>
        <v>63229.875977796408</v>
      </c>
      <c r="U103" s="100"/>
      <c r="V103" s="102">
        <f>SUM(G103:T103)</f>
        <v>56461453.163524501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411</v>
      </c>
      <c r="C106" s="97" t="s">
        <v>203</v>
      </c>
      <c r="D106" s="97" t="s">
        <v>249</v>
      </c>
      <c r="E106" s="97" t="s">
        <v>414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308</v>
      </c>
      <c r="F108" s="101"/>
    </row>
    <row r="109" spans="1:24" ht="12" customHeight="1" x14ac:dyDescent="0.25">
      <c r="A109" s="107" t="s">
        <v>411</v>
      </c>
      <c r="C109" s="97" t="s">
        <v>203</v>
      </c>
      <c r="D109" s="97" t="s">
        <v>250</v>
      </c>
      <c r="E109" s="97" t="s">
        <v>415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1696</v>
      </c>
      <c r="F111" s="101"/>
    </row>
    <row r="112" spans="1:24" ht="12" customHeight="1" x14ac:dyDescent="0.25">
      <c r="A112" s="107" t="s">
        <v>411</v>
      </c>
      <c r="C112" s="97" t="s">
        <v>203</v>
      </c>
      <c r="D112" s="97" t="s">
        <v>251</v>
      </c>
      <c r="E112" s="97" t="s">
        <v>415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1695</v>
      </c>
      <c r="F114" s="101"/>
    </row>
    <row r="115" spans="1:24" ht="12" customHeight="1" x14ac:dyDescent="0.25">
      <c r="A115" s="107" t="s">
        <v>411</v>
      </c>
      <c r="C115" s="97" t="s">
        <v>203</v>
      </c>
      <c r="D115" s="97" t="s">
        <v>252</v>
      </c>
      <c r="E115" s="97" t="s">
        <v>416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253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1978622503.9111545</v>
      </c>
      <c r="H117" s="100">
        <f t="shared" si="47"/>
        <v>516854348.58927965</v>
      </c>
      <c r="I117" s="100">
        <f>I72+I78+I81+I84+I92+I97+I100+I103+I106+I109+I112+I115</f>
        <v>41511847.21276629</v>
      </c>
      <c r="J117" s="100">
        <f>J72+J78+J81+J84+J92+J97+J100+J103+J106+J109+J112+J115</f>
        <v>31040889.339777343</v>
      </c>
      <c r="K117" s="100">
        <f>K72+K78+K81+K84+K92+K97+K100+K103+K106+K109+K112+K115</f>
        <v>0</v>
      </c>
      <c r="L117" s="100">
        <f t="shared" si="47"/>
        <v>400006786.91933835</v>
      </c>
      <c r="M117" s="100">
        <f t="shared" si="47"/>
        <v>31306697.845123969</v>
      </c>
      <c r="N117" s="100">
        <f t="shared" si="47"/>
        <v>280424678.11745757</v>
      </c>
      <c r="O117" s="100">
        <f>O72+O78+O81+O84+O92+O97+O100+O103+O106+O109+O112+O115</f>
        <v>690087057.81108809</v>
      </c>
      <c r="P117" s="100">
        <f>P72+P78+P81+P84+P92+P97+P100+P103+P106+P109+P112+P115</f>
        <v>219959071.53407454</v>
      </c>
      <c r="Q117" s="100">
        <f t="shared" si="47"/>
        <v>95659906.992815495</v>
      </c>
      <c r="R117" s="100">
        <f t="shared" si="47"/>
        <v>104077383.57977356</v>
      </c>
      <c r="S117" s="100">
        <f t="shared" si="47"/>
        <v>36111.927389489283</v>
      </c>
      <c r="T117" s="100">
        <f t="shared" si="47"/>
        <v>327131.17107217439</v>
      </c>
      <c r="U117" s="100"/>
      <c r="V117" s="102">
        <f>SUM(G117:T117)</f>
        <v>4389914414.9511099</v>
      </c>
      <c r="W117" s="98" t="str">
        <f>IF(ABS(F117-V117)&lt;0.01,"ok","err")</f>
        <v>err</v>
      </c>
      <c r="X117" s="240">
        <f>IF(W117="err",V117-F117,"")</f>
        <v>-1.8426895141601563E-2</v>
      </c>
    </row>
    <row r="118" spans="1:24" ht="12" customHeight="1" x14ac:dyDescent="0.25">
      <c r="X118" s="240"/>
    </row>
    <row r="120" spans="1:24" ht="12" customHeight="1" x14ac:dyDescent="0.25">
      <c r="A120" s="23" t="s">
        <v>419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802</v>
      </c>
      <c r="D123" s="97" t="s">
        <v>254</v>
      </c>
      <c r="E123" s="97" t="s">
        <v>2213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262832062.86140576</v>
      </c>
      <c r="H123" s="100">
        <f t="shared" si="48"/>
        <v>77272944.27194646</v>
      </c>
      <c r="I123" s="100">
        <f t="shared" si="48"/>
        <v>7472348.4386462616</v>
      </c>
      <c r="J123" s="100">
        <f t="shared" si="48"/>
        <v>5046371.4622077541</v>
      </c>
      <c r="K123" s="100">
        <f t="shared" si="48"/>
        <v>0</v>
      </c>
      <c r="L123" s="100">
        <f t="shared" si="48"/>
        <v>81342213.338687107</v>
      </c>
      <c r="M123" s="100">
        <f t="shared" si="48"/>
        <v>6403082.3500161096</v>
      </c>
      <c r="N123" s="100">
        <f t="shared" si="48"/>
        <v>57487577.099349096</v>
      </c>
      <c r="O123" s="100">
        <f t="shared" si="48"/>
        <v>144489320.85800219</v>
      </c>
      <c r="P123" s="100">
        <f t="shared" si="48"/>
        <v>49462276.153928496</v>
      </c>
      <c r="Q123" s="100">
        <f t="shared" si="48"/>
        <v>19198720.148222234</v>
      </c>
      <c r="R123" s="100">
        <f t="shared" si="48"/>
        <v>94496.897282173246</v>
      </c>
      <c r="S123" s="100">
        <f t="shared" si="48"/>
        <v>360.53198526729415</v>
      </c>
      <c r="T123" s="100">
        <f t="shared" si="48"/>
        <v>36223.599844218581</v>
      </c>
      <c r="U123" s="100"/>
      <c r="V123" s="102">
        <f t="shared" ref="V123:V129" si="49">SUM(G123:T123)</f>
        <v>711137998.01152301</v>
      </c>
      <c r="W123" s="98" t="str">
        <f t="shared" ref="W123:W129" si="50">IF(ABS(F123-V123)&lt;0.01,"ok","err")</f>
        <v>ok</v>
      </c>
      <c r="X123" s="240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802</v>
      </c>
      <c r="D124" s="97" t="s">
        <v>255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275179072.57667375</v>
      </c>
      <c r="H124" s="101">
        <f t="shared" si="48"/>
        <v>80902980.057025641</v>
      </c>
      <c r="I124" s="101">
        <f t="shared" si="48"/>
        <v>7823375.4699886404</v>
      </c>
      <c r="J124" s="101">
        <f t="shared" si="48"/>
        <v>5283433.8540346818</v>
      </c>
      <c r="K124" s="101">
        <f t="shared" si="48"/>
        <v>0</v>
      </c>
      <c r="L124" s="101">
        <f t="shared" si="48"/>
        <v>85163410.370054483</v>
      </c>
      <c r="M124" s="101">
        <f t="shared" si="48"/>
        <v>6703878.6802758565</v>
      </c>
      <c r="N124" s="101">
        <f t="shared" si="48"/>
        <v>60188159.612857595</v>
      </c>
      <c r="O124" s="101">
        <f t="shared" si="48"/>
        <v>151276967.04151577</v>
      </c>
      <c r="P124" s="101">
        <f t="shared" si="48"/>
        <v>51785855.695796855</v>
      </c>
      <c r="Q124" s="101">
        <f t="shared" si="48"/>
        <v>20100614.618821159</v>
      </c>
      <c r="R124" s="101">
        <f t="shared" si="48"/>
        <v>98936.059293472135</v>
      </c>
      <c r="S124" s="101">
        <f t="shared" si="48"/>
        <v>377.46862487015511</v>
      </c>
      <c r="T124" s="101">
        <f t="shared" si="48"/>
        <v>37925.268713417347</v>
      </c>
      <c r="U124" s="101"/>
      <c r="V124" s="101">
        <f t="shared" si="49"/>
        <v>744544986.77367628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802</v>
      </c>
      <c r="D125" s="97" t="s">
        <v>256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226480299.66759622</v>
      </c>
      <c r="H125" s="101">
        <f t="shared" si="48"/>
        <v>66585481.939987898</v>
      </c>
      <c r="I125" s="101">
        <f t="shared" si="48"/>
        <v>6438863.2618908798</v>
      </c>
      <c r="J125" s="101">
        <f t="shared" si="48"/>
        <v>4348418.1821358819</v>
      </c>
      <c r="K125" s="101">
        <f t="shared" si="48"/>
        <v>0</v>
      </c>
      <c r="L125" s="101">
        <f t="shared" si="48"/>
        <v>70091938.75362815</v>
      </c>
      <c r="M125" s="101">
        <f t="shared" si="48"/>
        <v>5517485.1714824317</v>
      </c>
      <c r="N125" s="101">
        <f t="shared" si="48"/>
        <v>49536588.29474739</v>
      </c>
      <c r="O125" s="101">
        <f t="shared" si="48"/>
        <v>124505299.4312323</v>
      </c>
      <c r="P125" s="101">
        <f t="shared" si="48"/>
        <v>42621250.252448015</v>
      </c>
      <c r="Q125" s="101">
        <f t="shared" si="48"/>
        <v>16543384.566807996</v>
      </c>
      <c r="R125" s="101">
        <f t="shared" si="48"/>
        <v>81427.225358764539</v>
      </c>
      <c r="S125" s="101">
        <f t="shared" si="48"/>
        <v>310.66754631890893</v>
      </c>
      <c r="T125" s="101">
        <f t="shared" si="48"/>
        <v>31213.588092879443</v>
      </c>
      <c r="U125" s="101"/>
      <c r="V125" s="101">
        <f t="shared" si="49"/>
        <v>612781961.00295508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802</v>
      </c>
      <c r="D126" s="97" t="s">
        <v>257</v>
      </c>
      <c r="E126" s="97" t="s">
        <v>409</v>
      </c>
      <c r="F126" s="101">
        <f>VLOOKUP(C126,'Functional Assignment'!$C$1:$AU$771,9,)</f>
        <v>71897457.403322741</v>
      </c>
      <c r="G126" s="101">
        <f t="shared" si="48"/>
        <v>24137272.800717063</v>
      </c>
      <c r="H126" s="101">
        <f t="shared" si="48"/>
        <v>7201220.8470687065</v>
      </c>
      <c r="I126" s="101">
        <f t="shared" si="48"/>
        <v>761927.81854579656</v>
      </c>
      <c r="J126" s="101">
        <f t="shared" si="48"/>
        <v>601695.30585474451</v>
      </c>
      <c r="K126" s="101">
        <f t="shared" si="48"/>
        <v>0</v>
      </c>
      <c r="L126" s="101">
        <f t="shared" si="48"/>
        <v>8222102.46214002</v>
      </c>
      <c r="M126" s="101">
        <f t="shared" si="48"/>
        <v>656336.47016387735</v>
      </c>
      <c r="N126" s="101">
        <f t="shared" si="48"/>
        <v>6142350.0259175533</v>
      </c>
      <c r="O126" s="101">
        <f t="shared" si="48"/>
        <v>15916159.401474023</v>
      </c>
      <c r="P126" s="101">
        <f t="shared" si="48"/>
        <v>5668280.3684282638</v>
      </c>
      <c r="Q126" s="101">
        <f t="shared" si="48"/>
        <v>2092583.3497538613</v>
      </c>
      <c r="R126" s="101">
        <f t="shared" si="48"/>
        <v>489858.42525232612</v>
      </c>
      <c r="S126" s="101">
        <f t="shared" si="48"/>
        <v>1769.9733883402409</v>
      </c>
      <c r="T126" s="101">
        <f t="shared" si="48"/>
        <v>5900.1546181645763</v>
      </c>
      <c r="U126" s="101"/>
      <c r="V126" s="101">
        <f t="shared" si="49"/>
        <v>71897457.403322741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802</v>
      </c>
      <c r="D127" s="97" t="s">
        <v>258</v>
      </c>
      <c r="E127" s="97" t="s">
        <v>409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802</v>
      </c>
      <c r="D128" s="97" t="s">
        <v>259</v>
      </c>
      <c r="E128" s="97" t="s">
        <v>409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420</v>
      </c>
      <c r="F129" s="100">
        <f t="shared" ref="F129:T129" si="52">SUM(F123:F128)</f>
        <v>2140362403.2062368</v>
      </c>
      <c r="G129" s="100">
        <f t="shared" si="52"/>
        <v>788628707.90639281</v>
      </c>
      <c r="H129" s="100">
        <f t="shared" si="52"/>
        <v>231962627.1160287</v>
      </c>
      <c r="I129" s="100">
        <f>SUM(I123:I128)</f>
        <v>22496514.989071578</v>
      </c>
      <c r="J129" s="100">
        <f>SUM(J123:J128)</f>
        <v>15279918.804233063</v>
      </c>
      <c r="K129" s="100">
        <f>SUM(K123:K128)</f>
        <v>0</v>
      </c>
      <c r="L129" s="100">
        <f t="shared" si="52"/>
        <v>244819664.92450976</v>
      </c>
      <c r="M129" s="100">
        <f t="shared" si="52"/>
        <v>19280782.671938278</v>
      </c>
      <c r="N129" s="100">
        <f t="shared" si="52"/>
        <v>173354675.03287163</v>
      </c>
      <c r="O129" s="100">
        <f t="shared" si="52"/>
        <v>436187746.73222423</v>
      </c>
      <c r="P129" s="100">
        <f>SUM(P123:P128)</f>
        <v>149537662.47060162</v>
      </c>
      <c r="Q129" s="100">
        <f t="shared" si="52"/>
        <v>57935302.683605261</v>
      </c>
      <c r="R129" s="100">
        <f t="shared" si="52"/>
        <v>764718.60718673607</v>
      </c>
      <c r="S129" s="100">
        <f t="shared" si="52"/>
        <v>2818.6415447965992</v>
      </c>
      <c r="T129" s="100">
        <f t="shared" si="52"/>
        <v>111262.61126867996</v>
      </c>
      <c r="U129" s="100"/>
      <c r="V129" s="102">
        <f t="shared" si="49"/>
        <v>2140362403.1914771</v>
      </c>
      <c r="W129" s="98" t="str">
        <f t="shared" si="50"/>
        <v>err</v>
      </c>
      <c r="X129" s="240">
        <f t="shared" si="51"/>
        <v>-1.475977897644043E-2</v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460</v>
      </c>
      <c r="F131" s="101"/>
      <c r="G131" s="101"/>
    </row>
    <row r="132" spans="1:25" ht="12" customHeight="1" x14ac:dyDescent="0.25">
      <c r="A132" s="107" t="s">
        <v>2370</v>
      </c>
      <c r="C132" s="97" t="s">
        <v>802</v>
      </c>
      <c r="D132" s="97" t="s">
        <v>260</v>
      </c>
      <c r="E132" s="97" t="s">
        <v>2371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220794889.5456835</v>
      </c>
      <c r="H132" s="100">
        <f t="shared" si="53"/>
        <v>55898667.143922657</v>
      </c>
      <c r="I132" s="100">
        <f t="shared" si="53"/>
        <v>6423113.6236722358</v>
      </c>
      <c r="J132" s="100">
        <f t="shared" si="53"/>
        <v>5396437.3818494938</v>
      </c>
      <c r="K132" s="100">
        <f t="shared" si="53"/>
        <v>0</v>
      </c>
      <c r="L132" s="100">
        <f t="shared" si="53"/>
        <v>46635302.741396628</v>
      </c>
      <c r="M132" s="100">
        <f t="shared" si="53"/>
        <v>3875443.2135086199</v>
      </c>
      <c r="N132" s="100">
        <f t="shared" si="53"/>
        <v>34310196.114740439</v>
      </c>
      <c r="O132" s="100">
        <f t="shared" si="53"/>
        <v>88246751.278293222</v>
      </c>
      <c r="P132" s="100">
        <f t="shared" si="53"/>
        <v>32296706.927593682</v>
      </c>
      <c r="Q132" s="100">
        <f t="shared" si="53"/>
        <v>21354253.703406513</v>
      </c>
      <c r="R132" s="100">
        <f t="shared" si="53"/>
        <v>3829904.4841832095</v>
      </c>
      <c r="S132" s="100">
        <f t="shared" si="53"/>
        <v>16042.132103977972</v>
      </c>
      <c r="T132" s="100">
        <f t="shared" si="53"/>
        <v>24845.0738899887</v>
      </c>
      <c r="U132" s="100"/>
      <c r="V132" s="102">
        <f>SUM(G132:T132)</f>
        <v>519102553.3642441</v>
      </c>
      <c r="W132" s="98" t="str">
        <f>IF(ABS(F132-V132)&lt;0.01,"ok","err")</f>
        <v>ok</v>
      </c>
      <c r="X132" s="240" t="str">
        <f>IF(W132="err",V132-F132,"")</f>
        <v/>
      </c>
    </row>
    <row r="133" spans="1:25" ht="12" hidden="1" customHeight="1" x14ac:dyDescent="0.25">
      <c r="A133" s="107" t="s">
        <v>2369</v>
      </c>
      <c r="C133" s="97" t="s">
        <v>802</v>
      </c>
      <c r="D133" s="97" t="s">
        <v>261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2369</v>
      </c>
      <c r="C134" s="97" t="s">
        <v>802</v>
      </c>
      <c r="D134" s="97" t="s">
        <v>262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462</v>
      </c>
      <c r="D135" s="97" t="s">
        <v>648</v>
      </c>
      <c r="F135" s="100">
        <f>SUM(F132:F134)</f>
        <v>519102553.3642441</v>
      </c>
      <c r="G135" s="100">
        <f t="shared" ref="G135:T135" si="54">SUM(G132:G134)</f>
        <v>220794889.5456835</v>
      </c>
      <c r="H135" s="100">
        <f t="shared" si="54"/>
        <v>55898667.143922657</v>
      </c>
      <c r="I135" s="100">
        <f>SUM(I132:I134)</f>
        <v>6423113.6236722358</v>
      </c>
      <c r="J135" s="100">
        <f>SUM(J132:J134)</f>
        <v>5396437.3818494938</v>
      </c>
      <c r="K135" s="100">
        <f>SUM(K132:K134)</f>
        <v>0</v>
      </c>
      <c r="L135" s="100">
        <f t="shared" si="54"/>
        <v>46635302.741396628</v>
      </c>
      <c r="M135" s="100">
        <f t="shared" si="54"/>
        <v>3875443.2135086199</v>
      </c>
      <c r="N135" s="100">
        <f t="shared" si="54"/>
        <v>34310196.114740439</v>
      </c>
      <c r="O135" s="100">
        <f t="shared" si="54"/>
        <v>88246751.278293222</v>
      </c>
      <c r="P135" s="100">
        <f>SUM(P132:P134)</f>
        <v>32296706.927593682</v>
      </c>
      <c r="Q135" s="100">
        <f t="shared" si="54"/>
        <v>21354253.703406513</v>
      </c>
      <c r="R135" s="100">
        <f t="shared" si="54"/>
        <v>3829904.4841832095</v>
      </c>
      <c r="S135" s="100">
        <f t="shared" si="54"/>
        <v>16042.132103977972</v>
      </c>
      <c r="T135" s="100">
        <f t="shared" si="54"/>
        <v>24845.0738899887</v>
      </c>
      <c r="U135" s="100"/>
      <c r="V135" s="102">
        <f>SUM(G135:T135)</f>
        <v>519102553.3642441</v>
      </c>
      <c r="W135" s="98" t="str">
        <f>IF(ABS(F135-V135)&lt;0.01,"ok","err")</f>
        <v>ok</v>
      </c>
      <c r="X135" s="240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1693</v>
      </c>
      <c r="F137" s="101"/>
      <c r="G137" s="101"/>
    </row>
    <row r="138" spans="1:25" ht="12" customHeight="1" x14ac:dyDescent="0.25">
      <c r="A138" s="107" t="s">
        <v>157</v>
      </c>
      <c r="C138" s="97" t="s">
        <v>802</v>
      </c>
      <c r="D138" s="97" t="s">
        <v>649</v>
      </c>
      <c r="E138" s="97" t="s">
        <v>2375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1694</v>
      </c>
      <c r="F140" s="101"/>
      <c r="G140" s="101"/>
    </row>
    <row r="141" spans="1:25" ht="12" customHeight="1" x14ac:dyDescent="0.25">
      <c r="A141" s="107" t="s">
        <v>159</v>
      </c>
      <c r="C141" s="97" t="s">
        <v>802</v>
      </c>
      <c r="D141" s="97" t="s">
        <v>650</v>
      </c>
      <c r="E141" s="97" t="s">
        <v>2375</v>
      </c>
      <c r="F141" s="100">
        <f>VLOOKUP(C141,'Functional Assignment'!$C$1:$AU$771,18,)</f>
        <v>117648308.97873548</v>
      </c>
      <c r="G141" s="100">
        <f t="shared" ref="G141:T141" si="56">IF(VLOOKUP($E141,$D$5:$AJ$946,3,)=0,0,(VLOOKUP($E141,$D$5:$AJ$946,G$1,)/VLOOKUP($E141,$D$5:$AJ$946,3,))*$F141)</f>
        <v>55808478.887478195</v>
      </c>
      <c r="H141" s="100">
        <f t="shared" si="56"/>
        <v>14129038.908277426</v>
      </c>
      <c r="I141" s="100">
        <f t="shared" si="56"/>
        <v>1623516.7480378554</v>
      </c>
      <c r="J141" s="100">
        <f t="shared" si="56"/>
        <v>1364012.3750700885</v>
      </c>
      <c r="K141" s="100">
        <f t="shared" si="56"/>
        <v>0</v>
      </c>
      <c r="L141" s="100">
        <f t="shared" si="56"/>
        <v>11787615.708903844</v>
      </c>
      <c r="M141" s="100">
        <f t="shared" si="56"/>
        <v>979563.39118966158</v>
      </c>
      <c r="N141" s="100">
        <f t="shared" si="56"/>
        <v>8672301.5167366341</v>
      </c>
      <c r="O141" s="100">
        <f t="shared" si="56"/>
        <v>22305393.778528459</v>
      </c>
      <c r="P141" s="100">
        <f t="shared" si="56"/>
        <v>0</v>
      </c>
      <c r="Q141" s="100">
        <f t="shared" si="56"/>
        <v>0</v>
      </c>
      <c r="R141" s="100">
        <f t="shared" si="56"/>
        <v>968052.94717825751</v>
      </c>
      <c r="S141" s="100">
        <f t="shared" si="56"/>
        <v>4054.8356561928122</v>
      </c>
      <c r="T141" s="100">
        <f t="shared" si="56"/>
        <v>6279.8816788754675</v>
      </c>
      <c r="U141" s="100"/>
      <c r="V141" s="102">
        <f>SUM(G141:T141)</f>
        <v>117648308.97873552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818</v>
      </c>
      <c r="C144" s="97" t="s">
        <v>802</v>
      </c>
      <c r="D144" s="97" t="s">
        <v>651</v>
      </c>
      <c r="E144" s="97" t="s">
        <v>2375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819</v>
      </c>
      <c r="C145" s="97" t="s">
        <v>802</v>
      </c>
      <c r="D145" s="97" t="s">
        <v>652</v>
      </c>
      <c r="E145" s="97" t="s">
        <v>2375</v>
      </c>
      <c r="F145" s="101">
        <f>VLOOKUP(C145,'Functional Assignment'!$C$1:$AU$771,20,)</f>
        <v>128492991.12166929</v>
      </c>
      <c r="G145" s="101">
        <f t="shared" si="57"/>
        <v>60952838.544400476</v>
      </c>
      <c r="H145" s="101">
        <f t="shared" si="57"/>
        <v>15431437.024115266</v>
      </c>
      <c r="I145" s="101">
        <f t="shared" si="57"/>
        <v>1773170.6040009058</v>
      </c>
      <c r="J145" s="101">
        <f t="shared" si="57"/>
        <v>1489745.4244872031</v>
      </c>
      <c r="K145" s="101">
        <f t="shared" si="57"/>
        <v>0</v>
      </c>
      <c r="L145" s="101">
        <f t="shared" si="57"/>
        <v>12874184.20016215</v>
      </c>
      <c r="M145" s="101">
        <f t="shared" si="57"/>
        <v>1069858.3874248075</v>
      </c>
      <c r="N145" s="101">
        <f t="shared" si="57"/>
        <v>9471704.0259022396</v>
      </c>
      <c r="O145" s="101">
        <f t="shared" si="57"/>
        <v>24361478.627523918</v>
      </c>
      <c r="P145" s="101">
        <f t="shared" si="57"/>
        <v>0</v>
      </c>
      <c r="Q145" s="101">
        <f t="shared" si="57"/>
        <v>0</v>
      </c>
      <c r="R145" s="101">
        <f t="shared" si="57"/>
        <v>1057286.924281796</v>
      </c>
      <c r="S145" s="101">
        <f t="shared" si="57"/>
        <v>4428.6056169764688</v>
      </c>
      <c r="T145" s="101">
        <f t="shared" si="57"/>
        <v>6858.7537535684187</v>
      </c>
      <c r="U145" s="101"/>
      <c r="V145" s="101">
        <f t="shared" si="58"/>
        <v>128492991.12166932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820</v>
      </c>
      <c r="C146" s="97" t="s">
        <v>802</v>
      </c>
      <c r="D146" s="97" t="s">
        <v>653</v>
      </c>
      <c r="E146" s="97" t="s">
        <v>939</v>
      </c>
      <c r="F146" s="101">
        <f>VLOOKUP(C146,'Functional Assignment'!$C$1:$AU$771,21,)</f>
        <v>237858859.69578904</v>
      </c>
      <c r="G146" s="101">
        <f t="shared" si="57"/>
        <v>190064449.49105686</v>
      </c>
      <c r="H146" s="101">
        <f t="shared" si="57"/>
        <v>36774296.601266548</v>
      </c>
      <c r="I146" s="101">
        <f t="shared" si="57"/>
        <v>90910.788559336012</v>
      </c>
      <c r="J146" s="101">
        <f t="shared" si="57"/>
        <v>261699.50298876822</v>
      </c>
      <c r="K146" s="101">
        <f t="shared" si="57"/>
        <v>0</v>
      </c>
      <c r="L146" s="101">
        <f t="shared" si="57"/>
        <v>1932957.543154814</v>
      </c>
      <c r="M146" s="101">
        <f t="shared" si="57"/>
        <v>76347.409809539473</v>
      </c>
      <c r="N146" s="101">
        <f t="shared" si="57"/>
        <v>236103.26154973186</v>
      </c>
      <c r="O146" s="101">
        <f t="shared" si="57"/>
        <v>122244.11859677706</v>
      </c>
      <c r="P146" s="101">
        <f t="shared" si="57"/>
        <v>0</v>
      </c>
      <c r="Q146" s="101">
        <f t="shared" si="57"/>
        <v>0</v>
      </c>
      <c r="R146" s="101">
        <f t="shared" si="57"/>
        <v>8261603.7214839095</v>
      </c>
      <c r="S146" s="101">
        <f t="shared" si="57"/>
        <v>196.13978114204099</v>
      </c>
      <c r="T146" s="101">
        <f t="shared" si="57"/>
        <v>38051.117541555963</v>
      </c>
      <c r="U146" s="101"/>
      <c r="V146" s="101">
        <f t="shared" si="58"/>
        <v>237858859.69578898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821</v>
      </c>
      <c r="C147" s="97" t="s">
        <v>802</v>
      </c>
      <c r="D147" s="97" t="s">
        <v>654</v>
      </c>
      <c r="E147" s="97" t="s">
        <v>758</v>
      </c>
      <c r="F147" s="101">
        <f>VLOOKUP(C147,'Functional Assignment'!$C$1:$AU$771,22,)</f>
        <v>59228567.147904932</v>
      </c>
      <c r="G147" s="101">
        <f t="shared" si="57"/>
        <v>48727385.034337118</v>
      </c>
      <c r="H147" s="101">
        <f t="shared" si="57"/>
        <v>8775557.5622948371</v>
      </c>
      <c r="I147" s="101">
        <f t="shared" si="57"/>
        <v>733697.72035101976</v>
      </c>
      <c r="J147" s="101">
        <f t="shared" si="57"/>
        <v>616416.75119501259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371546.22963229613</v>
      </c>
      <c r="S147" s="101">
        <f t="shared" si="57"/>
        <v>1556.2773753527124</v>
      </c>
      <c r="T147" s="101">
        <f t="shared" si="57"/>
        <v>2407.5727192987752</v>
      </c>
      <c r="U147" s="101"/>
      <c r="V147" s="101">
        <f t="shared" si="58"/>
        <v>59228567.14790494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822</v>
      </c>
      <c r="C148" s="97" t="s">
        <v>802</v>
      </c>
      <c r="D148" s="97" t="s">
        <v>655</v>
      </c>
      <c r="E148" s="97" t="s">
        <v>938</v>
      </c>
      <c r="F148" s="101">
        <f>VLOOKUP(C148,'Functional Assignment'!$C$1:$AU$771,23,)</f>
        <v>90497598.872227833</v>
      </c>
      <c r="G148" s="101">
        <f t="shared" si="57"/>
        <v>73040418.37715967</v>
      </c>
      <c r="H148" s="101">
        <f t="shared" si="57"/>
        <v>14132101.066110501</v>
      </c>
      <c r="I148" s="101">
        <f t="shared" si="57"/>
        <v>34936.370526692546</v>
      </c>
      <c r="J148" s="101">
        <f t="shared" si="57"/>
        <v>100569.26078800332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3174875.6482304567</v>
      </c>
      <c r="S148" s="101">
        <f t="shared" si="57"/>
        <v>75.375125192432677</v>
      </c>
      <c r="T148" s="101">
        <f t="shared" si="57"/>
        <v>14622.77428733194</v>
      </c>
      <c r="U148" s="101"/>
      <c r="V148" s="101">
        <f t="shared" si="58"/>
        <v>90497598.872227862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656</v>
      </c>
      <c r="F149" s="100">
        <f>SUM(F144:F148)</f>
        <v>516078016.83759111</v>
      </c>
      <c r="G149" s="100">
        <f t="shared" ref="G149:T149" si="61">SUM(G144:G148)</f>
        <v>372785091.44695413</v>
      </c>
      <c r="H149" s="100">
        <f t="shared" si="61"/>
        <v>75113392.25378716</v>
      </c>
      <c r="I149" s="100">
        <f>SUM(I144:I148)</f>
        <v>2632715.483437954</v>
      </c>
      <c r="J149" s="100">
        <f>SUM(J144:J148)</f>
        <v>2468430.9394589872</v>
      </c>
      <c r="K149" s="100">
        <f>SUM(K144:K148)</f>
        <v>0</v>
      </c>
      <c r="L149" s="100">
        <f t="shared" si="61"/>
        <v>14807141.743316963</v>
      </c>
      <c r="M149" s="100">
        <f t="shared" si="61"/>
        <v>1146205.7972343471</v>
      </c>
      <c r="N149" s="100">
        <f t="shared" si="61"/>
        <v>9707807.2874519713</v>
      </c>
      <c r="O149" s="100">
        <f t="shared" si="61"/>
        <v>24483722.746120695</v>
      </c>
      <c r="P149" s="100">
        <f>SUM(P144:P148)</f>
        <v>0</v>
      </c>
      <c r="Q149" s="100">
        <f t="shared" si="61"/>
        <v>0</v>
      </c>
      <c r="R149" s="100">
        <f t="shared" si="61"/>
        <v>12865312.523628458</v>
      </c>
      <c r="S149" s="100">
        <f t="shared" si="61"/>
        <v>6256.3978986636548</v>
      </c>
      <c r="T149" s="100">
        <f t="shared" si="61"/>
        <v>61940.2183017551</v>
      </c>
      <c r="U149" s="100"/>
      <c r="V149" s="102">
        <f t="shared" si="58"/>
        <v>516078016.83759111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817</v>
      </c>
      <c r="F151" s="101"/>
    </row>
    <row r="152" spans="1:24" ht="12" customHeight="1" x14ac:dyDescent="0.25">
      <c r="A152" s="107" t="s">
        <v>408</v>
      </c>
      <c r="C152" s="97" t="s">
        <v>802</v>
      </c>
      <c r="D152" s="97" t="s">
        <v>657</v>
      </c>
      <c r="E152" s="97" t="s">
        <v>2281</v>
      </c>
      <c r="F152" s="100">
        <f>VLOOKUP(C152,'Functional Assignment'!$C$1:$AU$771,24,)</f>
        <v>91286845.786817849</v>
      </c>
      <c r="G152" s="100">
        <f t="shared" ref="G152:T153" si="62">IF(VLOOKUP($E152,$D$5:$AJ$946,3,)=0,0,(VLOOKUP($E152,$D$5:$AJ$946,G$1,)/VLOOKUP($E152,$D$5:$AJ$946,3,))*$F152)</f>
        <v>63333760.619220465</v>
      </c>
      <c r="H152" s="100">
        <f t="shared" si="62"/>
        <v>11406092.519820606</v>
      </c>
      <c r="I152" s="100">
        <f t="shared" si="62"/>
        <v>953628.76039488649</v>
      </c>
      <c r="J152" s="100">
        <f t="shared" si="62"/>
        <v>801191.9977719282</v>
      </c>
      <c r="K152" s="100">
        <f t="shared" si="62"/>
        <v>0</v>
      </c>
      <c r="L152" s="100">
        <f t="shared" si="62"/>
        <v>8563069.3721603304</v>
      </c>
      <c r="M152" s="100">
        <f t="shared" si="62"/>
        <v>0</v>
      </c>
      <c r="N152" s="100">
        <f t="shared" si="62"/>
        <v>5741030.6563643049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482919.8191104178</v>
      </c>
      <c r="S152" s="100">
        <f t="shared" si="62"/>
        <v>2022.7824390379433</v>
      </c>
      <c r="T152" s="100">
        <f t="shared" si="62"/>
        <v>3129.2595358848939</v>
      </c>
      <c r="U152" s="100"/>
      <c r="V152" s="102">
        <f>SUM(G152:T152)</f>
        <v>91286845.786817864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411</v>
      </c>
      <c r="C153" s="97" t="s">
        <v>802</v>
      </c>
      <c r="D153" s="97" t="s">
        <v>658</v>
      </c>
      <c r="E153" s="97" t="s">
        <v>2280</v>
      </c>
      <c r="F153" s="101">
        <f>VLOOKUP(C153,'Functional Assignment'!$C$1:$AU$771,25,)</f>
        <v>81234285.357390851</v>
      </c>
      <c r="G153" s="101">
        <f t="shared" si="62"/>
        <v>64965632.856131375</v>
      </c>
      <c r="H153" s="101">
        <f t="shared" si="62"/>
        <v>12569764.929410305</v>
      </c>
      <c r="I153" s="101">
        <f t="shared" si="62"/>
        <v>31074.074757389659</v>
      </c>
      <c r="J153" s="101">
        <f t="shared" si="62"/>
        <v>89451.098694815853</v>
      </c>
      <c r="K153" s="101">
        <f t="shared" si="62"/>
        <v>0</v>
      </c>
      <c r="L153" s="101">
        <f t="shared" si="62"/>
        <v>660701.20115226565</v>
      </c>
      <c r="M153" s="101">
        <f t="shared" si="62"/>
        <v>0</v>
      </c>
      <c r="N153" s="101">
        <f t="shared" si="62"/>
        <v>80702.087355356634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2823885.8745544981</v>
      </c>
      <c r="S153" s="101">
        <f t="shared" si="62"/>
        <v>67.042232486277584</v>
      </c>
      <c r="T153" s="101">
        <f t="shared" si="62"/>
        <v>13006.193102337851</v>
      </c>
      <c r="U153" s="101"/>
      <c r="V153" s="101">
        <f>SUM(G153:T153)</f>
        <v>81234285.357390836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1532</v>
      </c>
      <c r="D154" s="97" t="s">
        <v>659</v>
      </c>
      <c r="F154" s="100">
        <f t="shared" ref="F154:T154" si="63">F152+F153</f>
        <v>172521131.1442087</v>
      </c>
      <c r="G154" s="100">
        <f t="shared" si="63"/>
        <v>128299393.47535184</v>
      </c>
      <c r="H154" s="100">
        <f t="shared" si="63"/>
        <v>23975857.449230909</v>
      </c>
      <c r="I154" s="100">
        <f>I152+I153</f>
        <v>984702.83515227609</v>
      </c>
      <c r="J154" s="100">
        <f>J152+J153</f>
        <v>890643.09646674409</v>
      </c>
      <c r="K154" s="100">
        <f>K152+K153</f>
        <v>0</v>
      </c>
      <c r="L154" s="100">
        <f t="shared" si="63"/>
        <v>9223770.5733125955</v>
      </c>
      <c r="M154" s="100">
        <f t="shared" si="63"/>
        <v>0</v>
      </c>
      <c r="N154" s="100">
        <f t="shared" si="63"/>
        <v>5821732.7437196616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3306805.6936649159</v>
      </c>
      <c r="S154" s="100">
        <f t="shared" si="63"/>
        <v>2089.8246715242208</v>
      </c>
      <c r="T154" s="100">
        <f t="shared" si="63"/>
        <v>16135.452638222745</v>
      </c>
      <c r="U154" s="100"/>
      <c r="V154" s="102">
        <f>SUM(G154:T154)</f>
        <v>172521131.14420867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411</v>
      </c>
      <c r="C157" s="97" t="s">
        <v>802</v>
      </c>
      <c r="D157" s="97" t="s">
        <v>660</v>
      </c>
      <c r="E157" s="97" t="s">
        <v>412</v>
      </c>
      <c r="F157" s="100">
        <f>VLOOKUP(C157,'Functional Assignment'!$C$1:$AU$771,26,)</f>
        <v>54380433.830800563</v>
      </c>
      <c r="G157" s="100">
        <f t="shared" ref="G157:T157" si="64">IF(VLOOKUP($E157,$D$5:$AJ$946,3,)=0,0,(VLOOKUP($E157,$D$5:$AJ$946,G$1,)/VLOOKUP($E157,$D$5:$AJ$946,3,))*$F157)</f>
        <v>38136748.064759143</v>
      </c>
      <c r="H157" s="100">
        <f t="shared" si="64"/>
        <v>14938227.562707497</v>
      </c>
      <c r="I157" s="100">
        <f t="shared" si="64"/>
        <v>49131.529720086975</v>
      </c>
      <c r="J157" s="100">
        <f t="shared" si="64"/>
        <v>141471.77530241874</v>
      </c>
      <c r="K157" s="100">
        <f t="shared" si="64"/>
        <v>0</v>
      </c>
      <c r="L157" s="100">
        <f t="shared" si="64"/>
        <v>987196.39693919115</v>
      </c>
      <c r="M157" s="100">
        <f t="shared" si="64"/>
        <v>0</v>
      </c>
      <c r="N157" s="100">
        <f t="shared" si="64"/>
        <v>127658.50137221627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54380433.830800556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411</v>
      </c>
      <c r="C160" s="97" t="s">
        <v>802</v>
      </c>
      <c r="D160" s="97" t="s">
        <v>661</v>
      </c>
      <c r="E160" s="97" t="s">
        <v>413</v>
      </c>
      <c r="F160" s="100">
        <f>VLOOKUP(C160,'Functional Assignment'!$C$1:$AU$771,27,)</f>
        <v>47701573.839166075</v>
      </c>
      <c r="G160" s="100">
        <f t="shared" ref="G160:T160" si="65">IF(VLOOKUP($E160,$D$5:$AJ$946,3,)=0,0,(VLOOKUP($E160,$D$5:$AJ$946,G$1,)/VLOOKUP($E160,$D$5:$AJ$946,3,))*$F160)</f>
        <v>29647924.025475632</v>
      </c>
      <c r="H160" s="100">
        <f t="shared" si="65"/>
        <v>11049713.636399636</v>
      </c>
      <c r="I160" s="100">
        <f t="shared" si="65"/>
        <v>151260.05012313594</v>
      </c>
      <c r="J160" s="100">
        <f t="shared" si="65"/>
        <v>234382.14668514868</v>
      </c>
      <c r="K160" s="100">
        <f t="shared" si="65"/>
        <v>0</v>
      </c>
      <c r="L160" s="100">
        <f t="shared" si="65"/>
        <v>2913208.0488410997</v>
      </c>
      <c r="M160" s="100">
        <f t="shared" si="65"/>
        <v>660338.98923864763</v>
      </c>
      <c r="N160" s="100">
        <f t="shared" si="65"/>
        <v>480867.91473567858</v>
      </c>
      <c r="O160" s="100">
        <f t="shared" si="65"/>
        <v>1467191.0484362203</v>
      </c>
      <c r="P160" s="100">
        <f t="shared" si="65"/>
        <v>1000641.1994694133</v>
      </c>
      <c r="Q160" s="100">
        <f t="shared" si="65"/>
        <v>42351.529849798622</v>
      </c>
      <c r="R160" s="100">
        <f t="shared" si="65"/>
        <v>0</v>
      </c>
      <c r="S160" s="100">
        <f t="shared" si="65"/>
        <v>275.36025595723612</v>
      </c>
      <c r="T160" s="100">
        <f t="shared" si="65"/>
        <v>53419.889655703817</v>
      </c>
      <c r="U160" s="100"/>
      <c r="V160" s="102">
        <f>SUM(G160:T160)</f>
        <v>47701573.839166053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411</v>
      </c>
      <c r="C163" s="97" t="s">
        <v>802</v>
      </c>
      <c r="D163" s="97" t="s">
        <v>662</v>
      </c>
      <c r="E163" s="97" t="s">
        <v>414</v>
      </c>
      <c r="F163" s="100">
        <f>VLOOKUP(C163,'Functional Assignment'!$C$1:$AU$771,28,)</f>
        <v>64342233.250113457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64342233.250113457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64342233.250113457</v>
      </c>
      <c r="W163" s="98" t="str">
        <f>IF(ABS(F163-V163)&lt;0.01,"ok","err")</f>
        <v>ok</v>
      </c>
      <c r="X163" s="102" t="str">
        <f>IF(W163="err",V163-F163,"")</f>
        <v/>
      </c>
      <c r="Z163" s="232"/>
    </row>
    <row r="164" spans="1:26" ht="12" customHeight="1" x14ac:dyDescent="0.25">
      <c r="F164" s="101"/>
    </row>
    <row r="165" spans="1:26" ht="12" customHeight="1" x14ac:dyDescent="0.25">
      <c r="A165" s="24" t="s">
        <v>308</v>
      </c>
      <c r="F165" s="101"/>
    </row>
    <row r="166" spans="1:26" ht="12" customHeight="1" x14ac:dyDescent="0.25">
      <c r="A166" s="107" t="s">
        <v>411</v>
      </c>
      <c r="C166" s="97" t="s">
        <v>802</v>
      </c>
      <c r="D166" s="97" t="s">
        <v>663</v>
      </c>
      <c r="E166" s="97" t="s">
        <v>415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3974831.1097560865</v>
      </c>
      <c r="H166" s="100">
        <f t="shared" si="67"/>
        <v>1538126.8676127638</v>
      </c>
      <c r="I166" s="100">
        <f t="shared" si="67"/>
        <v>24826.658629518744</v>
      </c>
      <c r="J166" s="100">
        <f t="shared" si="67"/>
        <v>54729.399878455813</v>
      </c>
      <c r="K166" s="100">
        <f t="shared" si="67"/>
        <v>0</v>
      </c>
      <c r="L166" s="100">
        <f t="shared" si="67"/>
        <v>202120.38066411173</v>
      </c>
      <c r="M166" s="100">
        <f t="shared" si="67"/>
        <v>7983.2935741761021</v>
      </c>
      <c r="N166" s="100">
        <f t="shared" si="67"/>
        <v>123441.10006312758</v>
      </c>
      <c r="O166" s="100">
        <f t="shared" si="67"/>
        <v>63912.494799039894</v>
      </c>
      <c r="P166" s="100">
        <f t="shared" si="67"/>
        <v>5537.5446757290874</v>
      </c>
      <c r="Q166" s="100">
        <f t="shared" si="67"/>
        <v>461.46205631075736</v>
      </c>
      <c r="R166" s="100">
        <f t="shared" si="67"/>
        <v>172771.39388274754</v>
      </c>
      <c r="S166" s="100">
        <f t="shared" si="67"/>
        <v>0</v>
      </c>
      <c r="T166" s="100">
        <f t="shared" si="67"/>
        <v>793.71473685450269</v>
      </c>
      <c r="U166" s="100"/>
      <c r="V166" s="102">
        <f>SUM(G166:T166)</f>
        <v>6169535.4203289235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1696</v>
      </c>
      <c r="F168" s="101"/>
    </row>
    <row r="169" spans="1:26" ht="12" customHeight="1" x14ac:dyDescent="0.25">
      <c r="A169" s="107" t="s">
        <v>411</v>
      </c>
      <c r="C169" s="97" t="s">
        <v>802</v>
      </c>
      <c r="D169" s="97" t="s">
        <v>664</v>
      </c>
      <c r="E169" s="97" t="s">
        <v>415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498385.67465845705</v>
      </c>
      <c r="H169" s="100">
        <f t="shared" si="68"/>
        <v>192858.60844349873</v>
      </c>
      <c r="I169" s="100">
        <f t="shared" si="68"/>
        <v>3112.8998110682451</v>
      </c>
      <c r="J169" s="100">
        <f t="shared" si="68"/>
        <v>6862.2661262582496</v>
      </c>
      <c r="K169" s="100">
        <f t="shared" si="68"/>
        <v>0</v>
      </c>
      <c r="L169" s="100">
        <f t="shared" si="68"/>
        <v>25342.938982302814</v>
      </c>
      <c r="M169" s="100">
        <f t="shared" si="68"/>
        <v>1000.9882292096772</v>
      </c>
      <c r="N169" s="100">
        <f t="shared" si="68"/>
        <v>15477.708168415529</v>
      </c>
      <c r="O169" s="100">
        <f t="shared" si="68"/>
        <v>8013.6918928057985</v>
      </c>
      <c r="P169" s="100">
        <f t="shared" si="68"/>
        <v>694.32709540555641</v>
      </c>
      <c r="Q169" s="100">
        <f t="shared" si="68"/>
        <v>57.860591283796374</v>
      </c>
      <c r="R169" s="100">
        <f t="shared" si="68"/>
        <v>21663.005376653364</v>
      </c>
      <c r="S169" s="100">
        <f t="shared" si="68"/>
        <v>0</v>
      </c>
      <c r="T169" s="100">
        <f t="shared" si="68"/>
        <v>99.520217008129762</v>
      </c>
      <c r="U169" s="100"/>
      <c r="V169" s="102">
        <f>SUM(G169:T169)</f>
        <v>773569.48959236685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1695</v>
      </c>
      <c r="F171" s="101"/>
    </row>
    <row r="172" spans="1:26" ht="12" customHeight="1" x14ac:dyDescent="0.25">
      <c r="A172" s="107" t="s">
        <v>411</v>
      </c>
      <c r="C172" s="97" t="s">
        <v>802</v>
      </c>
      <c r="D172" s="97" t="s">
        <v>665</v>
      </c>
      <c r="E172" s="97" t="s">
        <v>416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421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1638574450.1365099</v>
      </c>
      <c r="H174" s="100">
        <f t="shared" si="70"/>
        <v>428798509.54641026</v>
      </c>
      <c r="I174" s="100">
        <f>I129+I135+I138+I141+I149+I154+I157+I160+I163+I166+I169+I172</f>
        <v>34388894.817655712</v>
      </c>
      <c r="J174" s="100">
        <f>J129+J135+J138+J141+J149+J154+J157+J160+J163+J166+J169+J172</f>
        <v>25836888.185070656</v>
      </c>
      <c r="K174" s="100">
        <f>K129+K135+K138+K141+K149+K154+K157+K160+K163+K166+K169+K172</f>
        <v>0</v>
      </c>
      <c r="L174" s="100">
        <f t="shared" si="70"/>
        <v>331401363.4568665</v>
      </c>
      <c r="M174" s="100">
        <f t="shared" si="70"/>
        <v>25951318.344912939</v>
      </c>
      <c r="N174" s="100">
        <f t="shared" si="70"/>
        <v>232614157.91985977</v>
      </c>
      <c r="O174" s="100">
        <f>O129+O135+O138+O141+O149+O154+O157+O160+O163+O166+O169+O172</f>
        <v>572762731.77029467</v>
      </c>
      <c r="P174" s="100">
        <f>P129+P135+P138+P141+P149+P154+P157+P160+P163+P166+P169+P172</f>
        <v>182841242.46943587</v>
      </c>
      <c r="Q174" s="100">
        <f t="shared" si="70"/>
        <v>79332427.23950915</v>
      </c>
      <c r="R174" s="100">
        <f t="shared" si="70"/>
        <v>86271461.905214444</v>
      </c>
      <c r="S174" s="100">
        <f t="shared" si="70"/>
        <v>31537.192131112493</v>
      </c>
      <c r="T174" s="100">
        <f t="shared" si="70"/>
        <v>274776.36238708842</v>
      </c>
      <c r="U174" s="100"/>
      <c r="V174" s="102">
        <f>SUM(G174:T174)</f>
        <v>3639079759.3462582</v>
      </c>
      <c r="W174" s="98" t="str">
        <f>IF(ABS(F174-V174)&lt;0.01,"ok","err")</f>
        <v>err</v>
      </c>
      <c r="X174" s="240">
        <f>IF(W174="err",V174-F174,"")</f>
        <v>-1.4760017395019531E-2</v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793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838</v>
      </c>
      <c r="D180" s="97" t="s">
        <v>666</v>
      </c>
      <c r="E180" s="97" t="s">
        <v>2213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13906052.192019474</v>
      </c>
      <c r="H180" s="100">
        <f t="shared" si="71"/>
        <v>4088396.158285026</v>
      </c>
      <c r="I180" s="100">
        <f t="shared" si="71"/>
        <v>395350.80405910552</v>
      </c>
      <c r="J180" s="100">
        <f t="shared" si="71"/>
        <v>266995.98279522982</v>
      </c>
      <c r="K180" s="100">
        <f t="shared" si="71"/>
        <v>0</v>
      </c>
      <c r="L180" s="100">
        <f t="shared" si="71"/>
        <v>4303695.1115763709</v>
      </c>
      <c r="M180" s="100">
        <f t="shared" si="71"/>
        <v>338777.53109625494</v>
      </c>
      <c r="N180" s="100">
        <f t="shared" si="71"/>
        <v>3041581.9091213299</v>
      </c>
      <c r="O180" s="100">
        <f t="shared" si="71"/>
        <v>7644714.328861542</v>
      </c>
      <c r="P180" s="100">
        <f t="shared" si="71"/>
        <v>2616975.2131622825</v>
      </c>
      <c r="Q180" s="100">
        <f t="shared" si="71"/>
        <v>1015775.6306236309</v>
      </c>
      <c r="R180" s="100">
        <f t="shared" si="71"/>
        <v>4999.6898068053915</v>
      </c>
      <c r="S180" s="100">
        <f t="shared" si="71"/>
        <v>19.075209277884419</v>
      </c>
      <c r="T180" s="100">
        <f t="shared" si="71"/>
        <v>1916.5366071876588</v>
      </c>
      <c r="U180" s="100"/>
      <c r="V180" s="102">
        <f t="shared" ref="V180:V186" si="72">SUM(G180:T180)</f>
        <v>37625250.16322352</v>
      </c>
      <c r="W180" s="98" t="str">
        <f t="shared" ref="W180:W186" si="73">IF(ABS(F180-V180)&lt;0.01,"ok","err")</f>
        <v>ok</v>
      </c>
      <c r="X180" s="240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838</v>
      </c>
      <c r="D181" s="97" t="s">
        <v>667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13287363.25905345</v>
      </c>
      <c r="H181" s="101">
        <f t="shared" si="71"/>
        <v>3906500.8639351763</v>
      </c>
      <c r="I181" s="101">
        <f t="shared" si="71"/>
        <v>377761.40027051908</v>
      </c>
      <c r="J181" s="101">
        <f t="shared" si="71"/>
        <v>255117.16503869969</v>
      </c>
      <c r="K181" s="101">
        <f t="shared" si="71"/>
        <v>0</v>
      </c>
      <c r="L181" s="101">
        <f t="shared" si="71"/>
        <v>4112221.0325476485</v>
      </c>
      <c r="M181" s="101">
        <f t="shared" si="71"/>
        <v>323705.10749733506</v>
      </c>
      <c r="N181" s="101">
        <f t="shared" si="71"/>
        <v>2906260.0334445667</v>
      </c>
      <c r="O181" s="101">
        <f t="shared" si="71"/>
        <v>7304596.2216054983</v>
      </c>
      <c r="P181" s="101">
        <f t="shared" si="71"/>
        <v>2500544.3541468759</v>
      </c>
      <c r="Q181" s="101">
        <f t="shared" si="71"/>
        <v>970583.13944313012</v>
      </c>
      <c r="R181" s="101">
        <f t="shared" si="71"/>
        <v>4777.2504898072348</v>
      </c>
      <c r="S181" s="101">
        <f t="shared" si="71"/>
        <v>18.226541323005698</v>
      </c>
      <c r="T181" s="101">
        <f t="shared" si="71"/>
        <v>1831.2686985017026</v>
      </c>
      <c r="U181" s="101"/>
      <c r="V181" s="101">
        <f t="shared" si="72"/>
        <v>35951279.322712533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838</v>
      </c>
      <c r="D182" s="97" t="s">
        <v>668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13280849.697409008</v>
      </c>
      <c r="H182" s="101">
        <f t="shared" si="71"/>
        <v>3904585.8689361517</v>
      </c>
      <c r="I182" s="101">
        <f t="shared" si="71"/>
        <v>377576.21889784333</v>
      </c>
      <c r="J182" s="101">
        <f t="shared" si="71"/>
        <v>254992.10475784203</v>
      </c>
      <c r="K182" s="101">
        <f t="shared" si="71"/>
        <v>0</v>
      </c>
      <c r="L182" s="101">
        <f t="shared" si="71"/>
        <v>4110205.1920329533</v>
      </c>
      <c r="M182" s="101">
        <f t="shared" si="71"/>
        <v>323546.42491063988</v>
      </c>
      <c r="N182" s="101">
        <f t="shared" si="71"/>
        <v>2904835.3637404609</v>
      </c>
      <c r="O182" s="101">
        <f t="shared" si="71"/>
        <v>7301015.4556664946</v>
      </c>
      <c r="P182" s="101">
        <f t="shared" si="71"/>
        <v>2499318.56920536</v>
      </c>
      <c r="Q182" s="101">
        <f t="shared" si="71"/>
        <v>970107.35256302718</v>
      </c>
      <c r="R182" s="101">
        <f t="shared" si="71"/>
        <v>4774.9086470390612</v>
      </c>
      <c r="S182" s="101">
        <f t="shared" si="71"/>
        <v>18.217606540524194</v>
      </c>
      <c r="T182" s="101">
        <f t="shared" si="71"/>
        <v>1830.3709973308476</v>
      </c>
      <c r="U182" s="101"/>
      <c r="V182" s="101">
        <f t="shared" si="72"/>
        <v>35933655.745370679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838</v>
      </c>
      <c r="D183" s="97" t="s">
        <v>669</v>
      </c>
      <c r="E183" s="97" t="s">
        <v>409</v>
      </c>
      <c r="F183" s="101">
        <f>VLOOKUP(C183,'Functional Assignment'!$C$1:$AU$771,9,)</f>
        <v>640387546.76813221</v>
      </c>
      <c r="G183" s="101">
        <f t="shared" si="71"/>
        <v>214989645.98725864</v>
      </c>
      <c r="H183" s="101">
        <f t="shared" si="71"/>
        <v>64140962.956733659</v>
      </c>
      <c r="I183" s="101">
        <f t="shared" si="71"/>
        <v>6786458.1607636595</v>
      </c>
      <c r="J183" s="101">
        <f t="shared" si="71"/>
        <v>5359274.093055943</v>
      </c>
      <c r="K183" s="101">
        <f t="shared" si="71"/>
        <v>0</v>
      </c>
      <c r="L183" s="101">
        <f t="shared" si="71"/>
        <v>73233911.395074308</v>
      </c>
      <c r="M183" s="101">
        <f t="shared" si="71"/>
        <v>5845960.582790738</v>
      </c>
      <c r="N183" s="101">
        <f t="shared" si="71"/>
        <v>54709646.301160149</v>
      </c>
      <c r="O183" s="101">
        <f t="shared" si="71"/>
        <v>141764544.13267535</v>
      </c>
      <c r="P183" s="101">
        <f t="shared" si="71"/>
        <v>50487128.344040506</v>
      </c>
      <c r="Q183" s="101">
        <f t="shared" si="71"/>
        <v>18638549.486379813</v>
      </c>
      <c r="R183" s="101">
        <f t="shared" si="71"/>
        <v>4363147.8294326998</v>
      </c>
      <c r="S183" s="101">
        <f t="shared" si="71"/>
        <v>15765.076498403436</v>
      </c>
      <c r="T183" s="101">
        <f t="shared" si="71"/>
        <v>52552.422268335467</v>
      </c>
      <c r="U183" s="101"/>
      <c r="V183" s="101">
        <f t="shared" si="72"/>
        <v>640387546.76813245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838</v>
      </c>
      <c r="D184" s="97" t="s">
        <v>680</v>
      </c>
      <c r="E184" s="97" t="s">
        <v>409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838</v>
      </c>
      <c r="D185" s="97" t="s">
        <v>681</v>
      </c>
      <c r="E185" s="97" t="s">
        <v>409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422</v>
      </c>
      <c r="F186" s="100">
        <f t="shared" ref="F186:T186" si="75">SUM(F180:F185)</f>
        <v>749897732.0002203</v>
      </c>
      <c r="G186" s="100">
        <f t="shared" si="75"/>
        <v>255463911.13574058</v>
      </c>
      <c r="H186" s="100">
        <f t="shared" si="75"/>
        <v>76040445.847890019</v>
      </c>
      <c r="I186" s="100">
        <f>SUM(I180:I185)</f>
        <v>7937146.5839911271</v>
      </c>
      <c r="J186" s="100">
        <f>SUM(J180:J185)</f>
        <v>6136379.345647715</v>
      </c>
      <c r="K186" s="100">
        <f>SUM(K180:K185)</f>
        <v>0</v>
      </c>
      <c r="L186" s="100">
        <f t="shared" si="75"/>
        <v>85760032.731231287</v>
      </c>
      <c r="M186" s="100">
        <f t="shared" si="75"/>
        <v>6831989.6462949682</v>
      </c>
      <c r="N186" s="100">
        <f t="shared" si="75"/>
        <v>63562323.607466504</v>
      </c>
      <c r="O186" s="100">
        <f t="shared" si="75"/>
        <v>164014870.13880888</v>
      </c>
      <c r="P186" s="100">
        <f>SUM(P180:P185)</f>
        <v>58103966.480555028</v>
      </c>
      <c r="Q186" s="100">
        <f t="shared" si="75"/>
        <v>21595015.609009601</v>
      </c>
      <c r="R186" s="100">
        <f t="shared" si="75"/>
        <v>4377699.6783763515</v>
      </c>
      <c r="S186" s="100">
        <f t="shared" si="75"/>
        <v>15820.595855544851</v>
      </c>
      <c r="T186" s="100">
        <f t="shared" si="75"/>
        <v>58130.598571355673</v>
      </c>
      <c r="U186" s="100"/>
      <c r="V186" s="102">
        <f t="shared" si="72"/>
        <v>749897731.99943888</v>
      </c>
      <c r="W186" s="98" t="str">
        <f t="shared" si="73"/>
        <v>ok</v>
      </c>
      <c r="X186" s="240" t="str">
        <f t="shared" si="74"/>
        <v/>
      </c>
    </row>
    <row r="187" spans="1:24" ht="12" customHeight="1" x14ac:dyDescent="0.25">
      <c r="F187" s="101"/>
      <c r="G187" s="241">
        <f>G186/$F$186</f>
        <v>0.34066500035189534</v>
      </c>
      <c r="H187" s="241">
        <f t="shared" ref="H187:Q187" si="76">H186/$F$186</f>
        <v>0.10140108791243507</v>
      </c>
      <c r="I187" s="241">
        <f>I186/$F$186</f>
        <v>1.0584305359639086E-2</v>
      </c>
      <c r="J187" s="241">
        <f t="shared" si="76"/>
        <v>8.1829549334413946E-3</v>
      </c>
      <c r="K187" s="241">
        <f>K186/$F$186</f>
        <v>0</v>
      </c>
      <c r="L187" s="241">
        <f t="shared" si="76"/>
        <v>0.11436230444714306</v>
      </c>
      <c r="M187" s="241">
        <f t="shared" si="76"/>
        <v>9.1105618203056009E-3</v>
      </c>
      <c r="N187" s="241">
        <f t="shared" si="76"/>
        <v>8.4761322637855144E-2</v>
      </c>
      <c r="O187" s="241">
        <f t="shared" si="76"/>
        <v>0.21871631709210276</v>
      </c>
      <c r="P187" s="241">
        <f t="shared" si="76"/>
        <v>7.7482520617275258E-2</v>
      </c>
      <c r="Q187" s="241">
        <f t="shared" si="76"/>
        <v>2.8797280865763782E-2</v>
      </c>
    </row>
    <row r="188" spans="1:24" ht="12" customHeight="1" x14ac:dyDescent="0.25">
      <c r="A188" s="24" t="s">
        <v>460</v>
      </c>
      <c r="F188" s="101"/>
      <c r="G188" s="101"/>
    </row>
    <row r="189" spans="1:24" ht="12" customHeight="1" x14ac:dyDescent="0.25">
      <c r="A189" s="107" t="s">
        <v>2370</v>
      </c>
      <c r="C189" s="97" t="s">
        <v>838</v>
      </c>
      <c r="D189" s="97" t="s">
        <v>682</v>
      </c>
      <c r="E189" s="97" t="s">
        <v>2371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18726398.027979765</v>
      </c>
      <c r="H189" s="100">
        <f t="shared" si="77"/>
        <v>4740964.3054898102</v>
      </c>
      <c r="I189" s="100">
        <f t="shared" si="77"/>
        <v>544767.05753164121</v>
      </c>
      <c r="J189" s="100">
        <f t="shared" si="77"/>
        <v>457691.00251151295</v>
      </c>
      <c r="K189" s="100">
        <f t="shared" si="77"/>
        <v>0</v>
      </c>
      <c r="L189" s="100">
        <f t="shared" si="77"/>
        <v>3955305.5013532685</v>
      </c>
      <c r="M189" s="100">
        <f t="shared" si="77"/>
        <v>328690.09015708981</v>
      </c>
      <c r="N189" s="100">
        <f t="shared" si="77"/>
        <v>2909969.4752207426</v>
      </c>
      <c r="O189" s="100">
        <f t="shared" si="77"/>
        <v>7484520.101501408</v>
      </c>
      <c r="P189" s="100">
        <f t="shared" si="77"/>
        <v>2739198.3128033164</v>
      </c>
      <c r="Q189" s="100">
        <f t="shared" si="77"/>
        <v>1811130.0277976436</v>
      </c>
      <c r="R189" s="100">
        <f t="shared" si="77"/>
        <v>324827.78893811331</v>
      </c>
      <c r="S189" s="100">
        <f t="shared" si="77"/>
        <v>1360.5901459705999</v>
      </c>
      <c r="T189" s="100">
        <f t="shared" si="77"/>
        <v>2107.198874284777</v>
      </c>
      <c r="U189" s="100"/>
      <c r="V189" s="102">
        <f>SUM(G189:T189)</f>
        <v>44026929.480304569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2369</v>
      </c>
      <c r="C190" s="97" t="s">
        <v>838</v>
      </c>
      <c r="D190" s="97" t="s">
        <v>683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2369</v>
      </c>
      <c r="C191" s="97" t="s">
        <v>838</v>
      </c>
      <c r="D191" s="97" t="s">
        <v>684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462</v>
      </c>
      <c r="D192" s="97" t="s">
        <v>685</v>
      </c>
      <c r="F192" s="100">
        <f t="shared" ref="F192:T192" si="78">SUM(F189:F191)</f>
        <v>44026929.480304562</v>
      </c>
      <c r="G192" s="100">
        <f t="shared" si="78"/>
        <v>18726398.027979765</v>
      </c>
      <c r="H192" s="100">
        <f t="shared" si="78"/>
        <v>4740964.3054898102</v>
      </c>
      <c r="I192" s="100">
        <f>SUM(I189:I191)</f>
        <v>544767.05753164121</v>
      </c>
      <c r="J192" s="100">
        <f>SUM(J189:J191)</f>
        <v>457691.00251151295</v>
      </c>
      <c r="K192" s="100">
        <f>SUM(K189:K191)</f>
        <v>0</v>
      </c>
      <c r="L192" s="100">
        <f t="shared" si="78"/>
        <v>3955305.5013532685</v>
      </c>
      <c r="M192" s="100">
        <f t="shared" si="78"/>
        <v>328690.09015708981</v>
      </c>
      <c r="N192" s="100">
        <f t="shared" si="78"/>
        <v>2909969.4752207426</v>
      </c>
      <c r="O192" s="100">
        <f t="shared" si="78"/>
        <v>7484520.101501408</v>
      </c>
      <c r="P192" s="100">
        <f>SUM(P189:P191)</f>
        <v>2739198.3128033164</v>
      </c>
      <c r="Q192" s="100">
        <f t="shared" si="78"/>
        <v>1811130.0277976436</v>
      </c>
      <c r="R192" s="100">
        <f t="shared" si="78"/>
        <v>324827.78893811331</v>
      </c>
      <c r="S192" s="100">
        <f t="shared" si="78"/>
        <v>1360.5901459705999</v>
      </c>
      <c r="T192" s="100">
        <f t="shared" si="78"/>
        <v>2107.198874284777</v>
      </c>
      <c r="U192" s="100"/>
      <c r="V192" s="102">
        <f>SUM(G192:T192)</f>
        <v>44026929.480304569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1693</v>
      </c>
      <c r="F194" s="101"/>
      <c r="G194" s="101"/>
    </row>
    <row r="195" spans="1:24" ht="12" customHeight="1" x14ac:dyDescent="0.25">
      <c r="A195" s="107" t="s">
        <v>157</v>
      </c>
      <c r="C195" s="97" t="s">
        <v>838</v>
      </c>
      <c r="D195" s="97" t="s">
        <v>686</v>
      </c>
      <c r="E195" s="97" t="s">
        <v>2375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1694</v>
      </c>
      <c r="F197" s="101"/>
      <c r="G197" s="101"/>
    </row>
    <row r="198" spans="1:24" ht="12" customHeight="1" x14ac:dyDescent="0.25">
      <c r="A198" s="107" t="s">
        <v>159</v>
      </c>
      <c r="C198" s="97" t="s">
        <v>838</v>
      </c>
      <c r="D198" s="97" t="s">
        <v>687</v>
      </c>
      <c r="E198" s="97" t="s">
        <v>2375</v>
      </c>
      <c r="F198" s="100">
        <f>VLOOKUP(C198,'Functional Assignment'!$C$1:$AU$771,18,)</f>
        <v>7427614.6646774616</v>
      </c>
      <c r="G198" s="100">
        <f t="shared" ref="G198:T198" si="80">IF(VLOOKUP($E198,$D$5:$AJ$946,3,)=0,0,(VLOOKUP($E198,$D$5:$AJ$946,G$1,)/VLOOKUP($E198,$D$5:$AJ$946,3,))*$F198)</f>
        <v>3523415.5067447615</v>
      </c>
      <c r="H198" s="100">
        <f t="shared" si="80"/>
        <v>892023.50211330527</v>
      </c>
      <c r="I198" s="100">
        <f t="shared" si="80"/>
        <v>102499.19366248634</v>
      </c>
      <c r="J198" s="100">
        <f t="shared" si="80"/>
        <v>86115.630626729457</v>
      </c>
      <c r="K198" s="100">
        <f t="shared" si="80"/>
        <v>0</v>
      </c>
      <c r="L198" s="100">
        <f t="shared" si="80"/>
        <v>744199.96395240712</v>
      </c>
      <c r="M198" s="100">
        <f t="shared" si="80"/>
        <v>61843.807807697383</v>
      </c>
      <c r="N198" s="100">
        <f t="shared" si="80"/>
        <v>547517.55024256499</v>
      </c>
      <c r="O198" s="100">
        <f t="shared" si="80"/>
        <v>1408229.930111012</v>
      </c>
      <c r="P198" s="100">
        <f t="shared" si="80"/>
        <v>0</v>
      </c>
      <c r="Q198" s="100">
        <f t="shared" si="80"/>
        <v>0</v>
      </c>
      <c r="R198" s="100">
        <f t="shared" si="80"/>
        <v>61117.106816597654</v>
      </c>
      <c r="S198" s="100">
        <f t="shared" si="80"/>
        <v>255.9982123350236</v>
      </c>
      <c r="T198" s="100">
        <f t="shared" si="80"/>
        <v>396.47438756544796</v>
      </c>
      <c r="U198" s="100"/>
      <c r="V198" s="102">
        <f>SUM(G198:T198)</f>
        <v>7427614.6646774607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818</v>
      </c>
      <c r="C201" s="97" t="s">
        <v>838</v>
      </c>
      <c r="D201" s="97" t="s">
        <v>688</v>
      </c>
      <c r="E201" s="97" t="s">
        <v>2375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819</v>
      </c>
      <c r="C202" s="97" t="s">
        <v>838</v>
      </c>
      <c r="D202" s="97" t="s">
        <v>689</v>
      </c>
      <c r="E202" s="97" t="s">
        <v>2375</v>
      </c>
      <c r="F202" s="101">
        <f>VLOOKUP(C202,'Functional Assignment'!$C$1:$AU$771,20,)</f>
        <v>13725969.833519794</v>
      </c>
      <c r="G202" s="101">
        <f t="shared" si="81"/>
        <v>6511147.5406128317</v>
      </c>
      <c r="H202" s="101">
        <f t="shared" si="81"/>
        <v>1648427.9588472149</v>
      </c>
      <c r="I202" s="101">
        <f t="shared" si="81"/>
        <v>189414.89343301635</v>
      </c>
      <c r="J202" s="101">
        <f t="shared" si="81"/>
        <v>159138.64700038935</v>
      </c>
      <c r="K202" s="101">
        <f t="shared" si="81"/>
        <v>0</v>
      </c>
      <c r="L202" s="101">
        <f t="shared" si="81"/>
        <v>1375255.27594946</v>
      </c>
      <c r="M202" s="101">
        <f t="shared" si="81"/>
        <v>114285.17480790876</v>
      </c>
      <c r="N202" s="101">
        <f t="shared" si="81"/>
        <v>1011793.1149136218</v>
      </c>
      <c r="O202" s="101">
        <f t="shared" si="81"/>
        <v>2602359.2245953968</v>
      </c>
      <c r="P202" s="101">
        <f t="shared" si="81"/>
        <v>0</v>
      </c>
      <c r="Q202" s="101">
        <f t="shared" si="81"/>
        <v>0</v>
      </c>
      <c r="R202" s="101">
        <f t="shared" si="81"/>
        <v>112942.25701637883</v>
      </c>
      <c r="S202" s="101">
        <f t="shared" si="81"/>
        <v>473.07566406961877</v>
      </c>
      <c r="T202" s="101">
        <f t="shared" si="81"/>
        <v>732.67067950715887</v>
      </c>
      <c r="U202" s="101"/>
      <c r="V202" s="101">
        <f t="shared" si="82"/>
        <v>13725969.833519796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820</v>
      </c>
      <c r="C203" s="97" t="s">
        <v>838</v>
      </c>
      <c r="D203" s="97" t="s">
        <v>690</v>
      </c>
      <c r="E203" s="97" t="s">
        <v>939</v>
      </c>
      <c r="F203" s="101">
        <f>VLOOKUP(C203,'Functional Assignment'!$C$1:$AU$771,21,)</f>
        <v>21967220.025919598</v>
      </c>
      <c r="G203" s="101">
        <f t="shared" si="81"/>
        <v>17553214.483644664</v>
      </c>
      <c r="H203" s="101">
        <f t="shared" si="81"/>
        <v>3396253.8362944615</v>
      </c>
      <c r="I203" s="101">
        <f t="shared" si="81"/>
        <v>8395.9760740757611</v>
      </c>
      <c r="J203" s="101">
        <f t="shared" si="81"/>
        <v>24168.999087023913</v>
      </c>
      <c r="K203" s="101">
        <f t="shared" si="81"/>
        <v>0</v>
      </c>
      <c r="L203" s="101">
        <f t="shared" si="81"/>
        <v>178516.38448763025</v>
      </c>
      <c r="M203" s="101">
        <f t="shared" si="81"/>
        <v>7050.9896156073146</v>
      </c>
      <c r="N203" s="101">
        <f t="shared" si="81"/>
        <v>21805.083493352096</v>
      </c>
      <c r="O203" s="101">
        <f t="shared" si="81"/>
        <v>11289.73481805333</v>
      </c>
      <c r="P203" s="101">
        <f t="shared" si="81"/>
        <v>0</v>
      </c>
      <c r="Q203" s="101">
        <f t="shared" si="81"/>
        <v>0</v>
      </c>
      <c r="R203" s="101">
        <f t="shared" si="81"/>
        <v>762992.25073601969</v>
      </c>
      <c r="S203" s="101">
        <f t="shared" si="81"/>
        <v>18.114295736948783</v>
      </c>
      <c r="T203" s="101">
        <f t="shared" si="81"/>
        <v>3514.1733729680645</v>
      </c>
      <c r="U203" s="101"/>
      <c r="V203" s="101">
        <f t="shared" si="82"/>
        <v>21967220.025919594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821</v>
      </c>
      <c r="C204" s="97" t="s">
        <v>838</v>
      </c>
      <c r="D204" s="97" t="s">
        <v>691</v>
      </c>
      <c r="E204" s="97" t="s">
        <v>758</v>
      </c>
      <c r="F204" s="101">
        <f>VLOOKUP(C204,'Functional Assignment'!$C$1:$AU$771,22,)</f>
        <v>6950051.3594861059</v>
      </c>
      <c r="G204" s="101">
        <f t="shared" si="81"/>
        <v>5717812.2806247352</v>
      </c>
      <c r="H204" s="101">
        <f t="shared" si="81"/>
        <v>1029749.3034699085</v>
      </c>
      <c r="I204" s="101">
        <f t="shared" si="81"/>
        <v>86094.212376330208</v>
      </c>
      <c r="J204" s="101">
        <f t="shared" si="81"/>
        <v>72332.124276358532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43598.309105122731</v>
      </c>
      <c r="S204" s="101">
        <f t="shared" si="81"/>
        <v>182.61808801312839</v>
      </c>
      <c r="T204" s="101">
        <f t="shared" si="81"/>
        <v>282.51154563707854</v>
      </c>
      <c r="U204" s="101"/>
      <c r="V204" s="101">
        <f t="shared" si="82"/>
        <v>6950051.3594861049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822</v>
      </c>
      <c r="C205" s="97" t="s">
        <v>838</v>
      </c>
      <c r="D205" s="97" t="s">
        <v>692</v>
      </c>
      <c r="E205" s="97" t="s">
        <v>938</v>
      </c>
      <c r="F205" s="101">
        <f>VLOOKUP(C205,'Functional Assignment'!$C$1:$AU$771,23,)</f>
        <v>10263920.520944357</v>
      </c>
      <c r="G205" s="101">
        <f t="shared" si="81"/>
        <v>8283988.286784864</v>
      </c>
      <c r="H205" s="101">
        <f t="shared" si="81"/>
        <v>1602813.3778588551</v>
      </c>
      <c r="I205" s="101">
        <f t="shared" si="81"/>
        <v>3962.3607128241561</v>
      </c>
      <c r="J205" s="101">
        <f t="shared" si="81"/>
        <v>11406.213119925849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360083.26987026166</v>
      </c>
      <c r="S205" s="101">
        <f t="shared" si="81"/>
        <v>8.5487825519399259</v>
      </c>
      <c r="T205" s="101">
        <f t="shared" si="81"/>
        <v>1658.463815076346</v>
      </c>
      <c r="U205" s="101"/>
      <c r="V205" s="101">
        <f t="shared" si="82"/>
        <v>10263920.520944361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693</v>
      </c>
      <c r="F206" s="100">
        <f>SUM(F201:F205)</f>
        <v>52907161.739869848</v>
      </c>
      <c r="G206" s="100">
        <f t="shared" ref="G206:T206" si="85">SUM(G201:G205)</f>
        <v>38066162.591667093</v>
      </c>
      <c r="H206" s="100">
        <f t="shared" si="85"/>
        <v>7677244.4764704397</v>
      </c>
      <c r="I206" s="100">
        <f>SUM(I201:I205)</f>
        <v>287867.44259624649</v>
      </c>
      <c r="J206" s="100">
        <f>SUM(J201:J205)</f>
        <v>267045.98348369764</v>
      </c>
      <c r="K206" s="100">
        <f>SUM(K201:K205)</f>
        <v>0</v>
      </c>
      <c r="L206" s="100">
        <f t="shared" si="85"/>
        <v>1553771.6604370903</v>
      </c>
      <c r="M206" s="100">
        <f t="shared" si="85"/>
        <v>121336.16442351606</v>
      </c>
      <c r="N206" s="100">
        <f t="shared" si="85"/>
        <v>1033598.1984069739</v>
      </c>
      <c r="O206" s="100">
        <f t="shared" si="85"/>
        <v>2613648.9594134502</v>
      </c>
      <c r="P206" s="100">
        <f>SUM(P201:P205)</f>
        <v>0</v>
      </c>
      <c r="Q206" s="100">
        <f t="shared" si="85"/>
        <v>0</v>
      </c>
      <c r="R206" s="100">
        <f t="shared" si="85"/>
        <v>1279616.0867277829</v>
      </c>
      <c r="S206" s="100">
        <f t="shared" si="85"/>
        <v>682.35683037163585</v>
      </c>
      <c r="T206" s="100">
        <f t="shared" si="85"/>
        <v>6187.8194131886476</v>
      </c>
      <c r="U206" s="100"/>
      <c r="V206" s="102">
        <f t="shared" si="82"/>
        <v>52907161.739869848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817</v>
      </c>
      <c r="F208" s="101"/>
    </row>
    <row r="209" spans="1:24" ht="12" customHeight="1" x14ac:dyDescent="0.25">
      <c r="A209" s="107" t="s">
        <v>408</v>
      </c>
      <c r="C209" s="97" t="s">
        <v>838</v>
      </c>
      <c r="D209" s="97" t="s">
        <v>694</v>
      </c>
      <c r="E209" s="97" t="s">
        <v>2281</v>
      </c>
      <c r="F209" s="100">
        <f>VLOOKUP(C209,'Functional Assignment'!$C$1:$AU$771,24,)</f>
        <v>3048697.3971412508</v>
      </c>
      <c r="G209" s="100">
        <f t="shared" ref="G209:T210" si="86">IF(VLOOKUP($E209,$D$5:$AJ$946,3,)=0,0,(VLOOKUP($E209,$D$5:$AJ$946,G$1,)/VLOOKUP($E209,$D$5:$AJ$946,3,))*$F209)</f>
        <v>2115151.0876155905</v>
      </c>
      <c r="H209" s="100">
        <f t="shared" si="86"/>
        <v>380928.09842434962</v>
      </c>
      <c r="I209" s="100">
        <f t="shared" si="86"/>
        <v>31848.241601472404</v>
      </c>
      <c r="J209" s="100">
        <f t="shared" si="86"/>
        <v>26757.326722864989</v>
      </c>
      <c r="K209" s="100">
        <f t="shared" si="86"/>
        <v>0</v>
      </c>
      <c r="L209" s="100">
        <f t="shared" si="86"/>
        <v>285979.94685248501</v>
      </c>
      <c r="M209" s="100">
        <f t="shared" si="86"/>
        <v>0</v>
      </c>
      <c r="N209" s="100">
        <f t="shared" si="86"/>
        <v>191732.61019271007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16128.023515984562</v>
      </c>
      <c r="S209" s="100">
        <f t="shared" si="86"/>
        <v>67.554657012462187</v>
      </c>
      <c r="T209" s="100">
        <f t="shared" si="86"/>
        <v>104.50755878136989</v>
      </c>
      <c r="U209" s="100"/>
      <c r="V209" s="102">
        <f>SUM(G209:T209)</f>
        <v>3048697.3971412508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411</v>
      </c>
      <c r="C210" s="97" t="s">
        <v>838</v>
      </c>
      <c r="D210" s="97" t="s">
        <v>695</v>
      </c>
      <c r="E210" s="97" t="s">
        <v>2280</v>
      </c>
      <c r="F210" s="101">
        <f>VLOOKUP(C210,'Functional Assignment'!$C$1:$AU$771,25,)</f>
        <v>2712973.0706882412</v>
      </c>
      <c r="G210" s="101">
        <f t="shared" si="86"/>
        <v>2169650.556824503</v>
      </c>
      <c r="H210" s="101">
        <f t="shared" si="86"/>
        <v>419791.14616866666</v>
      </c>
      <c r="I210" s="101">
        <f t="shared" si="86"/>
        <v>1037.7776777681879</v>
      </c>
      <c r="J210" s="101">
        <f t="shared" si="86"/>
        <v>2987.3891403715311</v>
      </c>
      <c r="K210" s="101">
        <f t="shared" si="86"/>
        <v>0</v>
      </c>
      <c r="L210" s="101">
        <f t="shared" si="86"/>
        <v>22065.370041867296</v>
      </c>
      <c r="M210" s="101">
        <f t="shared" si="86"/>
        <v>0</v>
      </c>
      <c r="N210" s="101">
        <f t="shared" si="86"/>
        <v>2695.1993087668957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94309.02603079578</v>
      </c>
      <c r="S210" s="101">
        <f t="shared" si="86"/>
        <v>2.2390025410316889</v>
      </c>
      <c r="T210" s="101">
        <f t="shared" si="86"/>
        <v>434.3664929601477</v>
      </c>
      <c r="U210" s="101"/>
      <c r="V210" s="101">
        <f>SUM(G210:T210)</f>
        <v>2712973.0706882407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1532</v>
      </c>
      <c r="D211" s="97" t="s">
        <v>696</v>
      </c>
      <c r="F211" s="100">
        <f t="shared" ref="F211:T211" si="87">F209+F210</f>
        <v>5761670.4678294919</v>
      </c>
      <c r="G211" s="100">
        <f t="shared" si="87"/>
        <v>4284801.644440094</v>
      </c>
      <c r="H211" s="100">
        <f t="shared" si="87"/>
        <v>800719.24459301634</v>
      </c>
      <c r="I211" s="100">
        <f>I209+I210</f>
        <v>32886.019279240594</v>
      </c>
      <c r="J211" s="100">
        <f>J209+J210</f>
        <v>29744.715863236521</v>
      </c>
      <c r="K211" s="100">
        <f>K209+K210</f>
        <v>0</v>
      </c>
      <c r="L211" s="100">
        <f t="shared" si="87"/>
        <v>308045.31689435232</v>
      </c>
      <c r="M211" s="100">
        <f t="shared" si="87"/>
        <v>0</v>
      </c>
      <c r="N211" s="100">
        <f t="shared" si="87"/>
        <v>194427.80950147696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110437.04954678034</v>
      </c>
      <c r="S211" s="100">
        <f t="shared" si="87"/>
        <v>69.793659553493882</v>
      </c>
      <c r="T211" s="100">
        <f t="shared" si="87"/>
        <v>538.87405174151763</v>
      </c>
      <c r="U211" s="100"/>
      <c r="V211" s="102">
        <f>SUM(G211:T211)</f>
        <v>5761670.4678294919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411</v>
      </c>
      <c r="C214" s="97" t="s">
        <v>838</v>
      </c>
      <c r="D214" s="97" t="s">
        <v>697</v>
      </c>
      <c r="E214" s="97" t="s">
        <v>412</v>
      </c>
      <c r="F214" s="100">
        <f>VLOOKUP(C214,'Functional Assignment'!$C$1:$AU$771,26,)</f>
        <v>1785764.9899127069</v>
      </c>
      <c r="G214" s="100">
        <f t="shared" ref="G214:T214" si="88">IF(VLOOKUP($E214,$D$5:$AJ$946,3,)=0,0,(VLOOKUP($E214,$D$5:$AJ$946,G$1,)/VLOOKUP($E214,$D$5:$AJ$946,3,))*$F214)</f>
        <v>1252348.7718958764</v>
      </c>
      <c r="H214" s="100">
        <f t="shared" si="88"/>
        <v>490547.09412272007</v>
      </c>
      <c r="I214" s="100">
        <f t="shared" si="88"/>
        <v>1613.399516965482</v>
      </c>
      <c r="J214" s="100">
        <f t="shared" si="88"/>
        <v>4645.7029780583744</v>
      </c>
      <c r="K214" s="100">
        <f t="shared" si="88"/>
        <v>0</v>
      </c>
      <c r="L214" s="100">
        <f t="shared" si="88"/>
        <v>32417.92386774754</v>
      </c>
      <c r="M214" s="100">
        <f t="shared" si="88"/>
        <v>0</v>
      </c>
      <c r="N214" s="100">
        <f t="shared" si="88"/>
        <v>4192.0975313387089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1785764.9899127069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411</v>
      </c>
      <c r="C217" s="97" t="s">
        <v>838</v>
      </c>
      <c r="D217" s="97" t="s">
        <v>698</v>
      </c>
      <c r="E217" s="97" t="s">
        <v>413</v>
      </c>
      <c r="F217" s="100">
        <f>VLOOKUP(C217,'Functional Assignment'!$C$1:$AU$771,27,)</f>
        <v>12338780.799421292</v>
      </c>
      <c r="G217" s="100">
        <f t="shared" ref="G217:T217" si="89">IF(VLOOKUP($E217,$D$5:$AJ$946,3,)=0,0,(VLOOKUP($E217,$D$5:$AJ$946,G$1,)/VLOOKUP($E217,$D$5:$AJ$946,3,))*$F217)</f>
        <v>7668913.3348442828</v>
      </c>
      <c r="H217" s="100">
        <f t="shared" si="89"/>
        <v>2858186.5016782214</v>
      </c>
      <c r="I217" s="100">
        <f t="shared" si="89"/>
        <v>39125.849567807047</v>
      </c>
      <c r="J217" s="100">
        <f t="shared" si="89"/>
        <v>60626.719382397954</v>
      </c>
      <c r="K217" s="100">
        <f t="shared" si="89"/>
        <v>0</v>
      </c>
      <c r="L217" s="100">
        <f t="shared" si="89"/>
        <v>753548.20910010731</v>
      </c>
      <c r="M217" s="100">
        <f t="shared" si="89"/>
        <v>170807.32113784549</v>
      </c>
      <c r="N217" s="100">
        <f t="shared" si="89"/>
        <v>124384.23548463098</v>
      </c>
      <c r="O217" s="100">
        <f t="shared" si="89"/>
        <v>379512.60892494093</v>
      </c>
      <c r="P217" s="100">
        <f t="shared" si="89"/>
        <v>258831.97189157843</v>
      </c>
      <c r="Q217" s="100">
        <f t="shared" si="89"/>
        <v>10954.905703923594</v>
      </c>
      <c r="R217" s="100">
        <f t="shared" si="89"/>
        <v>0</v>
      </c>
      <c r="S217" s="100">
        <f t="shared" si="89"/>
        <v>71.226367720790378</v>
      </c>
      <c r="T217" s="100">
        <f t="shared" si="89"/>
        <v>13817.915337833338</v>
      </c>
      <c r="U217" s="100"/>
      <c r="V217" s="102">
        <f>SUM(G217:T217)</f>
        <v>12338780.799421288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411</v>
      </c>
      <c r="C220" s="97" t="s">
        <v>838</v>
      </c>
      <c r="D220" s="97" t="s">
        <v>699</v>
      </c>
      <c r="E220" s="97" t="s">
        <v>414</v>
      </c>
      <c r="F220" s="100">
        <f>VLOOKUP(C220,'Functional Assignment'!$C$1:$AU$771,28,)</f>
        <v>1970658.9614352717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1970658.9614352717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1970658.9614352717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308</v>
      </c>
      <c r="F222" s="101"/>
    </row>
    <row r="223" spans="1:24" ht="12" customHeight="1" x14ac:dyDescent="0.25">
      <c r="A223" s="107" t="s">
        <v>411</v>
      </c>
      <c r="C223" s="97" t="s">
        <v>838</v>
      </c>
      <c r="D223" s="97" t="s">
        <v>700</v>
      </c>
      <c r="E223" s="97" t="s">
        <v>415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33008361.370117284</v>
      </c>
      <c r="H223" s="100">
        <f t="shared" si="91"/>
        <v>12773133.267129982</v>
      </c>
      <c r="I223" s="100">
        <f t="shared" si="91"/>
        <v>206169.09172424758</v>
      </c>
      <c r="J223" s="100">
        <f t="shared" si="91"/>
        <v>454491.71521367587</v>
      </c>
      <c r="K223" s="100">
        <f t="shared" si="91"/>
        <v>0</v>
      </c>
      <c r="L223" s="100">
        <f t="shared" si="91"/>
        <v>1678476.9921044693</v>
      </c>
      <c r="M223" s="100">
        <f t="shared" si="91"/>
        <v>66296.009048875145</v>
      </c>
      <c r="N223" s="100">
        <f t="shared" si="91"/>
        <v>1025097.2497441678</v>
      </c>
      <c r="O223" s="100">
        <f t="shared" si="91"/>
        <v>530751.28631613927</v>
      </c>
      <c r="P223" s="100">
        <f t="shared" si="91"/>
        <v>45985.671016560795</v>
      </c>
      <c r="Q223" s="100">
        <f t="shared" si="91"/>
        <v>3832.139251380067</v>
      </c>
      <c r="R223" s="100">
        <f t="shared" si="91"/>
        <v>1434752.935716697</v>
      </c>
      <c r="S223" s="100">
        <f t="shared" si="91"/>
        <v>0</v>
      </c>
      <c r="T223" s="100">
        <f t="shared" si="91"/>
        <v>6591.2795123737151</v>
      </c>
      <c r="U223" s="100"/>
      <c r="V223" s="102">
        <f>SUM(G223:T223)</f>
        <v>51233939.006895855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1696</v>
      </c>
      <c r="F225" s="101"/>
    </row>
    <row r="226" spans="1:24" ht="12" customHeight="1" x14ac:dyDescent="0.25">
      <c r="A226" s="107" t="s">
        <v>411</v>
      </c>
      <c r="C226" s="97" t="s">
        <v>838</v>
      </c>
      <c r="D226" s="97" t="s">
        <v>701</v>
      </c>
      <c r="E226" s="97" t="s">
        <v>415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4138765.6472844593</v>
      </c>
      <c r="H226" s="100">
        <f t="shared" si="92"/>
        <v>1601564.0577069956</v>
      </c>
      <c r="I226" s="100">
        <f t="shared" si="92"/>
        <v>25850.588121973255</v>
      </c>
      <c r="J226" s="100">
        <f t="shared" si="92"/>
        <v>56986.612477063711</v>
      </c>
      <c r="K226" s="100">
        <f t="shared" si="92"/>
        <v>0</v>
      </c>
      <c r="L226" s="100">
        <f t="shared" si="92"/>
        <v>210456.46091866703</v>
      </c>
      <c r="M226" s="100">
        <f t="shared" si="92"/>
        <v>8312.5497120843356</v>
      </c>
      <c r="N226" s="100">
        <f t="shared" si="92"/>
        <v>128532.19930535027</v>
      </c>
      <c r="O226" s="100">
        <f t="shared" si="92"/>
        <v>66548.44711697576</v>
      </c>
      <c r="P226" s="100">
        <f t="shared" si="92"/>
        <v>5765.9304361278628</v>
      </c>
      <c r="Q226" s="100">
        <f t="shared" si="92"/>
        <v>480.49420301065527</v>
      </c>
      <c r="R226" s="100">
        <f t="shared" si="92"/>
        <v>179897.02960718932</v>
      </c>
      <c r="S226" s="100">
        <f t="shared" si="92"/>
        <v>0</v>
      </c>
      <c r="T226" s="100">
        <f t="shared" si="92"/>
        <v>826.4500291783271</v>
      </c>
      <c r="U226" s="100"/>
      <c r="V226" s="102">
        <f>SUM(G226:T226)</f>
        <v>6423986.4669190748</v>
      </c>
      <c r="W226" s="98" t="str">
        <f>IF(ABS(F226-V226)&lt;0.01,"ok","err")</f>
        <v>ok</v>
      </c>
      <c r="X226" s="240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1695</v>
      </c>
      <c r="F228" s="101"/>
    </row>
    <row r="229" spans="1:24" ht="12" customHeight="1" x14ac:dyDescent="0.25">
      <c r="A229" s="107" t="s">
        <v>411</v>
      </c>
      <c r="C229" s="97" t="s">
        <v>838</v>
      </c>
      <c r="D229" s="97" t="s">
        <v>702</v>
      </c>
      <c r="E229" s="97" t="s">
        <v>416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423</v>
      </c>
      <c r="F231" s="100">
        <f>F186+F192+F195+F198+F206+F211+F214+F217+F220+F223+F226+F229</f>
        <v>933774238.57748604</v>
      </c>
      <c r="G231" s="100">
        <f>G186+G192+G195+G198+G206+G211+G214+G217+G220+G223+G226+G229</f>
        <v>366133078.03071427</v>
      </c>
      <c r="H231" s="100">
        <f t="shared" ref="H231:T231" si="94">H186+H192+H195+H198+H206+H211+H214+H217+H220+H223+H226+H229</f>
        <v>107874828.29719453</v>
      </c>
      <c r="I231" s="100">
        <f>I186+I192+I195+I198+I206+I211+I214+I217+I220+I223+I226+I229</f>
        <v>9177925.2259917334</v>
      </c>
      <c r="J231" s="100">
        <f>J186+J192+J195+J198+J206+J211+J214+J217+J220+J223+J226+J229</f>
        <v>7553727.4281840874</v>
      </c>
      <c r="K231" s="100">
        <f>K186+K192+K195+K198+K206+K211+K214+K217+K220+K223+K226+K229</f>
        <v>0</v>
      </c>
      <c r="L231" s="100">
        <f t="shared" si="94"/>
        <v>94996254.759859398</v>
      </c>
      <c r="M231" s="100">
        <f t="shared" si="94"/>
        <v>7589275.5885820761</v>
      </c>
      <c r="N231" s="100">
        <f t="shared" si="94"/>
        <v>69530042.422903746</v>
      </c>
      <c r="O231" s="100">
        <f>O186+O192+O195+O198+O206+O211+O214+O217+O220+O223+O226+O229</f>
        <v>176498081.47219279</v>
      </c>
      <c r="P231" s="100">
        <f>P186+P192+P195+P198+P206+P211+P214+P217+P220+P223+P226+P229</f>
        <v>61153748.366702609</v>
      </c>
      <c r="Q231" s="100">
        <f t="shared" si="94"/>
        <v>23421413.175965562</v>
      </c>
      <c r="R231" s="100">
        <f t="shared" si="94"/>
        <v>9739006.6371647846</v>
      </c>
      <c r="S231" s="100">
        <f t="shared" si="94"/>
        <v>18260.561071496395</v>
      </c>
      <c r="T231" s="100">
        <f t="shared" si="94"/>
        <v>88596.610177521448</v>
      </c>
      <c r="U231" s="100"/>
      <c r="V231" s="102">
        <f>SUM(G231:T231)</f>
        <v>933774238.57670462</v>
      </c>
      <c r="W231" s="98" t="str">
        <f>IF(ABS(F231-V231)&lt;0.01,"ok","err")</f>
        <v>ok</v>
      </c>
      <c r="X231" s="240" t="str">
        <f>IF(W231="err",V231-F231,"")</f>
        <v/>
      </c>
    </row>
    <row r="234" spans="1:24" ht="12" customHeight="1" x14ac:dyDescent="0.25">
      <c r="A234" s="23" t="s">
        <v>839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1052</v>
      </c>
      <c r="D237" s="97" t="s">
        <v>703</v>
      </c>
      <c r="E237" s="97" t="s">
        <v>2213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6927170.5305640288</v>
      </c>
      <c r="H237" s="100">
        <f t="shared" si="95"/>
        <v>2036596.5116394667</v>
      </c>
      <c r="I237" s="100">
        <f t="shared" si="95"/>
        <v>196940.32506829774</v>
      </c>
      <c r="J237" s="100">
        <f t="shared" si="95"/>
        <v>133001.56494878675</v>
      </c>
      <c r="K237" s="100">
        <f t="shared" si="95"/>
        <v>0</v>
      </c>
      <c r="L237" s="100">
        <f t="shared" si="95"/>
        <v>2143845.6822816562</v>
      </c>
      <c r="M237" s="100">
        <f t="shared" si="95"/>
        <v>168758.87544662034</v>
      </c>
      <c r="N237" s="100">
        <f t="shared" si="95"/>
        <v>1515135.7319982974</v>
      </c>
      <c r="O237" s="100">
        <f t="shared" si="95"/>
        <v>3808143.3236573953</v>
      </c>
      <c r="P237" s="100">
        <f t="shared" si="95"/>
        <v>1303621.8565494721</v>
      </c>
      <c r="Q237" s="100">
        <f t="shared" si="95"/>
        <v>505999.18056968378</v>
      </c>
      <c r="R237" s="100">
        <f t="shared" si="95"/>
        <v>2490.5489648269522</v>
      </c>
      <c r="S237" s="100">
        <f t="shared" si="95"/>
        <v>9.5021380438895928</v>
      </c>
      <c r="T237" s="100">
        <f t="shared" si="95"/>
        <v>954.7048812082387</v>
      </c>
      <c r="U237" s="100"/>
      <c r="V237" s="102">
        <f t="shared" ref="V237:V243" si="96">SUM(G237:T237)</f>
        <v>18742668.338707786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1052</v>
      </c>
      <c r="D238" s="97" t="s">
        <v>704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6534906.3248071438</v>
      </c>
      <c r="H238" s="101">
        <f t="shared" si="95"/>
        <v>1921270.360859626</v>
      </c>
      <c r="I238" s="101">
        <f t="shared" si="95"/>
        <v>185788.2046096538</v>
      </c>
      <c r="J238" s="101">
        <f t="shared" si="95"/>
        <v>125470.09838406648</v>
      </c>
      <c r="K238" s="101">
        <f t="shared" si="95"/>
        <v>0</v>
      </c>
      <c r="L238" s="101">
        <f t="shared" si="95"/>
        <v>2022446.343241988</v>
      </c>
      <c r="M238" s="101">
        <f t="shared" si="95"/>
        <v>159202.58316979322</v>
      </c>
      <c r="N238" s="101">
        <f t="shared" si="95"/>
        <v>1429338.2896076601</v>
      </c>
      <c r="O238" s="101">
        <f t="shared" si="95"/>
        <v>3592499.9654244888</v>
      </c>
      <c r="P238" s="101">
        <f t="shared" si="95"/>
        <v>1229801.7896245343</v>
      </c>
      <c r="Q238" s="101">
        <f t="shared" si="95"/>
        <v>477346.0146335999</v>
      </c>
      <c r="R238" s="101">
        <f t="shared" si="95"/>
        <v>2349.5168930342966</v>
      </c>
      <c r="S238" s="101">
        <f t="shared" si="95"/>
        <v>8.9640614054796046</v>
      </c>
      <c r="T238" s="101">
        <f t="shared" si="95"/>
        <v>900.64290160097789</v>
      </c>
      <c r="U238" s="101"/>
      <c r="V238" s="101">
        <f t="shared" si="96"/>
        <v>17681329.09821859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1052</v>
      </c>
      <c r="D239" s="97" t="s">
        <v>705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6701531.1299563525</v>
      </c>
      <c r="H239" s="101">
        <f t="shared" si="95"/>
        <v>1970258.2550398277</v>
      </c>
      <c r="I239" s="101">
        <f t="shared" si="95"/>
        <v>190525.36867191267</v>
      </c>
      <c r="J239" s="101">
        <f t="shared" si="95"/>
        <v>128669.29201534078</v>
      </c>
      <c r="K239" s="101">
        <f t="shared" si="95"/>
        <v>0</v>
      </c>
      <c r="L239" s="101">
        <f t="shared" si="95"/>
        <v>2074013.9879973808</v>
      </c>
      <c r="M239" s="101">
        <f t="shared" si="95"/>
        <v>163261.8761544865</v>
      </c>
      <c r="N239" s="101">
        <f t="shared" si="95"/>
        <v>1465783.0681799387</v>
      </c>
      <c r="O239" s="101">
        <f t="shared" si="95"/>
        <v>3684100.300147735</v>
      </c>
      <c r="P239" s="101">
        <f t="shared" si="95"/>
        <v>1261158.8548039473</v>
      </c>
      <c r="Q239" s="101">
        <f t="shared" si="95"/>
        <v>489517.21996138577</v>
      </c>
      <c r="R239" s="101">
        <f t="shared" si="95"/>
        <v>2409.4240707409585</v>
      </c>
      <c r="S239" s="101">
        <f t="shared" si="95"/>
        <v>9.1926239755907613</v>
      </c>
      <c r="T239" s="101">
        <f t="shared" si="95"/>
        <v>923.60718609555454</v>
      </c>
      <c r="U239" s="101"/>
      <c r="V239" s="101">
        <f t="shared" si="96"/>
        <v>18132161.576809119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1052</v>
      </c>
      <c r="D240" s="97" t="s">
        <v>1698</v>
      </c>
      <c r="E240" s="97" t="s">
        <v>409</v>
      </c>
      <c r="F240" s="101">
        <f>VLOOKUP(C240,'Functional Assignment'!$C$1:$AU$771,9,)</f>
        <v>38818636.930293135</v>
      </c>
      <c r="G240" s="101">
        <f t="shared" si="95"/>
        <v>13032116.338722892</v>
      </c>
      <c r="H240" s="101">
        <f t="shared" si="95"/>
        <v>3888059.2946295082</v>
      </c>
      <c r="I240" s="101">
        <f t="shared" si="95"/>
        <v>411377.54273147136</v>
      </c>
      <c r="J240" s="101">
        <f t="shared" si="95"/>
        <v>324865.33549596102</v>
      </c>
      <c r="K240" s="101">
        <f t="shared" si="95"/>
        <v>0</v>
      </c>
      <c r="L240" s="101">
        <f t="shared" si="95"/>
        <v>4439250.3129983041</v>
      </c>
      <c r="M240" s="101">
        <f t="shared" si="95"/>
        <v>354367.01184685092</v>
      </c>
      <c r="N240" s="101">
        <f t="shared" si="95"/>
        <v>3316357.2700117589</v>
      </c>
      <c r="O240" s="101">
        <f t="shared" si="95"/>
        <v>8593400.0372861326</v>
      </c>
      <c r="P240" s="101">
        <f t="shared" si="95"/>
        <v>3060399.1516250209</v>
      </c>
      <c r="Q240" s="101">
        <f t="shared" si="95"/>
        <v>1129820.6672982799</v>
      </c>
      <c r="R240" s="101">
        <f t="shared" si="95"/>
        <v>264482.73755277996</v>
      </c>
      <c r="S240" s="101">
        <f t="shared" si="95"/>
        <v>955.63816607352248</v>
      </c>
      <c r="T240" s="101">
        <f t="shared" si="95"/>
        <v>3185.5919281025663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1052</v>
      </c>
      <c r="D241" s="97" t="s">
        <v>1699</v>
      </c>
      <c r="E241" s="97" t="s">
        <v>409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1052</v>
      </c>
      <c r="D242" s="97" t="s">
        <v>1700</v>
      </c>
      <c r="E242" s="97" t="s">
        <v>409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424</v>
      </c>
      <c r="F243" s="100">
        <f t="shared" ref="F243:T243" si="99">SUM(F237:F242)</f>
        <v>93374795.944417924</v>
      </c>
      <c r="G243" s="100">
        <f t="shared" si="99"/>
        <v>33195724.324050419</v>
      </c>
      <c r="H243" s="100">
        <f t="shared" si="99"/>
        <v>9816184.4221684281</v>
      </c>
      <c r="I243" s="100">
        <f>SUM(I237:I242)</f>
        <v>984631.44108133554</v>
      </c>
      <c r="J243" s="100">
        <f>SUM(J237:J242)</f>
        <v>712006.29084415501</v>
      </c>
      <c r="K243" s="100">
        <f>SUM(K237:K242)</f>
        <v>0</v>
      </c>
      <c r="L243" s="100">
        <f t="shared" si="99"/>
        <v>10679556.326519329</v>
      </c>
      <c r="M243" s="100">
        <f t="shared" si="99"/>
        <v>845590.34661775094</v>
      </c>
      <c r="N243" s="100">
        <f t="shared" si="99"/>
        <v>7726614.3597976547</v>
      </c>
      <c r="O243" s="100">
        <f t="shared" si="99"/>
        <v>19678143.626515754</v>
      </c>
      <c r="P243" s="100">
        <f>SUM(P237:P242)</f>
        <v>6854981.6526029743</v>
      </c>
      <c r="Q243" s="100">
        <f t="shared" si="99"/>
        <v>2602683.0824629497</v>
      </c>
      <c r="R243" s="100">
        <f t="shared" si="99"/>
        <v>271732.22748138214</v>
      </c>
      <c r="S243" s="100">
        <f t="shared" si="99"/>
        <v>983.29698949848239</v>
      </c>
      <c r="T243" s="100">
        <f t="shared" si="99"/>
        <v>5964.546897007338</v>
      </c>
      <c r="U243" s="100"/>
      <c r="V243" s="102">
        <f t="shared" si="96"/>
        <v>93374795.944028646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460</v>
      </c>
      <c r="F245" s="101"/>
      <c r="G245" s="101"/>
    </row>
    <row r="246" spans="1:24" ht="12" customHeight="1" x14ac:dyDescent="0.25">
      <c r="A246" s="107" t="s">
        <v>2370</v>
      </c>
      <c r="C246" s="97" t="s">
        <v>1052</v>
      </c>
      <c r="D246" s="97" t="s">
        <v>1701</v>
      </c>
      <c r="E246" s="97" t="s">
        <v>2371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4919176.7944189208</v>
      </c>
      <c r="H246" s="100">
        <f t="shared" si="100"/>
        <v>1245388.5450842285</v>
      </c>
      <c r="I246" s="100">
        <f t="shared" si="100"/>
        <v>143103.09242436991</v>
      </c>
      <c r="J246" s="100">
        <f t="shared" si="100"/>
        <v>120229.36579714781</v>
      </c>
      <c r="K246" s="100">
        <f t="shared" si="100"/>
        <v>0</v>
      </c>
      <c r="L246" s="100">
        <f t="shared" si="100"/>
        <v>1039006.3806196653</v>
      </c>
      <c r="M246" s="100">
        <f t="shared" si="100"/>
        <v>86342.534300529936</v>
      </c>
      <c r="N246" s="100">
        <f t="shared" si="100"/>
        <v>764410.44847948104</v>
      </c>
      <c r="O246" s="100">
        <f t="shared" si="100"/>
        <v>1966084.3236193683</v>
      </c>
      <c r="P246" s="100">
        <f t="shared" si="100"/>
        <v>719551.12539638754</v>
      </c>
      <c r="Q246" s="100">
        <f t="shared" si="100"/>
        <v>475759.87603733578</v>
      </c>
      <c r="R246" s="100">
        <f t="shared" si="100"/>
        <v>85327.958913364841</v>
      </c>
      <c r="S246" s="100">
        <f t="shared" si="100"/>
        <v>357.40901495169584</v>
      </c>
      <c r="T246" s="100">
        <f t="shared" si="100"/>
        <v>553.53324158333169</v>
      </c>
      <c r="U246" s="100"/>
      <c r="V246" s="102">
        <f>SUM(G246:T246)</f>
        <v>11565291.387347335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2369</v>
      </c>
      <c r="C247" s="97" t="s">
        <v>1052</v>
      </c>
      <c r="D247" s="97" t="s">
        <v>1702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2369</v>
      </c>
      <c r="C248" s="97" t="s">
        <v>1052</v>
      </c>
      <c r="D248" s="97" t="s">
        <v>1703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462</v>
      </c>
      <c r="D249" s="97" t="s">
        <v>1704</v>
      </c>
      <c r="F249" s="100">
        <f t="shared" ref="F249:T249" si="101">SUM(F246:F248)</f>
        <v>11565291.387347333</v>
      </c>
      <c r="G249" s="100">
        <f t="shared" si="101"/>
        <v>4919176.7944189208</v>
      </c>
      <c r="H249" s="100">
        <f t="shared" si="101"/>
        <v>1245388.5450842285</v>
      </c>
      <c r="I249" s="100">
        <f>SUM(I246:I248)</f>
        <v>143103.09242436991</v>
      </c>
      <c r="J249" s="100">
        <f>SUM(J246:J248)</f>
        <v>120229.36579714781</v>
      </c>
      <c r="K249" s="100">
        <f>SUM(K246:K248)</f>
        <v>0</v>
      </c>
      <c r="L249" s="100">
        <f t="shared" si="101"/>
        <v>1039006.3806196653</v>
      </c>
      <c r="M249" s="100">
        <f t="shared" si="101"/>
        <v>86342.534300529936</v>
      </c>
      <c r="N249" s="100">
        <f t="shared" si="101"/>
        <v>764410.44847948104</v>
      </c>
      <c r="O249" s="100">
        <f t="shared" si="101"/>
        <v>1966084.3236193683</v>
      </c>
      <c r="P249" s="100">
        <f>SUM(P246:P248)</f>
        <v>719551.12539638754</v>
      </c>
      <c r="Q249" s="100">
        <f t="shared" si="101"/>
        <v>475759.87603733578</v>
      </c>
      <c r="R249" s="100">
        <f t="shared" si="101"/>
        <v>85327.958913364841</v>
      </c>
      <c r="S249" s="100">
        <f t="shared" si="101"/>
        <v>357.40901495169584</v>
      </c>
      <c r="T249" s="100">
        <f t="shared" si="101"/>
        <v>553.53324158333169</v>
      </c>
      <c r="U249" s="100"/>
      <c r="V249" s="102">
        <f>SUM(G249:T249)</f>
        <v>11565291.387347335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1693</v>
      </c>
      <c r="F251" s="101"/>
      <c r="G251" s="101"/>
    </row>
    <row r="252" spans="1:24" ht="12" customHeight="1" x14ac:dyDescent="0.25">
      <c r="A252" s="107" t="s">
        <v>157</v>
      </c>
      <c r="C252" s="97" t="s">
        <v>1052</v>
      </c>
      <c r="D252" s="97" t="s">
        <v>1705</v>
      </c>
      <c r="E252" s="97" t="s">
        <v>2375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1694</v>
      </c>
      <c r="F254" s="101"/>
      <c r="G254" s="101"/>
    </row>
    <row r="255" spans="1:24" ht="12" customHeight="1" x14ac:dyDescent="0.25">
      <c r="A255" s="107" t="s">
        <v>159</v>
      </c>
      <c r="C255" s="97" t="s">
        <v>1052</v>
      </c>
      <c r="D255" s="97" t="s">
        <v>1706</v>
      </c>
      <c r="E255" s="97" t="s">
        <v>2375</v>
      </c>
      <c r="F255" s="100">
        <f>VLOOKUP(C255,'Functional Assignment'!$C$1:$AU$771,18,)</f>
        <v>4300052.2956713419</v>
      </c>
      <c r="G255" s="100">
        <f t="shared" ref="G255:T255" si="103">IF(VLOOKUP($E255,$D$5:$AJ$946,3,)=0,0,(VLOOKUP($E255,$D$5:$AJ$946,G$1,)/VLOOKUP($E255,$D$5:$AJ$946,3,))*$F255)</f>
        <v>2039803.0353449592</v>
      </c>
      <c r="H255" s="100">
        <f t="shared" si="103"/>
        <v>516417.16502826591</v>
      </c>
      <c r="I255" s="100">
        <f t="shared" si="103"/>
        <v>59339.628253584851</v>
      </c>
      <c r="J255" s="100">
        <f t="shared" si="103"/>
        <v>49854.728858061113</v>
      </c>
      <c r="K255" s="100">
        <f t="shared" si="103"/>
        <v>0</v>
      </c>
      <c r="L255" s="100">
        <f t="shared" si="103"/>
        <v>430838.01568898972</v>
      </c>
      <c r="M255" s="100">
        <f t="shared" si="103"/>
        <v>35803.096921707947</v>
      </c>
      <c r="N255" s="100">
        <f t="shared" si="103"/>
        <v>316973.10713184753</v>
      </c>
      <c r="O255" s="100">
        <f t="shared" si="103"/>
        <v>815263.39439822081</v>
      </c>
      <c r="P255" s="100">
        <f t="shared" si="103"/>
        <v>0</v>
      </c>
      <c r="Q255" s="100">
        <f t="shared" si="103"/>
        <v>0</v>
      </c>
      <c r="R255" s="100">
        <f t="shared" si="103"/>
        <v>35382.389547117622</v>
      </c>
      <c r="S255" s="100">
        <f t="shared" si="103"/>
        <v>148.2044707938251</v>
      </c>
      <c r="T255" s="100">
        <f t="shared" si="103"/>
        <v>229.53002779388609</v>
      </c>
      <c r="U255" s="100"/>
      <c r="V255" s="102">
        <f>SUM(G255:T255)</f>
        <v>4300052.2956713419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818</v>
      </c>
      <c r="C258" s="97" t="s">
        <v>1052</v>
      </c>
      <c r="D258" s="97" t="s">
        <v>1707</v>
      </c>
      <c r="E258" s="97" t="s">
        <v>2375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819</v>
      </c>
      <c r="C259" s="97" t="s">
        <v>1052</v>
      </c>
      <c r="D259" s="97" t="s">
        <v>1708</v>
      </c>
      <c r="E259" s="97" t="s">
        <v>2375</v>
      </c>
      <c r="F259" s="101">
        <f>VLOOKUP(C259,'Functional Assignment'!$C$1:$AU$771,20,)</f>
        <v>4685732.3669744711</v>
      </c>
      <c r="G259" s="101">
        <f t="shared" si="104"/>
        <v>2222756.9452097598</v>
      </c>
      <c r="H259" s="101">
        <f t="shared" si="104"/>
        <v>562735.62706900854</v>
      </c>
      <c r="I259" s="101">
        <f t="shared" si="104"/>
        <v>64661.91516599802</v>
      </c>
      <c r="J259" s="101">
        <f t="shared" si="104"/>
        <v>54326.296657394872</v>
      </c>
      <c r="K259" s="101">
        <f t="shared" si="104"/>
        <v>0</v>
      </c>
      <c r="L259" s="101">
        <f t="shared" si="104"/>
        <v>469480.71702969185</v>
      </c>
      <c r="M259" s="101">
        <f t="shared" si="104"/>
        <v>39014.346465704788</v>
      </c>
      <c r="N259" s="101">
        <f t="shared" si="104"/>
        <v>345403.04289864015</v>
      </c>
      <c r="O259" s="101">
        <f t="shared" si="104"/>
        <v>888385.95720957534</v>
      </c>
      <c r="P259" s="101">
        <f t="shared" si="104"/>
        <v>0</v>
      </c>
      <c r="Q259" s="101">
        <f t="shared" si="104"/>
        <v>0</v>
      </c>
      <c r="R259" s="101">
        <f t="shared" si="104"/>
        <v>38555.905026718763</v>
      </c>
      <c r="S259" s="101">
        <f t="shared" si="104"/>
        <v>161.49721863336759</v>
      </c>
      <c r="T259" s="101">
        <f t="shared" si="104"/>
        <v>250.11702334621211</v>
      </c>
      <c r="U259" s="101"/>
      <c r="V259" s="101">
        <f t="shared" si="105"/>
        <v>4685732.3669744711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820</v>
      </c>
      <c r="C260" s="97" t="s">
        <v>1052</v>
      </c>
      <c r="D260" s="97" t="s">
        <v>1709</v>
      </c>
      <c r="E260" s="97" t="s">
        <v>939</v>
      </c>
      <c r="F260" s="101">
        <f>VLOOKUP(C260,'Functional Assignment'!$C$1:$AU$771,21,)</f>
        <v>8689268.7814947572</v>
      </c>
      <c r="G260" s="101">
        <f t="shared" si="104"/>
        <v>6943281.7829314824</v>
      </c>
      <c r="H260" s="101">
        <f t="shared" si="104"/>
        <v>1343409.0612705953</v>
      </c>
      <c r="I260" s="101">
        <f t="shared" si="104"/>
        <v>3321.079895615484</v>
      </c>
      <c r="J260" s="101">
        <f t="shared" si="104"/>
        <v>9560.1960101940876</v>
      </c>
      <c r="K260" s="101">
        <f t="shared" si="104"/>
        <v>0</v>
      </c>
      <c r="L260" s="101">
        <f t="shared" si="104"/>
        <v>70613.252149494263</v>
      </c>
      <c r="M260" s="101">
        <f t="shared" si="104"/>
        <v>2789.0622424343628</v>
      </c>
      <c r="N260" s="101">
        <f t="shared" si="104"/>
        <v>8625.1346803606011</v>
      </c>
      <c r="O260" s="101">
        <f t="shared" si="104"/>
        <v>4465.7239373081993</v>
      </c>
      <c r="P260" s="101">
        <f t="shared" si="104"/>
        <v>0</v>
      </c>
      <c r="Q260" s="101">
        <f t="shared" si="104"/>
        <v>0</v>
      </c>
      <c r="R260" s="101">
        <f t="shared" si="104"/>
        <v>301806.27029820887</v>
      </c>
      <c r="S260" s="101">
        <f t="shared" si="104"/>
        <v>7.1652209182642581</v>
      </c>
      <c r="T260" s="101">
        <f t="shared" si="104"/>
        <v>1390.0528581432663</v>
      </c>
      <c r="U260" s="101"/>
      <c r="V260" s="101">
        <f t="shared" si="105"/>
        <v>8689268.7814947553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821</v>
      </c>
      <c r="C261" s="97" t="s">
        <v>1052</v>
      </c>
      <c r="D261" s="97" t="s">
        <v>1710</v>
      </c>
      <c r="E261" s="97" t="s">
        <v>758</v>
      </c>
      <c r="F261" s="101">
        <f>VLOOKUP(C261,'Functional Assignment'!$C$1:$AU$771,22,)</f>
        <v>2157106.3780216407</v>
      </c>
      <c r="G261" s="101">
        <f t="shared" si="104"/>
        <v>1774652.9774965669</v>
      </c>
      <c r="H261" s="101">
        <f t="shared" si="104"/>
        <v>319606.09719041351</v>
      </c>
      <c r="I261" s="101">
        <f t="shared" si="104"/>
        <v>26721.295285717642</v>
      </c>
      <c r="J261" s="101">
        <f t="shared" si="104"/>
        <v>22449.918503037341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13531.725994118853</v>
      </c>
      <c r="S261" s="101">
        <f t="shared" si="104"/>
        <v>56.67967357645022</v>
      </c>
      <c r="T261" s="101">
        <f t="shared" si="104"/>
        <v>87.683878210009965</v>
      </c>
      <c r="U261" s="101"/>
      <c r="V261" s="101">
        <f t="shared" si="105"/>
        <v>2157106.3780216402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822</v>
      </c>
      <c r="C262" s="97" t="s">
        <v>1052</v>
      </c>
      <c r="D262" s="97" t="s">
        <v>1711</v>
      </c>
      <c r="E262" s="97" t="s">
        <v>938</v>
      </c>
      <c r="F262" s="101">
        <f>VLOOKUP(C262,'Functional Assignment'!$C$1:$AU$771,23,)</f>
        <v>3297506.2396226628</v>
      </c>
      <c r="G262" s="101">
        <f t="shared" si="104"/>
        <v>2661410.2290535686</v>
      </c>
      <c r="H262" s="101">
        <f t="shared" si="104"/>
        <v>514938.42958499113</v>
      </c>
      <c r="I262" s="101">
        <f t="shared" si="104"/>
        <v>1272.9939936217663</v>
      </c>
      <c r="J262" s="101">
        <f t="shared" si="104"/>
        <v>3664.4924185325608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115684.53075586283</v>
      </c>
      <c r="S262" s="101">
        <f t="shared" si="104"/>
        <v>2.7464811081375755</v>
      </c>
      <c r="T262" s="101">
        <f t="shared" si="104"/>
        <v>532.8173349786897</v>
      </c>
      <c r="U262" s="101"/>
      <c r="V262" s="101">
        <f t="shared" si="105"/>
        <v>3297506.2396226642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1712</v>
      </c>
      <c r="F263" s="100">
        <f>SUM(F258:F262)</f>
        <v>18829613.766113531</v>
      </c>
      <c r="G263" s="100">
        <f t="shared" ref="G263:T263" si="108">SUM(G258:G262)</f>
        <v>13602101.934691377</v>
      </c>
      <c r="H263" s="100">
        <f t="shared" si="108"/>
        <v>2740689.2151150084</v>
      </c>
      <c r="I263" s="100">
        <f>SUM(I258:I262)</f>
        <v>95977.284340952916</v>
      </c>
      <c r="J263" s="100">
        <f>SUM(J258:J262)</f>
        <v>90000.903589158857</v>
      </c>
      <c r="K263" s="100">
        <f>SUM(K258:K262)</f>
        <v>0</v>
      </c>
      <c r="L263" s="100">
        <f t="shared" si="108"/>
        <v>540093.96917918616</v>
      </c>
      <c r="M263" s="100">
        <f t="shared" si="108"/>
        <v>41803.408708139148</v>
      </c>
      <c r="N263" s="100">
        <f t="shared" si="108"/>
        <v>354028.17757900077</v>
      </c>
      <c r="O263" s="100">
        <f t="shared" si="108"/>
        <v>892851.68114688352</v>
      </c>
      <c r="P263" s="100">
        <f>SUM(P258:P262)</f>
        <v>0</v>
      </c>
      <c r="Q263" s="100">
        <f t="shared" si="108"/>
        <v>0</v>
      </c>
      <c r="R263" s="100">
        <f t="shared" si="108"/>
        <v>469578.43207490927</v>
      </c>
      <c r="S263" s="100">
        <f t="shared" si="108"/>
        <v>228.08859423621965</v>
      </c>
      <c r="T263" s="100">
        <f t="shared" si="108"/>
        <v>2260.6710946781782</v>
      </c>
      <c r="U263" s="100"/>
      <c r="V263" s="102">
        <f t="shared" si="105"/>
        <v>18829613.766113531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817</v>
      </c>
      <c r="F265" s="101"/>
    </row>
    <row r="266" spans="1:24" ht="12" customHeight="1" x14ac:dyDescent="0.25">
      <c r="A266" s="107" t="s">
        <v>408</v>
      </c>
      <c r="C266" s="97" t="s">
        <v>1052</v>
      </c>
      <c r="D266" s="97" t="s">
        <v>1713</v>
      </c>
      <c r="E266" s="97" t="s">
        <v>2281</v>
      </c>
      <c r="F266" s="100">
        <f>VLOOKUP(C266,'Functional Assignment'!$C$1:$AU$771,24,)</f>
        <v>3348578.7342193513</v>
      </c>
      <c r="G266" s="100">
        <f t="shared" ref="G266:T267" si="109">IF(VLOOKUP($E266,$D$5:$AJ$946,3,)=0,0,(VLOOKUP($E266,$D$5:$AJ$946,G$1,)/VLOOKUP($E266,$D$5:$AJ$946,3,))*$F266)</f>
        <v>2323205.3001691676</v>
      </c>
      <c r="H266" s="100">
        <f t="shared" si="109"/>
        <v>418397.61822425766</v>
      </c>
      <c r="I266" s="100">
        <f t="shared" si="109"/>
        <v>34980.954373816283</v>
      </c>
      <c r="J266" s="100">
        <f t="shared" si="109"/>
        <v>29389.277969260394</v>
      </c>
      <c r="K266" s="100">
        <f t="shared" si="109"/>
        <v>0</v>
      </c>
      <c r="L266" s="100">
        <f t="shared" si="109"/>
        <v>314110.00952123798</v>
      </c>
      <c r="M266" s="100">
        <f t="shared" si="109"/>
        <v>0</v>
      </c>
      <c r="N266" s="100">
        <f t="shared" si="109"/>
        <v>210592.15051966373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17714.43653976831</v>
      </c>
      <c r="S266" s="100">
        <f t="shared" si="109"/>
        <v>74.199587037247795</v>
      </c>
      <c r="T266" s="100">
        <f t="shared" si="109"/>
        <v>114.78731514273021</v>
      </c>
      <c r="U266" s="100"/>
      <c r="V266" s="102">
        <f>SUM(G266:T266)</f>
        <v>3348578.7342193522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411</v>
      </c>
      <c r="C267" s="97" t="s">
        <v>1052</v>
      </c>
      <c r="D267" s="97" t="s">
        <v>1714</v>
      </c>
      <c r="E267" s="97" t="s">
        <v>2280</v>
      </c>
      <c r="F267" s="101">
        <f>VLOOKUP(C267,'Functional Assignment'!$C$1:$AU$771,25,)</f>
        <v>2979831.3009139607</v>
      </c>
      <c r="G267" s="101">
        <f t="shared" si="109"/>
        <v>2383065.5420515966</v>
      </c>
      <c r="H267" s="101">
        <f t="shared" si="109"/>
        <v>461083.38144418219</v>
      </c>
      <c r="I267" s="101">
        <f t="shared" si="109"/>
        <v>1139.857391514377</v>
      </c>
      <c r="J267" s="101">
        <f t="shared" si="109"/>
        <v>3281.2399668350758</v>
      </c>
      <c r="K267" s="101">
        <f t="shared" si="109"/>
        <v>0</v>
      </c>
      <c r="L267" s="101">
        <f t="shared" si="109"/>
        <v>24235.802790451322</v>
      </c>
      <c r="M267" s="101">
        <f t="shared" si="109"/>
        <v>0</v>
      </c>
      <c r="N267" s="101">
        <f t="shared" si="109"/>
        <v>2960.3092449523874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103585.61637104009</v>
      </c>
      <c r="S267" s="101">
        <f t="shared" si="109"/>
        <v>2.4592392481432084</v>
      </c>
      <c r="T267" s="101">
        <f t="shared" si="109"/>
        <v>477.09241413978242</v>
      </c>
      <c r="U267" s="101"/>
      <c r="V267" s="101">
        <f>SUM(G267:T267)</f>
        <v>2979831.3009139597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1532</v>
      </c>
      <c r="D268" s="97" t="s">
        <v>1715</v>
      </c>
      <c r="F268" s="100">
        <f t="shared" ref="F268:T268" si="110">F266+F267</f>
        <v>6328410.0351333115</v>
      </c>
      <c r="G268" s="100">
        <f t="shared" si="110"/>
        <v>4706270.8422207646</v>
      </c>
      <c r="H268" s="100">
        <f t="shared" si="110"/>
        <v>879480.99966843985</v>
      </c>
      <c r="I268" s="100">
        <f>I266+I267</f>
        <v>36120.811765330662</v>
      </c>
      <c r="J268" s="100">
        <f>J266+J267</f>
        <v>32670.517936095472</v>
      </c>
      <c r="K268" s="100">
        <f>K266+K267</f>
        <v>0</v>
      </c>
      <c r="L268" s="100">
        <f t="shared" si="110"/>
        <v>338345.81231168931</v>
      </c>
      <c r="M268" s="100">
        <f t="shared" si="110"/>
        <v>0</v>
      </c>
      <c r="N268" s="100">
        <f t="shared" si="110"/>
        <v>213552.45976461613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121300.0529108084</v>
      </c>
      <c r="S268" s="100">
        <f t="shared" si="110"/>
        <v>76.658826285391001</v>
      </c>
      <c r="T268" s="100">
        <f t="shared" si="110"/>
        <v>591.87972928251259</v>
      </c>
      <c r="U268" s="100"/>
      <c r="V268" s="102">
        <f>SUM(G268:T268)</f>
        <v>6328410.0351333125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411</v>
      </c>
      <c r="C271" s="97" t="s">
        <v>1052</v>
      </c>
      <c r="D271" s="97" t="s">
        <v>1716</v>
      </c>
      <c r="E271" s="97" t="s">
        <v>412</v>
      </c>
      <c r="F271" s="100">
        <f>VLOOKUP(C271,'Functional Assignment'!$C$1:$AU$771,26,)</f>
        <v>1994914.5952379843</v>
      </c>
      <c r="G271" s="100">
        <f t="shared" ref="G271:T271" si="111">IF(VLOOKUP($E271,$D$5:$AJ$946,3,)=0,0,(VLOOKUP($E271,$D$5:$AJ$946,G$1,)/VLOOKUP($E271,$D$5:$AJ$946,3,))*$F271)</f>
        <v>1399024.4279039057</v>
      </c>
      <c r="H271" s="100">
        <f t="shared" si="111"/>
        <v>548000.19221164822</v>
      </c>
      <c r="I271" s="100">
        <f t="shared" si="111"/>
        <v>1802.3615999447316</v>
      </c>
      <c r="J271" s="100">
        <f t="shared" si="111"/>
        <v>5189.8098173165854</v>
      </c>
      <c r="K271" s="100">
        <f t="shared" si="111"/>
        <v>0</v>
      </c>
      <c r="L271" s="100">
        <f t="shared" si="111"/>
        <v>36214.72581016647</v>
      </c>
      <c r="M271" s="100">
        <f t="shared" si="111"/>
        <v>0</v>
      </c>
      <c r="N271" s="100">
        <f t="shared" si="111"/>
        <v>4683.0778950020258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1994914.5952379836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411</v>
      </c>
      <c r="C274" s="97" t="s">
        <v>1052</v>
      </c>
      <c r="D274" s="97" t="s">
        <v>1717</v>
      </c>
      <c r="E274" s="97" t="s">
        <v>413</v>
      </c>
      <c r="F274" s="100">
        <f>VLOOKUP(C274,'Functional Assignment'!$C$1:$AU$771,27,)</f>
        <v>1702128.7935469616</v>
      </c>
      <c r="G274" s="100">
        <f t="shared" ref="G274:T274" si="112">IF(VLOOKUP($E274,$D$5:$AJ$946,3,)=0,0,(VLOOKUP($E274,$D$5:$AJ$946,G$1,)/VLOOKUP($E274,$D$5:$AJ$946,3,))*$F274)</f>
        <v>1057922.8543444856</v>
      </c>
      <c r="H274" s="100">
        <f t="shared" si="112"/>
        <v>394285.43394351722</v>
      </c>
      <c r="I274" s="100">
        <f t="shared" si="112"/>
        <v>5397.3918658539451</v>
      </c>
      <c r="J274" s="100">
        <f t="shared" si="112"/>
        <v>8363.4263706112033</v>
      </c>
      <c r="K274" s="100">
        <f t="shared" si="112"/>
        <v>0</v>
      </c>
      <c r="L274" s="100">
        <f t="shared" si="112"/>
        <v>103951.60793319198</v>
      </c>
      <c r="M274" s="100">
        <f t="shared" si="112"/>
        <v>23562.786646715154</v>
      </c>
      <c r="N274" s="100">
        <f t="shared" si="112"/>
        <v>17158.744621806232</v>
      </c>
      <c r="O274" s="100">
        <f t="shared" si="112"/>
        <v>52353.57930951874</v>
      </c>
      <c r="P274" s="100">
        <f t="shared" si="112"/>
        <v>35705.744287787064</v>
      </c>
      <c r="Q274" s="100">
        <f t="shared" si="112"/>
        <v>1511.2238990512542</v>
      </c>
      <c r="R274" s="100">
        <f t="shared" si="112"/>
        <v>0</v>
      </c>
      <c r="S274" s="100">
        <f t="shared" si="112"/>
        <v>9.8256426893496123</v>
      </c>
      <c r="T274" s="100">
        <f t="shared" si="112"/>
        <v>1906.1746817338253</v>
      </c>
      <c r="U274" s="100"/>
      <c r="V274" s="102">
        <f>SUM(G274:T274)</f>
        <v>1702128.7935469616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411</v>
      </c>
      <c r="C277" s="97" t="s">
        <v>1052</v>
      </c>
      <c r="D277" s="97" t="s">
        <v>1718</v>
      </c>
      <c r="E277" s="97" t="s">
        <v>414</v>
      </c>
      <c r="F277" s="100">
        <f>VLOOKUP(C277,'Functional Assignment'!$C$1:$AU$771,28,)</f>
        <v>2360988.2332892157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2360988.2332892157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2360988.2332892157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308</v>
      </c>
      <c r="F279" s="101"/>
    </row>
    <row r="280" spans="1:24" ht="12" customHeight="1" x14ac:dyDescent="0.25">
      <c r="A280" s="107" t="s">
        <v>411</v>
      </c>
      <c r="C280" s="97" t="s">
        <v>1052</v>
      </c>
      <c r="D280" s="97" t="s">
        <v>1719</v>
      </c>
      <c r="E280" s="97" t="s">
        <v>415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17570138.769793779</v>
      </c>
      <c r="H280" s="100">
        <f t="shared" si="114"/>
        <v>6799056.8060042337</v>
      </c>
      <c r="I280" s="100">
        <f t="shared" si="114"/>
        <v>109742.48345804817</v>
      </c>
      <c r="J280" s="100">
        <f t="shared" si="114"/>
        <v>241923.0211547307</v>
      </c>
      <c r="K280" s="100">
        <f t="shared" si="114"/>
        <v>0</v>
      </c>
      <c r="L280" s="100">
        <f t="shared" si="114"/>
        <v>893442.52332016907</v>
      </c>
      <c r="M280" s="100">
        <f t="shared" si="114"/>
        <v>35288.939848034075</v>
      </c>
      <c r="N280" s="100">
        <f t="shared" si="114"/>
        <v>545652.68262133608</v>
      </c>
      <c r="O280" s="100">
        <f t="shared" si="114"/>
        <v>282515.50109553291</v>
      </c>
      <c r="P280" s="100">
        <f t="shared" si="114"/>
        <v>24477.877351237505</v>
      </c>
      <c r="Q280" s="100">
        <f t="shared" si="114"/>
        <v>2039.8231126031258</v>
      </c>
      <c r="R280" s="100">
        <f t="shared" si="114"/>
        <v>763709.77335861023</v>
      </c>
      <c r="S280" s="100">
        <f t="shared" si="114"/>
        <v>0</v>
      </c>
      <c r="T280" s="100">
        <f t="shared" si="114"/>
        <v>3508.4957536773763</v>
      </c>
      <c r="U280" s="100"/>
      <c r="V280" s="102">
        <f>SUM(G280:T280)</f>
        <v>27271496.696871996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1696</v>
      </c>
      <c r="F282" s="101"/>
    </row>
    <row r="283" spans="1:24" ht="12" customHeight="1" x14ac:dyDescent="0.25">
      <c r="A283" s="107" t="s">
        <v>411</v>
      </c>
      <c r="C283" s="97" t="s">
        <v>1052</v>
      </c>
      <c r="D283" s="97" t="s">
        <v>1720</v>
      </c>
      <c r="E283" s="97" t="s">
        <v>415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2415279.6750038429</v>
      </c>
      <c r="H283" s="100">
        <f t="shared" si="115"/>
        <v>934632.55628750601</v>
      </c>
      <c r="I283" s="100">
        <f t="shared" si="115"/>
        <v>15085.753917684067</v>
      </c>
      <c r="J283" s="100">
        <f t="shared" si="115"/>
        <v>33255.955662403911</v>
      </c>
      <c r="K283" s="100">
        <f t="shared" si="115"/>
        <v>0</v>
      </c>
      <c r="L283" s="100">
        <f t="shared" si="115"/>
        <v>122817.10438560635</v>
      </c>
      <c r="M283" s="100">
        <f t="shared" si="115"/>
        <v>4850.9952188835377</v>
      </c>
      <c r="N283" s="100">
        <f t="shared" si="115"/>
        <v>75008.163066551817</v>
      </c>
      <c r="O283" s="100">
        <f t="shared" si="115"/>
        <v>38836.002185859543</v>
      </c>
      <c r="P283" s="100">
        <f t="shared" si="115"/>
        <v>3364.8521749481188</v>
      </c>
      <c r="Q283" s="100">
        <f t="shared" si="115"/>
        <v>280.40434791234327</v>
      </c>
      <c r="R283" s="100">
        <f t="shared" si="115"/>
        <v>104983.38785838132</v>
      </c>
      <c r="S283" s="100">
        <f t="shared" si="115"/>
        <v>0</v>
      </c>
      <c r="T283" s="100">
        <f t="shared" si="115"/>
        <v>482.29547840923044</v>
      </c>
      <c r="U283" s="100"/>
      <c r="V283" s="102">
        <f>SUM(G283:T283)</f>
        <v>3748877.1455879896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1695</v>
      </c>
      <c r="F285" s="101"/>
    </row>
    <row r="286" spans="1:24" ht="12" customHeight="1" x14ac:dyDescent="0.25">
      <c r="A286" s="107" t="s">
        <v>411</v>
      </c>
      <c r="C286" s="97" t="s">
        <v>1052</v>
      </c>
      <c r="D286" s="97" t="s">
        <v>1721</v>
      </c>
      <c r="E286" s="97" t="s">
        <v>416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425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80905442.657772452</v>
      </c>
      <c r="H288" s="100">
        <f t="shared" si="117"/>
        <v>23874135.335511275</v>
      </c>
      <c r="I288" s="100">
        <f>I243+I249+I252+I255+I263+I268+I271+I274+I277+I280+I283+I286</f>
        <v>1451200.2487071049</v>
      </c>
      <c r="J288" s="100">
        <f>J243+J249+J252+J255+J263+J268+J271+J274+J277+J280+J283+J286</f>
        <v>1293494.0200296808</v>
      </c>
      <c r="K288" s="100">
        <f>K243+K249+K252+K255+K263+K268+K271+K274+K277+K280+K283+K286</f>
        <v>0</v>
      </c>
      <c r="L288" s="100">
        <f t="shared" si="117"/>
        <v>14184266.465767993</v>
      </c>
      <c r="M288" s="100">
        <f t="shared" si="117"/>
        <v>1073242.1082617608</v>
      </c>
      <c r="N288" s="100">
        <f t="shared" si="117"/>
        <v>10018081.220957296</v>
      </c>
      <c r="O288" s="100">
        <f>O243+O249+O252+O255+O263+O268+O271+O274+O277+O280+O283+O286</f>
        <v>23726048.108271137</v>
      </c>
      <c r="P288" s="100">
        <f>P243+P249+P252+P255+P263+P268+P271+P274+P277+P280+P283+P286</f>
        <v>7638081.2518133344</v>
      </c>
      <c r="Q288" s="100">
        <f t="shared" si="117"/>
        <v>3082274.4098598524</v>
      </c>
      <c r="R288" s="100">
        <f t="shared" si="117"/>
        <v>4213002.4554337896</v>
      </c>
      <c r="S288" s="100">
        <f t="shared" si="117"/>
        <v>1803.4835384549635</v>
      </c>
      <c r="T288" s="100">
        <f t="shared" si="117"/>
        <v>15497.12690416568</v>
      </c>
      <c r="U288" s="100"/>
      <c r="V288" s="102">
        <f>SUM(G288:T288)</f>
        <v>171476568.89282826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841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843</v>
      </c>
      <c r="D294" s="97" t="s">
        <v>1722</v>
      </c>
      <c r="E294" s="97" t="s">
        <v>2213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19531435.541395456</v>
      </c>
      <c r="H294" s="100">
        <f t="shared" si="118"/>
        <v>5742265.6646621181</v>
      </c>
      <c r="I294" s="100">
        <f t="shared" si="118"/>
        <v>555281.15665715106</v>
      </c>
      <c r="J294" s="100">
        <f t="shared" si="118"/>
        <v>375003.25439374411</v>
      </c>
      <c r="K294" s="100">
        <f t="shared" si="118"/>
        <v>0</v>
      </c>
      <c r="L294" s="100">
        <f t="shared" si="118"/>
        <v>6044659.0089610182</v>
      </c>
      <c r="M294" s="100">
        <f t="shared" si="118"/>
        <v>475822.42753819894</v>
      </c>
      <c r="N294" s="100">
        <f t="shared" si="118"/>
        <v>4271986.0519415056</v>
      </c>
      <c r="O294" s="100">
        <f t="shared" si="118"/>
        <v>10737213.055494647</v>
      </c>
      <c r="P294" s="100">
        <f t="shared" si="118"/>
        <v>3675614.1846384048</v>
      </c>
      <c r="Q294" s="100">
        <f t="shared" si="118"/>
        <v>1426685.013121946</v>
      </c>
      <c r="R294" s="100">
        <f t="shared" si="118"/>
        <v>7022.2028394681474</v>
      </c>
      <c r="S294" s="100">
        <f t="shared" si="118"/>
        <v>26.791659869034554</v>
      </c>
      <c r="T294" s="100">
        <f t="shared" si="118"/>
        <v>2691.8287583799456</v>
      </c>
      <c r="U294" s="100"/>
      <c r="V294" s="102">
        <f t="shared" ref="V294:V300" si="119">SUM(G294:T294)</f>
        <v>52845706.182061911</v>
      </c>
      <c r="W294" s="98" t="str">
        <f t="shared" ref="W294:W300" si="120">IF(ABS(F294-V294)&lt;0.01,"ok","err")</f>
        <v>ok</v>
      </c>
      <c r="X294" s="240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843</v>
      </c>
      <c r="D295" s="97" t="s">
        <v>1723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20460414.958595373</v>
      </c>
      <c r="H295" s="101">
        <f t="shared" si="118"/>
        <v>6015386.7365494827</v>
      </c>
      <c r="I295" s="101">
        <f t="shared" si="118"/>
        <v>581692.1577430754</v>
      </c>
      <c r="J295" s="101">
        <f t="shared" si="118"/>
        <v>392839.64455443801</v>
      </c>
      <c r="K295" s="101">
        <f t="shared" si="118"/>
        <v>0</v>
      </c>
      <c r="L295" s="101">
        <f t="shared" si="118"/>
        <v>6332162.9044844927</v>
      </c>
      <c r="M295" s="101">
        <f t="shared" si="118"/>
        <v>498454.10970453214</v>
      </c>
      <c r="N295" s="101">
        <f t="shared" si="118"/>
        <v>4475175.7818723992</v>
      </c>
      <c r="O295" s="101">
        <f t="shared" si="118"/>
        <v>11247910.280258501</v>
      </c>
      <c r="P295" s="101">
        <f t="shared" si="118"/>
        <v>3850438.5039189924</v>
      </c>
      <c r="Q295" s="101">
        <f t="shared" si="118"/>
        <v>1494542.852306827</v>
      </c>
      <c r="R295" s="101">
        <f t="shared" si="118"/>
        <v>7356.2019399153569</v>
      </c>
      <c r="S295" s="101">
        <f t="shared" si="118"/>
        <v>28.06595947277868</v>
      </c>
      <c r="T295" s="101">
        <f t="shared" si="118"/>
        <v>2819.8610018810355</v>
      </c>
      <c r="U295" s="101"/>
      <c r="V295" s="101">
        <f t="shared" si="119"/>
        <v>55359222.058889382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843</v>
      </c>
      <c r="D296" s="97" t="s">
        <v>1724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16818392.10302395</v>
      </c>
      <c r="H296" s="101">
        <f t="shared" si="118"/>
        <v>4944627.6134354705</v>
      </c>
      <c r="I296" s="101">
        <f t="shared" si="118"/>
        <v>478148.99218684871</v>
      </c>
      <c r="J296" s="101">
        <f t="shared" si="118"/>
        <v>322912.86316036026</v>
      </c>
      <c r="K296" s="101">
        <f t="shared" si="118"/>
        <v>0</v>
      </c>
      <c r="L296" s="101">
        <f t="shared" si="118"/>
        <v>5205016.5553022726</v>
      </c>
      <c r="M296" s="101">
        <f t="shared" si="118"/>
        <v>409727.59737958177</v>
      </c>
      <c r="N296" s="101">
        <f t="shared" si="118"/>
        <v>3678579.4023140292</v>
      </c>
      <c r="O296" s="101">
        <f t="shared" si="118"/>
        <v>9245744.3221869189</v>
      </c>
      <c r="P296" s="101">
        <f t="shared" si="118"/>
        <v>3165047.4664633218</v>
      </c>
      <c r="Q296" s="101">
        <f t="shared" si="118"/>
        <v>1228509.1849668736</v>
      </c>
      <c r="R296" s="101">
        <f t="shared" si="118"/>
        <v>6046.7731893456839</v>
      </c>
      <c r="S296" s="101">
        <f t="shared" si="118"/>
        <v>23.070124047629584</v>
      </c>
      <c r="T296" s="101">
        <f t="shared" si="118"/>
        <v>2317.9162349167241</v>
      </c>
      <c r="U296" s="101"/>
      <c r="V296" s="101">
        <f t="shared" si="119"/>
        <v>45505093.859967932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843</v>
      </c>
      <c r="D297" s="97" t="s">
        <v>1725</v>
      </c>
      <c r="E297" s="97" t="s">
        <v>409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843</v>
      </c>
      <c r="D298" s="97" t="s">
        <v>1726</v>
      </c>
      <c r="E298" s="97" t="s">
        <v>409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843</v>
      </c>
      <c r="D299" s="97" t="s">
        <v>1727</v>
      </c>
      <c r="E299" s="97" t="s">
        <v>409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1728</v>
      </c>
      <c r="F300" s="100">
        <f t="shared" ref="F300:T300" si="122">SUM(F294:F299)</f>
        <v>153710022.10201603</v>
      </c>
      <c r="G300" s="100">
        <f t="shared" si="122"/>
        <v>56810242.603014782</v>
      </c>
      <c r="H300" s="100">
        <f t="shared" si="122"/>
        <v>16702280.01464707</v>
      </c>
      <c r="I300" s="100">
        <f>SUM(I294:I299)</f>
        <v>1615122.3065870751</v>
      </c>
      <c r="J300" s="100">
        <f>SUM(J294:J299)</f>
        <v>1090755.7621085425</v>
      </c>
      <c r="K300" s="100">
        <f>SUM(K294:K299)</f>
        <v>0</v>
      </c>
      <c r="L300" s="100">
        <f t="shared" si="122"/>
        <v>17581838.468747783</v>
      </c>
      <c r="M300" s="100">
        <f t="shared" si="122"/>
        <v>1384004.1346223128</v>
      </c>
      <c r="N300" s="100">
        <f t="shared" si="122"/>
        <v>12425741.236127935</v>
      </c>
      <c r="O300" s="100">
        <f t="shared" si="122"/>
        <v>31230867.657940067</v>
      </c>
      <c r="P300" s="100">
        <f>SUM(P294:P299)</f>
        <v>10691100.155020719</v>
      </c>
      <c r="Q300" s="100">
        <f t="shared" si="122"/>
        <v>4149737.0503956461</v>
      </c>
      <c r="R300" s="100">
        <f t="shared" si="122"/>
        <v>20425.177968729189</v>
      </c>
      <c r="S300" s="100">
        <f t="shared" si="122"/>
        <v>77.92774338944281</v>
      </c>
      <c r="T300" s="100">
        <f t="shared" si="122"/>
        <v>7829.6059951777042</v>
      </c>
      <c r="U300" s="100"/>
      <c r="V300" s="102">
        <f t="shared" si="119"/>
        <v>153710022.10091919</v>
      </c>
      <c r="W300" s="98" t="str">
        <f t="shared" si="120"/>
        <v>ok</v>
      </c>
      <c r="X300" s="240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460</v>
      </c>
      <c r="F302" s="101"/>
      <c r="G302" s="101"/>
    </row>
    <row r="303" spans="1:24" ht="12" customHeight="1" x14ac:dyDescent="0.25">
      <c r="A303" s="107" t="s">
        <v>2370</v>
      </c>
      <c r="C303" s="97" t="s">
        <v>843</v>
      </c>
      <c r="D303" s="97" t="s">
        <v>1729</v>
      </c>
      <c r="E303" s="97" t="s">
        <v>2371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10232821.757226575</v>
      </c>
      <c r="H303" s="100">
        <f t="shared" si="123"/>
        <v>2590644.6409483063</v>
      </c>
      <c r="I303" s="100">
        <f t="shared" si="123"/>
        <v>297681.6038301129</v>
      </c>
      <c r="J303" s="100">
        <f t="shared" si="123"/>
        <v>250099.90931458984</v>
      </c>
      <c r="K303" s="100">
        <f t="shared" si="123"/>
        <v>0</v>
      </c>
      <c r="L303" s="100">
        <f t="shared" si="123"/>
        <v>2161330.5522104236</v>
      </c>
      <c r="M303" s="100">
        <f t="shared" si="123"/>
        <v>179608.86556607517</v>
      </c>
      <c r="N303" s="100">
        <f t="shared" si="123"/>
        <v>1590118.8746716194</v>
      </c>
      <c r="O303" s="100">
        <f t="shared" si="123"/>
        <v>4089828.7018470298</v>
      </c>
      <c r="P303" s="100">
        <f t="shared" si="123"/>
        <v>1496802.9650300024</v>
      </c>
      <c r="Q303" s="100">
        <f t="shared" si="123"/>
        <v>989670.87669093325</v>
      </c>
      <c r="R303" s="100">
        <f t="shared" si="123"/>
        <v>177498.35611906601</v>
      </c>
      <c r="S303" s="100">
        <f t="shared" si="123"/>
        <v>743.4786138558884</v>
      </c>
      <c r="T303" s="100">
        <f t="shared" si="123"/>
        <v>1151.4542441833821</v>
      </c>
      <c r="U303" s="100"/>
      <c r="V303" s="102">
        <f>SUM(G303:T303)</f>
        <v>24058002.036312778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2369</v>
      </c>
      <c r="C304" s="97" t="s">
        <v>843</v>
      </c>
      <c r="D304" s="97" t="s">
        <v>1730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2369</v>
      </c>
      <c r="C305" s="97" t="s">
        <v>843</v>
      </c>
      <c r="D305" s="97" t="s">
        <v>1731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462</v>
      </c>
      <c r="D306" s="97" t="s">
        <v>1732</v>
      </c>
      <c r="F306" s="100">
        <f t="shared" ref="F306:T306" si="124">SUM(F303:F305)</f>
        <v>24058002.03631277</v>
      </c>
      <c r="G306" s="100">
        <f t="shared" si="124"/>
        <v>10232821.757226575</v>
      </c>
      <c r="H306" s="100">
        <f t="shared" si="124"/>
        <v>2590644.6409483063</v>
      </c>
      <c r="I306" s="100">
        <f>SUM(I303:I305)</f>
        <v>297681.6038301129</v>
      </c>
      <c r="J306" s="100">
        <f>SUM(J303:J305)</f>
        <v>250099.90931458984</v>
      </c>
      <c r="K306" s="100">
        <f>SUM(K303:K305)</f>
        <v>0</v>
      </c>
      <c r="L306" s="100">
        <f t="shared" si="124"/>
        <v>2161330.5522104236</v>
      </c>
      <c r="M306" s="100">
        <f t="shared" si="124"/>
        <v>179608.86556607517</v>
      </c>
      <c r="N306" s="100">
        <f t="shared" si="124"/>
        <v>1590118.8746716194</v>
      </c>
      <c r="O306" s="100">
        <f t="shared" si="124"/>
        <v>4089828.7018470298</v>
      </c>
      <c r="P306" s="100">
        <f>SUM(P303:P305)</f>
        <v>1496802.9650300024</v>
      </c>
      <c r="Q306" s="100">
        <f t="shared" si="124"/>
        <v>989670.87669093325</v>
      </c>
      <c r="R306" s="100">
        <f t="shared" si="124"/>
        <v>177498.35611906601</v>
      </c>
      <c r="S306" s="100">
        <f t="shared" si="124"/>
        <v>743.4786138558884</v>
      </c>
      <c r="T306" s="100">
        <f t="shared" si="124"/>
        <v>1151.4542441833821</v>
      </c>
      <c r="U306" s="100"/>
      <c r="V306" s="102">
        <f>SUM(G306:T306)</f>
        <v>24058002.036312778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1693</v>
      </c>
      <c r="F308" s="101"/>
      <c r="G308" s="101"/>
    </row>
    <row r="309" spans="1:24" ht="12" customHeight="1" x14ac:dyDescent="0.25">
      <c r="A309" s="107" t="s">
        <v>157</v>
      </c>
      <c r="C309" s="97" t="s">
        <v>843</v>
      </c>
      <c r="D309" s="97" t="s">
        <v>1733</v>
      </c>
      <c r="E309" s="97" t="s">
        <v>2375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1694</v>
      </c>
      <c r="F311" s="101"/>
      <c r="G311" s="101"/>
    </row>
    <row r="312" spans="1:24" ht="12" customHeight="1" x14ac:dyDescent="0.25">
      <c r="A312" s="107" t="s">
        <v>159</v>
      </c>
      <c r="C312" s="97" t="s">
        <v>843</v>
      </c>
      <c r="D312" s="97" t="s">
        <v>1734</v>
      </c>
      <c r="E312" s="97" t="s">
        <v>2375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2888591.0530820889</v>
      </c>
      <c r="H312" s="100">
        <f t="shared" si="126"/>
        <v>731304.92342188081</v>
      </c>
      <c r="I312" s="100">
        <f t="shared" si="126"/>
        <v>84031.603197185585</v>
      </c>
      <c r="J312" s="100">
        <f t="shared" si="126"/>
        <v>70599.916383041695</v>
      </c>
      <c r="K312" s="100">
        <f t="shared" si="126"/>
        <v>0</v>
      </c>
      <c r="L312" s="100">
        <f t="shared" si="126"/>
        <v>610115.20028275251</v>
      </c>
      <c r="M312" s="100">
        <f t="shared" si="126"/>
        <v>50701.221465329661</v>
      </c>
      <c r="N312" s="100">
        <f t="shared" si="126"/>
        <v>448869.65332603478</v>
      </c>
      <c r="O312" s="100">
        <f t="shared" si="126"/>
        <v>1154504.8743227201</v>
      </c>
      <c r="P312" s="100">
        <f t="shared" si="126"/>
        <v>0</v>
      </c>
      <c r="Q312" s="100">
        <f t="shared" si="126"/>
        <v>0</v>
      </c>
      <c r="R312" s="100">
        <f t="shared" si="126"/>
        <v>50105.452394909713</v>
      </c>
      <c r="S312" s="100">
        <f t="shared" si="126"/>
        <v>209.87423831802019</v>
      </c>
      <c r="T312" s="100">
        <f t="shared" si="126"/>
        <v>325.04039518059494</v>
      </c>
      <c r="U312" s="100"/>
      <c r="V312" s="102">
        <f>SUM(G312:T312)</f>
        <v>6089358.8125094417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818</v>
      </c>
      <c r="C315" s="97" t="s">
        <v>843</v>
      </c>
      <c r="D315" s="97" t="s">
        <v>1735</v>
      </c>
      <c r="E315" s="97" t="s">
        <v>2375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819</v>
      </c>
      <c r="C316" s="97" t="s">
        <v>843</v>
      </c>
      <c r="D316" s="97" t="s">
        <v>1736</v>
      </c>
      <c r="E316" s="97" t="s">
        <v>2375</v>
      </c>
      <c r="F316" s="101">
        <f>VLOOKUP(C316,'Functional Assignment'!$C$1:$AU$771,20,)</f>
        <v>6635525.2727088071</v>
      </c>
      <c r="G316" s="101">
        <f t="shared" si="127"/>
        <v>3147674.4145657993</v>
      </c>
      <c r="H316" s="101">
        <f t="shared" si="127"/>
        <v>796897.08733430714</v>
      </c>
      <c r="I316" s="101">
        <f t="shared" si="127"/>
        <v>91568.5614675377</v>
      </c>
      <c r="J316" s="101">
        <f t="shared" si="127"/>
        <v>76932.160484355642</v>
      </c>
      <c r="K316" s="101">
        <f t="shared" si="127"/>
        <v>0</v>
      </c>
      <c r="L316" s="101">
        <f t="shared" si="127"/>
        <v>664837.62172517285</v>
      </c>
      <c r="M316" s="101">
        <f t="shared" si="127"/>
        <v>55248.712836443578</v>
      </c>
      <c r="N316" s="101">
        <f t="shared" si="127"/>
        <v>489129.64739049471</v>
      </c>
      <c r="O316" s="101">
        <f t="shared" si="127"/>
        <v>1258054.666658229</v>
      </c>
      <c r="P316" s="101">
        <f t="shared" si="127"/>
        <v>0</v>
      </c>
      <c r="Q316" s="101">
        <f t="shared" si="127"/>
        <v>0</v>
      </c>
      <c r="R316" s="101">
        <f t="shared" si="127"/>
        <v>54599.508076929553</v>
      </c>
      <c r="S316" s="101">
        <f t="shared" si="127"/>
        <v>228.69826780265379</v>
      </c>
      <c r="T316" s="101">
        <f t="shared" si="127"/>
        <v>354.19390173581621</v>
      </c>
      <c r="U316" s="101"/>
      <c r="V316" s="101">
        <f t="shared" si="128"/>
        <v>6635525.2727088081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820</v>
      </c>
      <c r="C317" s="97" t="s">
        <v>843</v>
      </c>
      <c r="D317" s="97" t="s">
        <v>1737</v>
      </c>
      <c r="E317" s="97" t="s">
        <v>939</v>
      </c>
      <c r="F317" s="101">
        <f>VLOOKUP(C317,'Functional Assignment'!$C$1:$AU$771,21,)</f>
        <v>12304984.170104707</v>
      </c>
      <c r="G317" s="101">
        <f t="shared" si="127"/>
        <v>9832469.7481450364</v>
      </c>
      <c r="H317" s="101">
        <f t="shared" si="127"/>
        <v>1902418.6785560851</v>
      </c>
      <c r="I317" s="101">
        <f t="shared" si="127"/>
        <v>4703.0235306142349</v>
      </c>
      <c r="J317" s="101">
        <f t="shared" si="127"/>
        <v>13538.315309001171</v>
      </c>
      <c r="K317" s="101">
        <f t="shared" si="127"/>
        <v>0</v>
      </c>
      <c r="L317" s="101">
        <f t="shared" si="127"/>
        <v>99996.325553836636</v>
      </c>
      <c r="M317" s="101">
        <f t="shared" si="127"/>
        <v>3949.6265572634111</v>
      </c>
      <c r="N317" s="101">
        <f t="shared" si="127"/>
        <v>12214.163052808814</v>
      </c>
      <c r="O317" s="101">
        <f t="shared" si="127"/>
        <v>6323.96853388419</v>
      </c>
      <c r="P317" s="101">
        <f t="shared" si="127"/>
        <v>0</v>
      </c>
      <c r="Q317" s="101">
        <f t="shared" si="127"/>
        <v>0</v>
      </c>
      <c r="R317" s="101">
        <f t="shared" si="127"/>
        <v>427391.70255232399</v>
      </c>
      <c r="S317" s="101">
        <f t="shared" si="127"/>
        <v>10.146760583849481</v>
      </c>
      <c r="T317" s="101">
        <f t="shared" si="127"/>
        <v>1968.4715532667997</v>
      </c>
      <c r="U317" s="101"/>
      <c r="V317" s="101">
        <f t="shared" si="128"/>
        <v>12304984.170104701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821</v>
      </c>
      <c r="C318" s="97" t="s">
        <v>843</v>
      </c>
      <c r="D318" s="97" t="s">
        <v>1738</v>
      </c>
      <c r="E318" s="97" t="s">
        <v>758</v>
      </c>
      <c r="F318" s="101">
        <f>VLOOKUP(C318,'Functional Assignment'!$C$1:$AU$771,22,)</f>
        <v>3054705.8103803005</v>
      </c>
      <c r="G318" s="101">
        <f t="shared" si="127"/>
        <v>2513108.6797579709</v>
      </c>
      <c r="H318" s="101">
        <f t="shared" si="127"/>
        <v>452598.26407630817</v>
      </c>
      <c r="I318" s="101">
        <f t="shared" si="127"/>
        <v>37840.366521483862</v>
      </c>
      <c r="J318" s="101">
        <f t="shared" si="127"/>
        <v>31791.615468073309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19162.449492462776</v>
      </c>
      <c r="S318" s="101">
        <f t="shared" si="127"/>
        <v>80.264807507191136</v>
      </c>
      <c r="T318" s="101">
        <f t="shared" si="127"/>
        <v>124.17025649446619</v>
      </c>
      <c r="U318" s="101"/>
      <c r="V318" s="101">
        <f t="shared" si="128"/>
        <v>3054705.810380301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822</v>
      </c>
      <c r="C319" s="97" t="s">
        <v>843</v>
      </c>
      <c r="D319" s="97" t="s">
        <v>1739</v>
      </c>
      <c r="E319" s="97" t="s">
        <v>938</v>
      </c>
      <c r="F319" s="101">
        <f>VLOOKUP(C319,'Functional Assignment'!$C$1:$AU$771,23,)</f>
        <v>4669640.576177272</v>
      </c>
      <c r="G319" s="101">
        <f t="shared" si="127"/>
        <v>3768856.915601749</v>
      </c>
      <c r="H319" s="101">
        <f t="shared" si="127"/>
        <v>729210.86733053031</v>
      </c>
      <c r="I319" s="101">
        <f t="shared" si="127"/>
        <v>1802.7030045973099</v>
      </c>
      <c r="J319" s="101">
        <f t="shared" si="127"/>
        <v>5189.334377311674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163822.3371232865</v>
      </c>
      <c r="S319" s="101">
        <f t="shared" si="127"/>
        <v>3.8893268707601076</v>
      </c>
      <c r="T319" s="101">
        <f t="shared" si="127"/>
        <v>754.52941292746095</v>
      </c>
      <c r="U319" s="101"/>
      <c r="V319" s="101">
        <f t="shared" si="128"/>
        <v>4669640.5761772739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1740</v>
      </c>
      <c r="F320" s="100">
        <f>SUM(F315:F319)</f>
        <v>26664855.829371091</v>
      </c>
      <c r="G320" s="100">
        <f t="shared" ref="G320:T320" si="131">SUM(G315:G319)</f>
        <v>19262109.758070558</v>
      </c>
      <c r="H320" s="100">
        <f t="shared" si="131"/>
        <v>3881124.897297231</v>
      </c>
      <c r="I320" s="100">
        <f>SUM(I315:I319)</f>
        <v>135914.6545242331</v>
      </c>
      <c r="J320" s="100">
        <f>SUM(J315:J319)</f>
        <v>127451.4256387418</v>
      </c>
      <c r="K320" s="100">
        <f>SUM(K315:K319)</f>
        <v>0</v>
      </c>
      <c r="L320" s="100">
        <f t="shared" si="131"/>
        <v>764833.9472790095</v>
      </c>
      <c r="M320" s="100">
        <f t="shared" si="131"/>
        <v>59198.339393706992</v>
      </c>
      <c r="N320" s="100">
        <f t="shared" si="131"/>
        <v>501343.81044330355</v>
      </c>
      <c r="O320" s="100">
        <f t="shared" si="131"/>
        <v>1264378.6351921132</v>
      </c>
      <c r="P320" s="100">
        <f>SUM(P315:P319)</f>
        <v>0</v>
      </c>
      <c r="Q320" s="100">
        <f t="shared" si="131"/>
        <v>0</v>
      </c>
      <c r="R320" s="100">
        <f t="shared" si="131"/>
        <v>664975.99724500277</v>
      </c>
      <c r="S320" s="100">
        <f t="shared" si="131"/>
        <v>322.99916276445447</v>
      </c>
      <c r="T320" s="100">
        <f t="shared" si="131"/>
        <v>3201.365124424543</v>
      </c>
      <c r="U320" s="100"/>
      <c r="V320" s="102">
        <f t="shared" si="128"/>
        <v>26664855.829371091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817</v>
      </c>
      <c r="F322" s="101"/>
    </row>
    <row r="323" spans="1:24" ht="12" customHeight="1" x14ac:dyDescent="0.25">
      <c r="A323" s="107" t="s">
        <v>408</v>
      </c>
      <c r="C323" s="97" t="s">
        <v>843</v>
      </c>
      <c r="D323" s="97" t="s">
        <v>1741</v>
      </c>
      <c r="E323" s="97" t="s">
        <v>2281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3289920.6091271727</v>
      </c>
      <c r="H323" s="100">
        <f t="shared" si="132"/>
        <v>592498.19501766656</v>
      </c>
      <c r="I323" s="100">
        <f t="shared" si="132"/>
        <v>49536.974934146136</v>
      </c>
      <c r="J323" s="100">
        <f t="shared" si="132"/>
        <v>41618.530773580991</v>
      </c>
      <c r="K323" s="100">
        <f t="shared" si="132"/>
        <v>0</v>
      </c>
      <c r="L323" s="100">
        <f t="shared" si="132"/>
        <v>444815.18434113631</v>
      </c>
      <c r="M323" s="100">
        <f t="shared" si="132"/>
        <v>0</v>
      </c>
      <c r="N323" s="100">
        <f t="shared" si="132"/>
        <v>298222.22601876978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25085.639158543385</v>
      </c>
      <c r="S323" s="100">
        <f t="shared" si="132"/>
        <v>105.07498005655879</v>
      </c>
      <c r="T323" s="100">
        <f t="shared" si="132"/>
        <v>162.55177866843934</v>
      </c>
      <c r="U323" s="100"/>
      <c r="V323" s="102">
        <f>SUM(G323:T323)</f>
        <v>4741964.9861297412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411</v>
      </c>
      <c r="C324" s="97" t="s">
        <v>843</v>
      </c>
      <c r="D324" s="97" t="s">
        <v>1742</v>
      </c>
      <c r="E324" s="97" t="s">
        <v>2280</v>
      </c>
      <c r="F324" s="101">
        <f>VLOOKUP(C324,'Functional Assignment'!$C$1:$AU$771,25,)</f>
        <v>4219777.0502181724</v>
      </c>
      <c r="G324" s="101">
        <f t="shared" si="132"/>
        <v>3374689.4599136277</v>
      </c>
      <c r="H324" s="101">
        <f t="shared" si="132"/>
        <v>652946.04787136253</v>
      </c>
      <c r="I324" s="101">
        <f t="shared" si="132"/>
        <v>1614.166566999492</v>
      </c>
      <c r="J324" s="101">
        <f t="shared" si="132"/>
        <v>4646.6057001490235</v>
      </c>
      <c r="K324" s="101">
        <f t="shared" si="132"/>
        <v>0</v>
      </c>
      <c r="L324" s="101">
        <f t="shared" si="132"/>
        <v>34320.62894882416</v>
      </c>
      <c r="M324" s="101">
        <f t="shared" si="132"/>
        <v>0</v>
      </c>
      <c r="N324" s="101">
        <f t="shared" si="132"/>
        <v>4192.1316181782931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146688.91039608547</v>
      </c>
      <c r="S324" s="101">
        <f t="shared" si="132"/>
        <v>3.4825600151013854</v>
      </c>
      <c r="T324" s="101">
        <f t="shared" si="132"/>
        <v>675.61664292966873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1532</v>
      </c>
      <c r="D325" s="97" t="s">
        <v>1743</v>
      </c>
      <c r="F325" s="100">
        <f t="shared" ref="F325:T325" si="133">F323+F324</f>
        <v>8961742.0363479126</v>
      </c>
      <c r="G325" s="100">
        <f t="shared" si="133"/>
        <v>6664610.0690408004</v>
      </c>
      <c r="H325" s="100">
        <f t="shared" si="133"/>
        <v>1245444.242889029</v>
      </c>
      <c r="I325" s="100">
        <f>I323+I324</f>
        <v>51151.141501145627</v>
      </c>
      <c r="J325" s="100">
        <f>J323+J324</f>
        <v>46265.136473730017</v>
      </c>
      <c r="K325" s="100">
        <f>K323+K324</f>
        <v>0</v>
      </c>
      <c r="L325" s="100">
        <f t="shared" si="133"/>
        <v>479135.8132899605</v>
      </c>
      <c r="M325" s="100">
        <f t="shared" si="133"/>
        <v>0</v>
      </c>
      <c r="N325" s="100">
        <f t="shared" si="133"/>
        <v>302414.35763694806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171774.54955462884</v>
      </c>
      <c r="S325" s="100">
        <f t="shared" si="133"/>
        <v>108.55754007166017</v>
      </c>
      <c r="T325" s="100">
        <f t="shared" si="133"/>
        <v>838.16842159810813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411</v>
      </c>
      <c r="C328" s="97" t="s">
        <v>843</v>
      </c>
      <c r="D328" s="97" t="s">
        <v>1744</v>
      </c>
      <c r="E328" s="97" t="s">
        <v>412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1981176.3074482749</v>
      </c>
      <c r="H328" s="100">
        <f t="shared" si="134"/>
        <v>776030.05039265135</v>
      </c>
      <c r="I328" s="100">
        <f t="shared" si="134"/>
        <v>2552.3472128467611</v>
      </c>
      <c r="J328" s="100">
        <f t="shared" si="134"/>
        <v>7349.3557690304388</v>
      </c>
      <c r="K328" s="100">
        <f t="shared" si="134"/>
        <v>0</v>
      </c>
      <c r="L328" s="100">
        <f t="shared" si="134"/>
        <v>51284.134375933463</v>
      </c>
      <c r="M328" s="100">
        <f t="shared" si="134"/>
        <v>0</v>
      </c>
      <c r="N328" s="100">
        <f t="shared" si="134"/>
        <v>6631.7662411467409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2825023.9614398838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411</v>
      </c>
      <c r="C331" s="97" t="s">
        <v>843</v>
      </c>
      <c r="D331" s="97" t="s">
        <v>1745</v>
      </c>
      <c r="E331" s="97" t="s">
        <v>413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1498138.0255637036</v>
      </c>
      <c r="H331" s="100">
        <f t="shared" si="135"/>
        <v>558352.62381459482</v>
      </c>
      <c r="I331" s="100">
        <f t="shared" si="135"/>
        <v>7643.3153513016105</v>
      </c>
      <c r="J331" s="100">
        <f t="shared" si="135"/>
        <v>11843.554582794699</v>
      </c>
      <c r="K331" s="100">
        <f t="shared" si="135"/>
        <v>0</v>
      </c>
      <c r="L331" s="100">
        <f t="shared" si="135"/>
        <v>147207.19570776352</v>
      </c>
      <c r="M331" s="100">
        <f t="shared" si="135"/>
        <v>33367.56221753198</v>
      </c>
      <c r="N331" s="100">
        <f t="shared" si="135"/>
        <v>24298.716757369581</v>
      </c>
      <c r="O331" s="100">
        <f t="shared" si="135"/>
        <v>74138.570327563313</v>
      </c>
      <c r="P331" s="100">
        <f t="shared" si="135"/>
        <v>50563.359160751672</v>
      </c>
      <c r="Q331" s="100">
        <f t="shared" si="135"/>
        <v>2140.0634072814037</v>
      </c>
      <c r="R331" s="100">
        <f t="shared" si="135"/>
        <v>0</v>
      </c>
      <c r="S331" s="100">
        <f t="shared" si="135"/>
        <v>13.91421773153548</v>
      </c>
      <c r="T331" s="100">
        <f t="shared" si="135"/>
        <v>2699.3582399178836</v>
      </c>
      <c r="U331" s="100"/>
      <c r="V331" s="102">
        <f>SUM(G331:T331)</f>
        <v>2410406.2593483054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411</v>
      </c>
      <c r="C334" s="97" t="s">
        <v>843</v>
      </c>
      <c r="D334" s="97" t="s">
        <v>1746</v>
      </c>
      <c r="E334" s="97" t="s">
        <v>414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308</v>
      </c>
      <c r="F336" s="101"/>
    </row>
    <row r="337" spans="1:24" ht="12" customHeight="1" x14ac:dyDescent="0.25">
      <c r="A337" s="107" t="s">
        <v>411</v>
      </c>
      <c r="C337" s="97" t="s">
        <v>843</v>
      </c>
      <c r="D337" s="97" t="s">
        <v>1747</v>
      </c>
      <c r="E337" s="97" t="s">
        <v>415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1696</v>
      </c>
      <c r="F339" s="101"/>
    </row>
    <row r="340" spans="1:24" ht="12" customHeight="1" x14ac:dyDescent="0.25">
      <c r="A340" s="107" t="s">
        <v>411</v>
      </c>
      <c r="C340" s="97" t="s">
        <v>843</v>
      </c>
      <c r="D340" s="97" t="s">
        <v>1748</v>
      </c>
      <c r="E340" s="97" t="s">
        <v>415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1695</v>
      </c>
      <c r="F342" s="101"/>
    </row>
    <row r="343" spans="1:24" ht="12" customHeight="1" x14ac:dyDescent="0.25">
      <c r="A343" s="107" t="s">
        <v>411</v>
      </c>
      <c r="C343" s="97" t="s">
        <v>843</v>
      </c>
      <c r="D343" s="97" t="s">
        <v>1749</v>
      </c>
      <c r="E343" s="97" t="s">
        <v>416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1750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99337689.57344678</v>
      </c>
      <c r="H345" s="100">
        <f t="shared" si="140"/>
        <v>26485181.393410761</v>
      </c>
      <c r="I345" s="100">
        <f>I300+I306+I309+I312+I320+I325+I328+I331+I334+I337+I340+I343</f>
        <v>2194096.9722039006</v>
      </c>
      <c r="J345" s="100">
        <f>J300+J306+J309+J312+J320+J325+J328+J331+J334+J337+J340+J343</f>
        <v>1604365.060270471</v>
      </c>
      <c r="K345" s="100">
        <f>K300+K306+K309+K312+K320+K325+K328+K331+K334+K337+K340+K343</f>
        <v>0</v>
      </c>
      <c r="L345" s="100">
        <f t="shared" si="140"/>
        <v>21795745.311893627</v>
      </c>
      <c r="M345" s="100">
        <f t="shared" si="140"/>
        <v>1706880.1232649565</v>
      </c>
      <c r="N345" s="100">
        <f t="shared" si="140"/>
        <v>15299418.415204357</v>
      </c>
      <c r="O345" s="100">
        <f>O300+O306+O309+O312+O320+O325+O328+O331+O334+O337+O340+O343</f>
        <v>37813718.439629495</v>
      </c>
      <c r="P345" s="100">
        <f>P300+P306+P309+P312+P320+P325+P328+P331+P334+P337+P340+P343</f>
        <v>12238466.479211472</v>
      </c>
      <c r="Q345" s="100">
        <f t="shared" si="140"/>
        <v>5141547.990493861</v>
      </c>
      <c r="R345" s="100">
        <f t="shared" si="140"/>
        <v>4428205.0351264244</v>
      </c>
      <c r="S345" s="100">
        <f t="shared" si="140"/>
        <v>1476.7515161310016</v>
      </c>
      <c r="T345" s="100">
        <f t="shared" si="140"/>
        <v>16044.992420482215</v>
      </c>
      <c r="U345" s="100"/>
      <c r="V345" s="102">
        <f>SUM(G345:T345)</f>
        <v>228062836.53809273</v>
      </c>
      <c r="W345" s="98" t="str">
        <f>IF(ABS(F345-V345)&lt;0.01,"ok","err")</f>
        <v>ok</v>
      </c>
      <c r="X345" s="240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2213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409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409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409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460</v>
      </c>
      <c r="F359" s="101"/>
      <c r="G359" s="101"/>
    </row>
    <row r="360" spans="1:24" ht="12" customHeight="1" x14ac:dyDescent="0.25">
      <c r="A360" s="107" t="s">
        <v>2370</v>
      </c>
      <c r="C360" s="97" t="s">
        <v>72</v>
      </c>
      <c r="D360" s="97" t="s">
        <v>82</v>
      </c>
      <c r="E360" s="97" t="s">
        <v>2371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2369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2369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462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1693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2375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1694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2375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818</v>
      </c>
      <c r="C372" s="97" t="s">
        <v>72</v>
      </c>
      <c r="D372" s="97" t="s">
        <v>88</v>
      </c>
      <c r="E372" s="97" t="s">
        <v>2375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819</v>
      </c>
      <c r="C373" s="97" t="s">
        <v>72</v>
      </c>
      <c r="D373" s="97" t="s">
        <v>89</v>
      </c>
      <c r="E373" s="97" t="s">
        <v>2375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820</v>
      </c>
      <c r="C374" s="97" t="s">
        <v>72</v>
      </c>
      <c r="D374" s="97" t="s">
        <v>90</v>
      </c>
      <c r="E374" s="97" t="s">
        <v>939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821</v>
      </c>
      <c r="C375" s="97" t="s">
        <v>72</v>
      </c>
      <c r="D375" s="97" t="s">
        <v>91</v>
      </c>
      <c r="E375" s="97" t="s">
        <v>758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822</v>
      </c>
      <c r="C376" s="97" t="s">
        <v>72</v>
      </c>
      <c r="D376" s="97" t="s">
        <v>92</v>
      </c>
      <c r="E376" s="97" t="s">
        <v>938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817</v>
      </c>
      <c r="F379" s="101"/>
    </row>
    <row r="380" spans="1:24" ht="12" customHeight="1" x14ac:dyDescent="0.25">
      <c r="A380" s="107" t="s">
        <v>408</v>
      </c>
      <c r="C380" s="97" t="s">
        <v>72</v>
      </c>
      <c r="D380" s="97" t="s">
        <v>94</v>
      </c>
      <c r="E380" s="97" t="s">
        <v>2281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411</v>
      </c>
      <c r="C381" s="97" t="s">
        <v>72</v>
      </c>
      <c r="D381" s="97" t="s">
        <v>95</v>
      </c>
      <c r="E381" s="97" t="s">
        <v>2280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1532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411</v>
      </c>
      <c r="C385" s="97" t="s">
        <v>72</v>
      </c>
      <c r="D385" s="97" t="s">
        <v>97</v>
      </c>
      <c r="E385" s="97" t="s">
        <v>412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411</v>
      </c>
      <c r="C388" s="97" t="s">
        <v>72</v>
      </c>
      <c r="D388" s="97" t="s">
        <v>98</v>
      </c>
      <c r="E388" s="97" t="s">
        <v>413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411</v>
      </c>
      <c r="C391" s="97" t="s">
        <v>72</v>
      </c>
      <c r="D391" s="97" t="s">
        <v>99</v>
      </c>
      <c r="E391" s="97" t="s">
        <v>414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308</v>
      </c>
      <c r="F393" s="101"/>
    </row>
    <row r="394" spans="1:24" ht="12" customHeight="1" x14ac:dyDescent="0.25">
      <c r="A394" s="107" t="s">
        <v>411</v>
      </c>
      <c r="C394" s="97" t="s">
        <v>72</v>
      </c>
      <c r="D394" s="97" t="s">
        <v>100</v>
      </c>
      <c r="E394" s="97" t="s">
        <v>415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1696</v>
      </c>
      <c r="F396" s="101"/>
    </row>
    <row r="397" spans="1:24" ht="12" customHeight="1" x14ac:dyDescent="0.25">
      <c r="A397" s="107" t="s">
        <v>411</v>
      </c>
      <c r="C397" s="97" t="s">
        <v>72</v>
      </c>
      <c r="D397" s="97" t="s">
        <v>101</v>
      </c>
      <c r="E397" s="97" t="s">
        <v>415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1695</v>
      </c>
      <c r="F399" s="101"/>
    </row>
    <row r="400" spans="1:24" ht="12" customHeight="1" x14ac:dyDescent="0.25">
      <c r="A400" s="107" t="s">
        <v>411</v>
      </c>
      <c r="C400" s="97" t="s">
        <v>72</v>
      </c>
      <c r="D400" s="97" t="s">
        <v>1749</v>
      </c>
      <c r="E400" s="97" t="s">
        <v>416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392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393</v>
      </c>
      <c r="D408" s="97" t="s">
        <v>1752</v>
      </c>
      <c r="E408" s="97" t="s">
        <v>2213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1915524.0518703882</v>
      </c>
      <c r="H408" s="100">
        <f t="shared" si="164"/>
        <v>563166.38731327548</v>
      </c>
      <c r="I408" s="100">
        <f t="shared" si="164"/>
        <v>54458.588508399378</v>
      </c>
      <c r="J408" s="100">
        <f t="shared" si="164"/>
        <v>36778.031589047474</v>
      </c>
      <c r="K408" s="100">
        <f t="shared" si="164"/>
        <v>0</v>
      </c>
      <c r="L408" s="100">
        <f t="shared" si="164"/>
        <v>592823.28185655701</v>
      </c>
      <c r="M408" s="100">
        <f t="shared" si="164"/>
        <v>46665.761072043293</v>
      </c>
      <c r="N408" s="100">
        <f t="shared" si="164"/>
        <v>418970.33192492725</v>
      </c>
      <c r="O408" s="100">
        <f t="shared" si="164"/>
        <v>1053040.3571343054</v>
      </c>
      <c r="P408" s="100">
        <f t="shared" si="164"/>
        <v>360481.81717869744</v>
      </c>
      <c r="Q408" s="100">
        <f t="shared" si="164"/>
        <v>139920.56299630573</v>
      </c>
      <c r="R408" s="100">
        <f t="shared" si="164"/>
        <v>688.69481752147374</v>
      </c>
      <c r="S408" s="100">
        <f t="shared" si="164"/>
        <v>2.6275625649685193</v>
      </c>
      <c r="T408" s="100">
        <f t="shared" si="164"/>
        <v>263.99814387758988</v>
      </c>
      <c r="U408" s="100"/>
      <c r="V408" s="102">
        <f t="shared" ref="V408:V414" si="165">SUM(G408:T408)</f>
        <v>5182784.49196791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393</v>
      </c>
      <c r="D409" s="97" t="s">
        <v>1753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2006632.6861316788</v>
      </c>
      <c r="H409" s="101">
        <f t="shared" si="164"/>
        <v>589952.43594569911</v>
      </c>
      <c r="I409" s="101">
        <f t="shared" si="164"/>
        <v>57048.818382022291</v>
      </c>
      <c r="J409" s="101">
        <f t="shared" si="164"/>
        <v>38527.315930126293</v>
      </c>
      <c r="K409" s="101">
        <f t="shared" si="164"/>
        <v>0</v>
      </c>
      <c r="L409" s="101">
        <f t="shared" si="164"/>
        <v>621019.91009283962</v>
      </c>
      <c r="M409" s="101">
        <f t="shared" si="164"/>
        <v>48885.338400704917</v>
      </c>
      <c r="N409" s="101">
        <f t="shared" si="164"/>
        <v>438897.94113474496</v>
      </c>
      <c r="O409" s="101">
        <f t="shared" si="164"/>
        <v>1103126.4255743481</v>
      </c>
      <c r="P409" s="101">
        <f t="shared" si="164"/>
        <v>377627.51994714362</v>
      </c>
      <c r="Q409" s="101">
        <f t="shared" si="164"/>
        <v>146575.64591589462</v>
      </c>
      <c r="R409" s="101">
        <f t="shared" si="164"/>
        <v>721.45141182575446</v>
      </c>
      <c r="S409" s="101">
        <f t="shared" si="164"/>
        <v>2.752538096597382</v>
      </c>
      <c r="T409" s="101">
        <f t="shared" si="164"/>
        <v>276.55476529548179</v>
      </c>
      <c r="U409" s="101"/>
      <c r="V409" s="101">
        <f t="shared" si="165"/>
        <v>5429294.7961704191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393</v>
      </c>
      <c r="D410" s="97" t="s">
        <v>1754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1649445.301593415</v>
      </c>
      <c r="H410" s="101">
        <f t="shared" si="164"/>
        <v>484938.91301557689</v>
      </c>
      <c r="I410" s="101">
        <f t="shared" si="164"/>
        <v>46893.93634022952</v>
      </c>
      <c r="J410" s="101">
        <f t="shared" si="164"/>
        <v>31669.323779659477</v>
      </c>
      <c r="K410" s="101">
        <f t="shared" si="164"/>
        <v>0</v>
      </c>
      <c r="L410" s="101">
        <f t="shared" si="164"/>
        <v>510476.27200436243</v>
      </c>
      <c r="M410" s="101">
        <f t="shared" si="164"/>
        <v>40183.583323009596</v>
      </c>
      <c r="N410" s="101">
        <f t="shared" si="164"/>
        <v>360772.62763984606</v>
      </c>
      <c r="O410" s="101">
        <f t="shared" si="164"/>
        <v>906766.20205704391</v>
      </c>
      <c r="P410" s="101">
        <f t="shared" si="164"/>
        <v>310408.54802876234</v>
      </c>
      <c r="Q410" s="101">
        <f t="shared" si="164"/>
        <v>120484.68668676273</v>
      </c>
      <c r="R410" s="101">
        <f t="shared" si="164"/>
        <v>593.03062777172215</v>
      </c>
      <c r="S410" s="101">
        <f t="shared" si="164"/>
        <v>2.2625770337877871</v>
      </c>
      <c r="T410" s="101">
        <f t="shared" si="164"/>
        <v>227.3270845245107</v>
      </c>
      <c r="U410" s="101"/>
      <c r="V410" s="101">
        <f t="shared" si="165"/>
        <v>4462862.0147579974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393</v>
      </c>
      <c r="D411" s="97" t="s">
        <v>1755</v>
      </c>
      <c r="E411" s="97" t="s">
        <v>409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393</v>
      </c>
      <c r="D412" s="97" t="s">
        <v>1756</v>
      </c>
      <c r="E412" s="97" t="s">
        <v>409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393</v>
      </c>
      <c r="D413" s="97" t="s">
        <v>1757</v>
      </c>
      <c r="E413" s="97" t="s">
        <v>409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1758</v>
      </c>
      <c r="F414" s="100">
        <f t="shared" ref="F414:T414" si="168">SUM(F408:F413)</f>
        <v>15074941.303003896</v>
      </c>
      <c r="G414" s="100">
        <f t="shared" si="168"/>
        <v>5571602.0395954819</v>
      </c>
      <c r="H414" s="100">
        <f t="shared" si="168"/>
        <v>1638057.7362745516</v>
      </c>
      <c r="I414" s="100">
        <f>SUM(I408:I413)</f>
        <v>158401.3432306512</v>
      </c>
      <c r="J414" s="100">
        <f>SUM(J408:J413)</f>
        <v>106974.67129883324</v>
      </c>
      <c r="K414" s="100">
        <f>SUM(K408:K413)</f>
        <v>0</v>
      </c>
      <c r="L414" s="100">
        <f t="shared" si="168"/>
        <v>1724319.4639537591</v>
      </c>
      <c r="M414" s="100">
        <f t="shared" si="168"/>
        <v>135734.68279575781</v>
      </c>
      <c r="N414" s="100">
        <f t="shared" si="168"/>
        <v>1218640.9006995182</v>
      </c>
      <c r="O414" s="100">
        <f t="shared" si="168"/>
        <v>3062932.9847656973</v>
      </c>
      <c r="P414" s="100">
        <f>SUM(P408:P413)</f>
        <v>1048517.8851546034</v>
      </c>
      <c r="Q414" s="100">
        <f t="shared" si="168"/>
        <v>406980.89559896308</v>
      </c>
      <c r="R414" s="100">
        <f t="shared" si="168"/>
        <v>2003.1768571189505</v>
      </c>
      <c r="S414" s="100">
        <f t="shared" si="168"/>
        <v>7.6426776953536883</v>
      </c>
      <c r="T414" s="100">
        <f t="shared" si="168"/>
        <v>767.87999369758234</v>
      </c>
      <c r="U414" s="100"/>
      <c r="V414" s="102">
        <f t="shared" si="165"/>
        <v>15074941.302896328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460</v>
      </c>
      <c r="F416" s="101"/>
      <c r="G416" s="101"/>
    </row>
    <row r="417" spans="1:24" ht="12" customHeight="1" x14ac:dyDescent="0.25">
      <c r="A417" s="107" t="s">
        <v>2370</v>
      </c>
      <c r="C417" s="97" t="s">
        <v>393</v>
      </c>
      <c r="D417" s="97" t="s">
        <v>1759</v>
      </c>
      <c r="E417" s="97" t="s">
        <v>2371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1421881.350106593</v>
      </c>
      <c r="H417" s="100">
        <f t="shared" si="169"/>
        <v>359977.86212943465</v>
      </c>
      <c r="I417" s="100">
        <f t="shared" si="169"/>
        <v>41363.753888993378</v>
      </c>
      <c r="J417" s="100">
        <f t="shared" si="169"/>
        <v>34752.134372576802</v>
      </c>
      <c r="K417" s="100">
        <f t="shared" si="169"/>
        <v>0</v>
      </c>
      <c r="L417" s="100">
        <f t="shared" si="169"/>
        <v>300323.37868421053</v>
      </c>
      <c r="M417" s="100">
        <f t="shared" si="169"/>
        <v>24957.191898886493</v>
      </c>
      <c r="N417" s="100">
        <f t="shared" si="169"/>
        <v>220951.79863279974</v>
      </c>
      <c r="O417" s="100">
        <f t="shared" si="169"/>
        <v>568293.99497554323</v>
      </c>
      <c r="P417" s="100">
        <f t="shared" si="169"/>
        <v>207985.27241592866</v>
      </c>
      <c r="Q417" s="100">
        <f t="shared" si="169"/>
        <v>137517.74395138831</v>
      </c>
      <c r="R417" s="100">
        <f t="shared" si="169"/>
        <v>24663.930265573388</v>
      </c>
      <c r="S417" s="100">
        <f t="shared" si="169"/>
        <v>103.30858880623241</v>
      </c>
      <c r="T417" s="100">
        <f t="shared" si="169"/>
        <v>159.99802929716779</v>
      </c>
      <c r="U417" s="100"/>
      <c r="V417" s="102">
        <f>SUM(G417:T417)</f>
        <v>3342931.7179400311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2369</v>
      </c>
      <c r="C418" s="97" t="s">
        <v>393</v>
      </c>
      <c r="D418" s="97" t="s">
        <v>1760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2369</v>
      </c>
      <c r="C419" s="97" t="s">
        <v>393</v>
      </c>
      <c r="D419" s="97" t="s">
        <v>1761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462</v>
      </c>
      <c r="D420" s="97" t="s">
        <v>1762</v>
      </c>
      <c r="F420" s="100">
        <f t="shared" ref="F420:T420" si="170">SUM(F417:F419)</f>
        <v>3342931.7179400311</v>
      </c>
      <c r="G420" s="100">
        <f t="shared" si="170"/>
        <v>1421881.350106593</v>
      </c>
      <c r="H420" s="100">
        <f t="shared" si="170"/>
        <v>359977.86212943465</v>
      </c>
      <c r="I420" s="100">
        <f>SUM(I417:I419)</f>
        <v>41363.753888993378</v>
      </c>
      <c r="J420" s="100">
        <f>SUM(J417:J419)</f>
        <v>34752.134372576802</v>
      </c>
      <c r="K420" s="100">
        <f>SUM(K417:K419)</f>
        <v>0</v>
      </c>
      <c r="L420" s="100">
        <f t="shared" si="170"/>
        <v>300323.37868421053</v>
      </c>
      <c r="M420" s="100">
        <f t="shared" si="170"/>
        <v>24957.191898886493</v>
      </c>
      <c r="N420" s="100">
        <f t="shared" si="170"/>
        <v>220951.79863279974</v>
      </c>
      <c r="O420" s="100">
        <f t="shared" si="170"/>
        <v>568293.99497554323</v>
      </c>
      <c r="P420" s="100">
        <f>SUM(P417:P419)</f>
        <v>207985.27241592866</v>
      </c>
      <c r="Q420" s="100">
        <f t="shared" si="170"/>
        <v>137517.74395138831</v>
      </c>
      <c r="R420" s="100">
        <f t="shared" si="170"/>
        <v>24663.930265573388</v>
      </c>
      <c r="S420" s="100">
        <f t="shared" si="170"/>
        <v>103.30858880623241</v>
      </c>
      <c r="T420" s="100">
        <f t="shared" si="170"/>
        <v>159.99802929716779</v>
      </c>
      <c r="U420" s="100"/>
      <c r="V420" s="102">
        <f>SUM(G420:T420)</f>
        <v>3342931.7179400311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1693</v>
      </c>
      <c r="F422" s="101"/>
      <c r="G422" s="101"/>
    </row>
    <row r="423" spans="1:24" ht="12" customHeight="1" x14ac:dyDescent="0.25">
      <c r="A423" s="107" t="s">
        <v>157</v>
      </c>
      <c r="C423" s="97" t="s">
        <v>393</v>
      </c>
      <c r="D423" s="97" t="s">
        <v>1763</v>
      </c>
      <c r="E423" s="97" t="s">
        <v>2375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1694</v>
      </c>
      <c r="F425" s="101"/>
      <c r="G425" s="101"/>
    </row>
    <row r="426" spans="1:24" ht="12" customHeight="1" x14ac:dyDescent="0.25">
      <c r="A426" s="107" t="s">
        <v>159</v>
      </c>
      <c r="C426" s="97" t="s">
        <v>393</v>
      </c>
      <c r="D426" s="97" t="s">
        <v>1764</v>
      </c>
      <c r="E426" s="97" t="s">
        <v>2375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371950.36620853067</v>
      </c>
      <c r="H426" s="100">
        <f t="shared" si="172"/>
        <v>94166.716256577711</v>
      </c>
      <c r="I426" s="100">
        <f t="shared" si="172"/>
        <v>10820.356709522386</v>
      </c>
      <c r="J426" s="100">
        <f t="shared" si="172"/>
        <v>9090.8211894325723</v>
      </c>
      <c r="K426" s="100">
        <f t="shared" si="172"/>
        <v>0</v>
      </c>
      <c r="L426" s="100">
        <f t="shared" si="172"/>
        <v>78561.682150343418</v>
      </c>
      <c r="M426" s="100">
        <f t="shared" si="172"/>
        <v>6528.5592680651644</v>
      </c>
      <c r="N426" s="100">
        <f t="shared" si="172"/>
        <v>57798.846865628024</v>
      </c>
      <c r="O426" s="100">
        <f t="shared" si="172"/>
        <v>148660.19554262812</v>
      </c>
      <c r="P426" s="100">
        <f t="shared" si="172"/>
        <v>0</v>
      </c>
      <c r="Q426" s="100">
        <f t="shared" si="172"/>
        <v>0</v>
      </c>
      <c r="R426" s="100">
        <f t="shared" si="172"/>
        <v>6451.8448699914125</v>
      </c>
      <c r="S426" s="100">
        <f t="shared" si="172"/>
        <v>27.024524540028629</v>
      </c>
      <c r="T426" s="100">
        <f t="shared" si="172"/>
        <v>41.853932176031037</v>
      </c>
      <c r="U426" s="100"/>
      <c r="V426" s="102">
        <f>SUM(G426:T426)</f>
        <v>784098.2675174356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818</v>
      </c>
      <c r="C429" s="97" t="s">
        <v>393</v>
      </c>
      <c r="D429" s="97" t="s">
        <v>1765</v>
      </c>
      <c r="E429" s="97" t="s">
        <v>2375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819</v>
      </c>
      <c r="C430" s="97" t="s">
        <v>393</v>
      </c>
      <c r="D430" s="97" t="s">
        <v>1766</v>
      </c>
      <c r="E430" s="97" t="s">
        <v>2375</v>
      </c>
      <c r="F430" s="101">
        <f>VLOOKUP(C430,'Functional Assignment'!$C$1:$AU$771,20,)</f>
        <v>854425.56935727748</v>
      </c>
      <c r="G430" s="101">
        <f t="shared" si="173"/>
        <v>405311.3194938986</v>
      </c>
      <c r="H430" s="101">
        <f t="shared" si="173"/>
        <v>102612.71257080352</v>
      </c>
      <c r="I430" s="101">
        <f t="shared" si="173"/>
        <v>11790.855591932454</v>
      </c>
      <c r="J430" s="101">
        <f t="shared" si="173"/>
        <v>9906.1946601398504</v>
      </c>
      <c r="K430" s="101">
        <f t="shared" si="173"/>
        <v>0</v>
      </c>
      <c r="L430" s="101">
        <f t="shared" si="173"/>
        <v>85608.032540997825</v>
      </c>
      <c r="M430" s="101">
        <f t="shared" si="173"/>
        <v>7114.1184731354742</v>
      </c>
      <c r="N430" s="101">
        <f t="shared" si="173"/>
        <v>62982.938092335702</v>
      </c>
      <c r="O430" s="101">
        <f t="shared" si="173"/>
        <v>161993.81822310915</v>
      </c>
      <c r="P430" s="101">
        <f t="shared" si="173"/>
        <v>0</v>
      </c>
      <c r="Q430" s="101">
        <f t="shared" si="173"/>
        <v>0</v>
      </c>
      <c r="R430" s="101">
        <f t="shared" si="173"/>
        <v>7030.5234111802984</v>
      </c>
      <c r="S430" s="101">
        <f t="shared" si="173"/>
        <v>29.448406817465941</v>
      </c>
      <c r="T430" s="101">
        <f t="shared" si="173"/>
        <v>45.607892927210173</v>
      </c>
      <c r="U430" s="101"/>
      <c r="V430" s="101">
        <f t="shared" si="174"/>
        <v>854425.56935727759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820</v>
      </c>
      <c r="C431" s="97" t="s">
        <v>393</v>
      </c>
      <c r="D431" s="97" t="s">
        <v>1767</v>
      </c>
      <c r="E431" s="97" t="s">
        <v>939</v>
      </c>
      <c r="F431" s="101">
        <f>VLOOKUP(C431,'Functional Assignment'!$C$1:$AU$771,21,)</f>
        <v>1584455.2877698585</v>
      </c>
      <c r="G431" s="101">
        <f t="shared" si="173"/>
        <v>1266081.1642598808</v>
      </c>
      <c r="H431" s="101">
        <f t="shared" si="173"/>
        <v>244965.55973746418</v>
      </c>
      <c r="I431" s="101">
        <f t="shared" si="173"/>
        <v>605.58635416142795</v>
      </c>
      <c r="J431" s="101">
        <f t="shared" si="173"/>
        <v>1743.2655729015862</v>
      </c>
      <c r="K431" s="101">
        <f t="shared" si="173"/>
        <v>0</v>
      </c>
      <c r="L431" s="101">
        <f t="shared" si="173"/>
        <v>12876.059374888613</v>
      </c>
      <c r="M431" s="101">
        <f t="shared" si="173"/>
        <v>508.57494791226713</v>
      </c>
      <c r="N431" s="101">
        <f t="shared" si="173"/>
        <v>1572.7606770697278</v>
      </c>
      <c r="O431" s="101">
        <f t="shared" si="173"/>
        <v>814.30786457628903</v>
      </c>
      <c r="P431" s="101">
        <f t="shared" si="173"/>
        <v>0</v>
      </c>
      <c r="Q431" s="101">
        <f t="shared" si="173"/>
        <v>0</v>
      </c>
      <c r="R431" s="101">
        <f t="shared" si="173"/>
        <v>55033.231550449847</v>
      </c>
      <c r="S431" s="101">
        <f t="shared" si="173"/>
        <v>1.3065509259146233</v>
      </c>
      <c r="T431" s="101">
        <f t="shared" si="173"/>
        <v>253.47087962743694</v>
      </c>
      <c r="U431" s="101"/>
      <c r="V431" s="101">
        <f t="shared" si="174"/>
        <v>1584455.2877698578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821</v>
      </c>
      <c r="C432" s="97" t="s">
        <v>393</v>
      </c>
      <c r="D432" s="97" t="s">
        <v>1768</v>
      </c>
      <c r="E432" s="97" t="s">
        <v>758</v>
      </c>
      <c r="F432" s="101">
        <f>VLOOKUP(C432,'Functional Assignment'!$C$1:$AU$771,22,)</f>
        <v>393340.18694614794</v>
      </c>
      <c r="G432" s="101">
        <f t="shared" si="173"/>
        <v>323601.25631506281</v>
      </c>
      <c r="H432" s="101">
        <f t="shared" si="173"/>
        <v>58278.962641287399</v>
      </c>
      <c r="I432" s="101">
        <f t="shared" si="173"/>
        <v>4872.5270993667955</v>
      </c>
      <c r="J432" s="101">
        <f t="shared" si="173"/>
        <v>4093.657703153805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2467.4590397865677</v>
      </c>
      <c r="S432" s="101">
        <f t="shared" si="173"/>
        <v>10.335324037683554</v>
      </c>
      <c r="T432" s="101">
        <f t="shared" si="173"/>
        <v>15.988823452888877</v>
      </c>
      <c r="U432" s="101"/>
      <c r="V432" s="101">
        <f t="shared" si="174"/>
        <v>393340.18694614799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822</v>
      </c>
      <c r="C433" s="97" t="s">
        <v>393</v>
      </c>
      <c r="D433" s="97" t="s">
        <v>1769</v>
      </c>
      <c r="E433" s="97" t="s">
        <v>938</v>
      </c>
      <c r="F433" s="101">
        <f>VLOOKUP(C433,'Functional Assignment'!$C$1:$AU$771,23,)</f>
        <v>601287.78717850288</v>
      </c>
      <c r="G433" s="101">
        <f t="shared" si="173"/>
        <v>485298.08622438688</v>
      </c>
      <c r="H433" s="101">
        <f t="shared" si="173"/>
        <v>93897.074443068675</v>
      </c>
      <c r="I433" s="101">
        <f t="shared" si="173"/>
        <v>232.12563855647068</v>
      </c>
      <c r="J433" s="101">
        <f t="shared" si="173"/>
        <v>668.20632846595697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21094.636508386415</v>
      </c>
      <c r="S433" s="101">
        <f t="shared" si="173"/>
        <v>0.50081043917253654</v>
      </c>
      <c r="T433" s="101">
        <f t="shared" si="173"/>
        <v>97.157225199472094</v>
      </c>
      <c r="U433" s="101"/>
      <c r="V433" s="101">
        <f t="shared" si="174"/>
        <v>601287.787178503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1770</v>
      </c>
      <c r="F434" s="100">
        <f>SUM(F429:F433)</f>
        <v>3433508.831251787</v>
      </c>
      <c r="G434" s="100">
        <f t="shared" ref="G434:T434" si="177">SUM(G429:G433)</f>
        <v>2480291.8262932291</v>
      </c>
      <c r="H434" s="100">
        <f t="shared" si="177"/>
        <v>499754.30939262384</v>
      </c>
      <c r="I434" s="100">
        <f>SUM(I429:I433)</f>
        <v>17501.094684017145</v>
      </c>
      <c r="J434" s="100">
        <f>SUM(J429:J433)</f>
        <v>16411.324264661198</v>
      </c>
      <c r="K434" s="100">
        <f>SUM(K429:K433)</f>
        <v>0</v>
      </c>
      <c r="L434" s="100">
        <f t="shared" si="177"/>
        <v>98484.091915886442</v>
      </c>
      <c r="M434" s="100">
        <f t="shared" si="177"/>
        <v>7622.6934210477411</v>
      </c>
      <c r="N434" s="100">
        <f t="shared" si="177"/>
        <v>64555.698769405433</v>
      </c>
      <c r="O434" s="100">
        <f t="shared" si="177"/>
        <v>162808.12608768544</v>
      </c>
      <c r="P434" s="100">
        <f>SUM(P429:P433)</f>
        <v>0</v>
      </c>
      <c r="Q434" s="100">
        <f t="shared" si="177"/>
        <v>0</v>
      </c>
      <c r="R434" s="100">
        <f t="shared" si="177"/>
        <v>85625.850509803131</v>
      </c>
      <c r="S434" s="100">
        <f t="shared" si="177"/>
        <v>41.591092220236661</v>
      </c>
      <c r="T434" s="100">
        <f t="shared" si="177"/>
        <v>412.22482120700806</v>
      </c>
      <c r="U434" s="100"/>
      <c r="V434" s="102">
        <f t="shared" si="174"/>
        <v>3433508.831251787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817</v>
      </c>
      <c r="F436" s="101"/>
    </row>
    <row r="437" spans="1:24" ht="12" customHeight="1" x14ac:dyDescent="0.25">
      <c r="A437" s="107" t="s">
        <v>408</v>
      </c>
      <c r="C437" s="97" t="s">
        <v>393</v>
      </c>
      <c r="D437" s="97" t="s">
        <v>1771</v>
      </c>
      <c r="E437" s="97" t="s">
        <v>2281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423627.69698957086</v>
      </c>
      <c r="H437" s="100">
        <f t="shared" si="178"/>
        <v>76293.222739013931</v>
      </c>
      <c r="I437" s="100">
        <f t="shared" si="178"/>
        <v>6378.6446849092454</v>
      </c>
      <c r="J437" s="100">
        <f t="shared" si="178"/>
        <v>5359.0236478013976</v>
      </c>
      <c r="K437" s="100">
        <f t="shared" si="178"/>
        <v>0</v>
      </c>
      <c r="L437" s="100">
        <f t="shared" si="178"/>
        <v>57276.771848430639</v>
      </c>
      <c r="M437" s="100">
        <f t="shared" si="178"/>
        <v>0</v>
      </c>
      <c r="N437" s="100">
        <f t="shared" si="178"/>
        <v>38400.681903674231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3230.1604831322979</v>
      </c>
      <c r="S437" s="100">
        <f t="shared" si="178"/>
        <v>13.530013973314224</v>
      </c>
      <c r="T437" s="100">
        <f t="shared" si="178"/>
        <v>20.931032635811412</v>
      </c>
      <c r="U437" s="100"/>
      <c r="V437" s="102">
        <f>SUM(G437:T437)</f>
        <v>610600.6633431419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411</v>
      </c>
      <c r="C438" s="97" t="s">
        <v>393</v>
      </c>
      <c r="D438" s="97" t="s">
        <v>1772</v>
      </c>
      <c r="E438" s="97" t="s">
        <v>2280</v>
      </c>
      <c r="F438" s="101">
        <f>VLOOKUP(C438,'Functional Assignment'!$C$1:$AU$771,25,)</f>
        <v>543360.9639801092</v>
      </c>
      <c r="G438" s="101">
        <f t="shared" si="178"/>
        <v>434542.98562464991</v>
      </c>
      <c r="H438" s="101">
        <f t="shared" si="178"/>
        <v>84076.810167030708</v>
      </c>
      <c r="I438" s="101">
        <f t="shared" si="178"/>
        <v>207.84868286440886</v>
      </c>
      <c r="J438" s="101">
        <f t="shared" si="178"/>
        <v>598.32169387667204</v>
      </c>
      <c r="K438" s="101">
        <f t="shared" si="178"/>
        <v>0</v>
      </c>
      <c r="L438" s="101">
        <f t="shared" si="178"/>
        <v>4419.3069463403435</v>
      </c>
      <c r="M438" s="101">
        <f t="shared" si="178"/>
        <v>0</v>
      </c>
      <c r="N438" s="101">
        <f t="shared" si="178"/>
        <v>539.80119093426572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18888.445244728726</v>
      </c>
      <c r="S438" s="101">
        <f t="shared" si="178"/>
        <v>0.44843297273874616</v>
      </c>
      <c r="T438" s="101">
        <f t="shared" si="178"/>
        <v>86.995996711316764</v>
      </c>
      <c r="U438" s="101"/>
      <c r="V438" s="101">
        <f>SUM(G438:T438)</f>
        <v>543360.9639801092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1532</v>
      </c>
      <c r="D439" s="97" t="s">
        <v>1773</v>
      </c>
      <c r="F439" s="100">
        <f t="shared" ref="F439:T439" si="179">F437+F438</f>
        <v>1153961.6273232508</v>
      </c>
      <c r="G439" s="100">
        <f t="shared" si="179"/>
        <v>858170.68261422077</v>
      </c>
      <c r="H439" s="100">
        <f t="shared" si="179"/>
        <v>160370.03290604462</v>
      </c>
      <c r="I439" s="100">
        <f>I437+I438</f>
        <v>6586.4933677736544</v>
      </c>
      <c r="J439" s="100">
        <f>J437+J438</f>
        <v>5957.3453416780694</v>
      </c>
      <c r="K439" s="100">
        <f>K437+K438</f>
        <v>0</v>
      </c>
      <c r="L439" s="100">
        <f t="shared" si="179"/>
        <v>61696.078794770983</v>
      </c>
      <c r="M439" s="100">
        <f t="shared" si="179"/>
        <v>0</v>
      </c>
      <c r="N439" s="100">
        <f t="shared" si="179"/>
        <v>38940.483094608499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22118.605727861024</v>
      </c>
      <c r="S439" s="100">
        <f t="shared" si="179"/>
        <v>13.978446946052971</v>
      </c>
      <c r="T439" s="100">
        <f t="shared" si="179"/>
        <v>107.92702934712818</v>
      </c>
      <c r="U439" s="100"/>
      <c r="V439" s="102">
        <f>SUM(G439:T439)</f>
        <v>1153961.6273232505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411</v>
      </c>
      <c r="C442" s="97" t="s">
        <v>393</v>
      </c>
      <c r="D442" s="97" t="s">
        <v>1774</v>
      </c>
      <c r="E442" s="97" t="s">
        <v>412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255106.81143071072</v>
      </c>
      <c r="H442" s="100">
        <f t="shared" si="180"/>
        <v>99925.761773855498</v>
      </c>
      <c r="I442" s="100">
        <f t="shared" si="180"/>
        <v>328.65381878709871</v>
      </c>
      <c r="J442" s="100">
        <f t="shared" si="180"/>
        <v>946.34218532628176</v>
      </c>
      <c r="K442" s="100">
        <f t="shared" si="180"/>
        <v>0</v>
      </c>
      <c r="L442" s="100">
        <f t="shared" si="180"/>
        <v>6603.6182385398624</v>
      </c>
      <c r="M442" s="100">
        <f t="shared" si="180"/>
        <v>0</v>
      </c>
      <c r="N442" s="100">
        <f t="shared" si="180"/>
        <v>853.94153643589584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363765.1289836553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411</v>
      </c>
      <c r="C445" s="97" t="s">
        <v>393</v>
      </c>
      <c r="D445" s="97" t="s">
        <v>1775</v>
      </c>
      <c r="E445" s="97" t="s">
        <v>413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192908.22999842238</v>
      </c>
      <c r="H445" s="100">
        <f t="shared" si="181"/>
        <v>71896.457160227394</v>
      </c>
      <c r="I445" s="100">
        <f t="shared" si="181"/>
        <v>984.19398652174914</v>
      </c>
      <c r="J445" s="100">
        <f t="shared" si="181"/>
        <v>1525.0391569207777</v>
      </c>
      <c r="K445" s="100">
        <f t="shared" si="181"/>
        <v>0</v>
      </c>
      <c r="L445" s="100">
        <f t="shared" si="181"/>
        <v>18955.182421413348</v>
      </c>
      <c r="M445" s="100">
        <f t="shared" si="181"/>
        <v>4296.5849987849597</v>
      </c>
      <c r="N445" s="100">
        <f t="shared" si="181"/>
        <v>3128.8321642683331</v>
      </c>
      <c r="O445" s="100">
        <f t="shared" si="181"/>
        <v>9546.4771152326994</v>
      </c>
      <c r="P445" s="100">
        <f t="shared" si="181"/>
        <v>6510.8073835886744</v>
      </c>
      <c r="Q445" s="100">
        <f t="shared" si="181"/>
        <v>275.56596050468107</v>
      </c>
      <c r="R445" s="100">
        <f t="shared" si="181"/>
        <v>0</v>
      </c>
      <c r="S445" s="100">
        <f t="shared" si="181"/>
        <v>1.7916687705681877</v>
      </c>
      <c r="T445" s="100">
        <f t="shared" si="181"/>
        <v>347.58374149022848</v>
      </c>
      <c r="U445" s="100"/>
      <c r="V445" s="102">
        <f>SUM(G445:T445)</f>
        <v>310376.7457561458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411</v>
      </c>
      <c r="C448" s="97" t="s">
        <v>393</v>
      </c>
      <c r="D448" s="97" t="s">
        <v>1776</v>
      </c>
      <c r="E448" s="97" t="s">
        <v>414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308</v>
      </c>
      <c r="F450" s="101"/>
    </row>
    <row r="451" spans="1:24" ht="12" customHeight="1" x14ac:dyDescent="0.25">
      <c r="A451" s="107" t="s">
        <v>411</v>
      </c>
      <c r="C451" s="97" t="s">
        <v>393</v>
      </c>
      <c r="D451" s="97" t="s">
        <v>1777</v>
      </c>
      <c r="E451" s="97" t="s">
        <v>415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1696</v>
      </c>
      <c r="F453" s="101"/>
    </row>
    <row r="454" spans="1:24" ht="12" customHeight="1" x14ac:dyDescent="0.25">
      <c r="A454" s="107" t="s">
        <v>411</v>
      </c>
      <c r="C454" s="97" t="s">
        <v>393</v>
      </c>
      <c r="D454" s="97" t="s">
        <v>1778</v>
      </c>
      <c r="E454" s="97" t="s">
        <v>415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1695</v>
      </c>
      <c r="F456" s="101"/>
    </row>
    <row r="457" spans="1:24" ht="12" customHeight="1" x14ac:dyDescent="0.25">
      <c r="A457" s="107" t="s">
        <v>411</v>
      </c>
      <c r="C457" s="97" t="s">
        <v>393</v>
      </c>
      <c r="D457" s="97" t="s">
        <v>1779</v>
      </c>
      <c r="E457" s="97" t="s">
        <v>416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426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11151911.30624719</v>
      </c>
      <c r="H459" s="100">
        <f t="shared" si="186"/>
        <v>2924148.8758933153</v>
      </c>
      <c r="I459" s="100">
        <f>I414+I420+I423+I426+I434+I439+I442+I445+I448+I451+I454+I457</f>
        <v>235985.88968626663</v>
      </c>
      <c r="J459" s="100">
        <f>J414+J420+J423+J426+J434+J439+J442+J445+J448+J451+J454+J457</f>
        <v>175657.67780942895</v>
      </c>
      <c r="K459" s="100">
        <f>K414+K420+K423+K426+K434+K439+K442+K445+K448+K451+K454+K457</f>
        <v>0</v>
      </c>
      <c r="L459" s="100">
        <f t="shared" si="186"/>
        <v>2288943.4961589235</v>
      </c>
      <c r="M459" s="100">
        <f t="shared" si="186"/>
        <v>179139.71238254217</v>
      </c>
      <c r="N459" s="100">
        <f t="shared" si="186"/>
        <v>1604870.5017626637</v>
      </c>
      <c r="O459" s="100">
        <f>O414+O420+O423+O426+O434+O439+O442+O445+O448+O451+O454+O457</f>
        <v>3952241.7784867864</v>
      </c>
      <c r="P459" s="100">
        <f>P414+P420+P423+P426+P434+P439+P442+P445+P448+P451+P454+P457</f>
        <v>1263013.9649541208</v>
      </c>
      <c r="Q459" s="100">
        <f t="shared" si="186"/>
        <v>544774.20551085612</v>
      </c>
      <c r="R459" s="100">
        <f t="shared" si="186"/>
        <v>571380.68012834003</v>
      </c>
      <c r="S459" s="100">
        <f t="shared" si="186"/>
        <v>195.33699897847254</v>
      </c>
      <c r="T459" s="100">
        <f t="shared" si="186"/>
        <v>1837.4675472151459</v>
      </c>
      <c r="U459" s="100"/>
      <c r="V459" s="102">
        <f>SUM(G459:T459)</f>
        <v>24894100.893566623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427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1751</v>
      </c>
      <c r="D465" s="97" t="s">
        <v>1780</v>
      </c>
      <c r="E465" s="97" t="s">
        <v>2213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994675.29609618173</v>
      </c>
      <c r="H465" s="100">
        <f t="shared" si="187"/>
        <v>292435.7397158657</v>
      </c>
      <c r="I465" s="100">
        <f t="shared" si="187"/>
        <v>28278.743144300406</v>
      </c>
      <c r="J465" s="100">
        <f t="shared" si="187"/>
        <v>19097.749999510743</v>
      </c>
      <c r="K465" s="100">
        <f t="shared" si="187"/>
        <v>0</v>
      </c>
      <c r="L465" s="100">
        <f t="shared" si="187"/>
        <v>307835.69271166751</v>
      </c>
      <c r="M465" s="100">
        <f t="shared" si="187"/>
        <v>24232.157078145166</v>
      </c>
      <c r="N465" s="100">
        <f t="shared" si="187"/>
        <v>217558.96959686975</v>
      </c>
      <c r="O465" s="100">
        <f t="shared" si="187"/>
        <v>546812.88288238505</v>
      </c>
      <c r="P465" s="100">
        <f t="shared" si="187"/>
        <v>187187.60429523035</v>
      </c>
      <c r="Q465" s="100">
        <f t="shared" si="187"/>
        <v>72656.632680962037</v>
      </c>
      <c r="R465" s="100">
        <f t="shared" si="187"/>
        <v>357.61896117628567</v>
      </c>
      <c r="S465" s="100">
        <f t="shared" si="187"/>
        <v>1.3644159517440237</v>
      </c>
      <c r="T465" s="100">
        <f t="shared" si="187"/>
        <v>137.08647076181538</v>
      </c>
      <c r="U465" s="100"/>
      <c r="V465" s="102">
        <f t="shared" ref="V465:V471" si="188">SUM(G465:T465)</f>
        <v>2691267.5380490078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1751</v>
      </c>
      <c r="D466" s="97" t="s">
        <v>1781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1041985.3299599068</v>
      </c>
      <c r="H466" s="101">
        <f t="shared" si="187"/>
        <v>306344.94687444303</v>
      </c>
      <c r="I466" s="101">
        <f t="shared" si="187"/>
        <v>29623.773327548333</v>
      </c>
      <c r="J466" s="101">
        <f t="shared" si="187"/>
        <v>20006.101903638501</v>
      </c>
      <c r="K466" s="101">
        <f t="shared" si="187"/>
        <v>0</v>
      </c>
      <c r="L466" s="101">
        <f t="shared" si="187"/>
        <v>322477.37236713967</v>
      </c>
      <c r="M466" s="101">
        <f t="shared" si="187"/>
        <v>25384.718297326483</v>
      </c>
      <c r="N466" s="101">
        <f t="shared" si="187"/>
        <v>227906.79090034543</v>
      </c>
      <c r="O466" s="101">
        <f t="shared" si="187"/>
        <v>572821.10497035494</v>
      </c>
      <c r="P466" s="101">
        <f t="shared" si="187"/>
        <v>196090.8634118824</v>
      </c>
      <c r="Q466" s="101">
        <f t="shared" si="187"/>
        <v>76112.421485661733</v>
      </c>
      <c r="R466" s="101">
        <f t="shared" si="187"/>
        <v>374.62849708208569</v>
      </c>
      <c r="S466" s="101">
        <f t="shared" si="187"/>
        <v>1.4293120692353891</v>
      </c>
      <c r="T466" s="101">
        <f t="shared" si="187"/>
        <v>143.60675491831753</v>
      </c>
      <c r="U466" s="101"/>
      <c r="V466" s="101">
        <f t="shared" si="188"/>
        <v>2819273.0880623171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1751</v>
      </c>
      <c r="D467" s="97" t="s">
        <v>1782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856508.42763100914</v>
      </c>
      <c r="H467" s="101">
        <f t="shared" si="187"/>
        <v>251814.51332930985</v>
      </c>
      <c r="I467" s="101">
        <f t="shared" si="187"/>
        <v>24350.641783269777</v>
      </c>
      <c r="J467" s="101">
        <f t="shared" si="187"/>
        <v>16444.948303802401</v>
      </c>
      <c r="K467" s="101">
        <f t="shared" si="187"/>
        <v>0</v>
      </c>
      <c r="L467" s="101">
        <f t="shared" si="187"/>
        <v>265075.31268543482</v>
      </c>
      <c r="M467" s="101">
        <f t="shared" si="187"/>
        <v>20866.152842608451</v>
      </c>
      <c r="N467" s="101">
        <f t="shared" si="187"/>
        <v>187338.6136136821</v>
      </c>
      <c r="O467" s="101">
        <f t="shared" si="187"/>
        <v>470857.01672104554</v>
      </c>
      <c r="P467" s="101">
        <f t="shared" si="187"/>
        <v>161186.02850212954</v>
      </c>
      <c r="Q467" s="101">
        <f t="shared" si="187"/>
        <v>62564.153808558105</v>
      </c>
      <c r="R467" s="101">
        <f t="shared" si="187"/>
        <v>307.94336134645175</v>
      </c>
      <c r="S467" s="101">
        <f t="shared" si="187"/>
        <v>1.1748897012416983</v>
      </c>
      <c r="T467" s="101">
        <f t="shared" si="187"/>
        <v>118.04426829791608</v>
      </c>
      <c r="U467" s="101"/>
      <c r="V467" s="101">
        <f t="shared" si="188"/>
        <v>2317432.9717401955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1751</v>
      </c>
      <c r="D468" s="97" t="s">
        <v>1783</v>
      </c>
      <c r="E468" s="97" t="s">
        <v>409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1751</v>
      </c>
      <c r="D469" s="97" t="s">
        <v>1784</v>
      </c>
      <c r="E469" s="97" t="s">
        <v>409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1751</v>
      </c>
      <c r="D470" s="97" t="s">
        <v>1785</v>
      </c>
      <c r="E470" s="97" t="s">
        <v>409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428</v>
      </c>
      <c r="F471" s="100">
        <f t="shared" ref="F471:T471" si="191">SUM(F465:F470)</f>
        <v>7827973.5979073774</v>
      </c>
      <c r="G471" s="100">
        <f t="shared" si="191"/>
        <v>2893169.0536870975</v>
      </c>
      <c r="H471" s="100">
        <f t="shared" si="191"/>
        <v>850595.19991961867</v>
      </c>
      <c r="I471" s="100">
        <f>SUM(I465:I470)</f>
        <v>82253.158255118513</v>
      </c>
      <c r="J471" s="100">
        <f>SUM(J465:J470)</f>
        <v>55548.800206951651</v>
      </c>
      <c r="K471" s="100">
        <f>SUM(K465:K470)</f>
        <v>0</v>
      </c>
      <c r="L471" s="100">
        <f t="shared" si="191"/>
        <v>895388.377764242</v>
      </c>
      <c r="M471" s="100">
        <f t="shared" si="191"/>
        <v>70483.0282180801</v>
      </c>
      <c r="N471" s="100">
        <f t="shared" si="191"/>
        <v>632804.3741108973</v>
      </c>
      <c r="O471" s="100">
        <f t="shared" si="191"/>
        <v>1590491.0045737857</v>
      </c>
      <c r="P471" s="100">
        <f>SUM(P465:P470)</f>
        <v>544464.49620924238</v>
      </c>
      <c r="Q471" s="100">
        <f t="shared" si="191"/>
        <v>211333.20797518187</v>
      </c>
      <c r="R471" s="100">
        <f t="shared" si="191"/>
        <v>1040.190819604823</v>
      </c>
      <c r="S471" s="100">
        <f t="shared" si="191"/>
        <v>3.968617722221111</v>
      </c>
      <c r="T471" s="100">
        <f t="shared" si="191"/>
        <v>398.73749397804897</v>
      </c>
      <c r="U471" s="100"/>
      <c r="V471" s="102">
        <f t="shared" si="188"/>
        <v>7827973.5978515213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460</v>
      </c>
      <c r="F473" s="101"/>
      <c r="G473" s="101"/>
    </row>
    <row r="474" spans="1:24" ht="12" customHeight="1" x14ac:dyDescent="0.25">
      <c r="A474" s="107" t="s">
        <v>2370</v>
      </c>
      <c r="C474" s="97" t="s">
        <v>1751</v>
      </c>
      <c r="D474" s="97" t="s">
        <v>1786</v>
      </c>
      <c r="E474" s="97" t="s">
        <v>2371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738341.1612868706</v>
      </c>
      <c r="H474" s="100">
        <f t="shared" si="192"/>
        <v>186925.91526169659</v>
      </c>
      <c r="I474" s="100">
        <f t="shared" si="192"/>
        <v>21478.980703484278</v>
      </c>
      <c r="J474" s="100">
        <f t="shared" si="192"/>
        <v>18045.761165600896</v>
      </c>
      <c r="K474" s="100">
        <f t="shared" si="192"/>
        <v>0</v>
      </c>
      <c r="L474" s="100">
        <f t="shared" si="192"/>
        <v>155949.09671096923</v>
      </c>
      <c r="M474" s="100">
        <f t="shared" si="192"/>
        <v>12959.535651622222</v>
      </c>
      <c r="N474" s="100">
        <f t="shared" si="192"/>
        <v>114733.76985972446</v>
      </c>
      <c r="O474" s="100">
        <f t="shared" si="192"/>
        <v>295098.35554924619</v>
      </c>
      <c r="P474" s="100">
        <f t="shared" si="192"/>
        <v>108000.63419822672</v>
      </c>
      <c r="Q474" s="100">
        <f t="shared" si="192"/>
        <v>71408.919428478956</v>
      </c>
      <c r="R474" s="100">
        <f t="shared" si="192"/>
        <v>12807.253511565283</v>
      </c>
      <c r="S474" s="100">
        <f t="shared" si="192"/>
        <v>53.645111404255523</v>
      </c>
      <c r="T474" s="100">
        <f t="shared" si="192"/>
        <v>83.08227036385675</v>
      </c>
      <c r="U474" s="100"/>
      <c r="V474" s="102">
        <f>SUM(G474:T474)</f>
        <v>1735886.1107092535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2369</v>
      </c>
      <c r="C475" s="97" t="s">
        <v>1751</v>
      </c>
      <c r="D475" s="97" t="s">
        <v>1787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2369</v>
      </c>
      <c r="C476" s="97" t="s">
        <v>1751</v>
      </c>
      <c r="D476" s="97" t="s">
        <v>1788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462</v>
      </c>
      <c r="D477" s="97" t="s">
        <v>1789</v>
      </c>
      <c r="F477" s="100">
        <f t="shared" ref="F477:T477" si="193">SUM(F474:F476)</f>
        <v>1735886.1107092532</v>
      </c>
      <c r="G477" s="100">
        <f t="shared" si="193"/>
        <v>738341.1612868706</v>
      </c>
      <c r="H477" s="100">
        <f t="shared" si="193"/>
        <v>186925.91526169659</v>
      </c>
      <c r="I477" s="100">
        <f>SUM(I474:I476)</f>
        <v>21478.980703484278</v>
      </c>
      <c r="J477" s="100">
        <f>SUM(J474:J476)</f>
        <v>18045.761165600896</v>
      </c>
      <c r="K477" s="100">
        <f>SUM(K474:K476)</f>
        <v>0</v>
      </c>
      <c r="L477" s="100">
        <f t="shared" si="193"/>
        <v>155949.09671096923</v>
      </c>
      <c r="M477" s="100">
        <f t="shared" si="193"/>
        <v>12959.535651622222</v>
      </c>
      <c r="N477" s="100">
        <f t="shared" si="193"/>
        <v>114733.76985972446</v>
      </c>
      <c r="O477" s="100">
        <f t="shared" si="193"/>
        <v>295098.35554924619</v>
      </c>
      <c r="P477" s="100">
        <f>SUM(P474:P476)</f>
        <v>108000.63419822672</v>
      </c>
      <c r="Q477" s="100">
        <f t="shared" si="193"/>
        <v>71408.919428478956</v>
      </c>
      <c r="R477" s="100">
        <f t="shared" si="193"/>
        <v>12807.253511565283</v>
      </c>
      <c r="S477" s="100">
        <f t="shared" si="193"/>
        <v>53.645111404255523</v>
      </c>
      <c r="T477" s="100">
        <f t="shared" si="193"/>
        <v>83.08227036385675</v>
      </c>
      <c r="U477" s="100"/>
      <c r="V477" s="102">
        <f>SUM(G477:T477)</f>
        <v>1735886.1107092535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1693</v>
      </c>
      <c r="F479" s="101"/>
      <c r="G479" s="101"/>
    </row>
    <row r="480" spans="1:24" ht="12" customHeight="1" x14ac:dyDescent="0.25">
      <c r="A480" s="107" t="s">
        <v>157</v>
      </c>
      <c r="C480" s="97" t="s">
        <v>1751</v>
      </c>
      <c r="D480" s="97" t="s">
        <v>1790</v>
      </c>
      <c r="E480" s="97" t="s">
        <v>2375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1694</v>
      </c>
      <c r="F482" s="101"/>
      <c r="G482" s="101"/>
    </row>
    <row r="483" spans="1:24" ht="12" customHeight="1" x14ac:dyDescent="0.25">
      <c r="A483" s="107" t="s">
        <v>159</v>
      </c>
      <c r="C483" s="97" t="s">
        <v>1751</v>
      </c>
      <c r="D483" s="97" t="s">
        <v>1791</v>
      </c>
      <c r="E483" s="97" t="s">
        <v>2375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193142.88446563817</v>
      </c>
      <c r="H483" s="100">
        <f t="shared" si="195"/>
        <v>48898.005892151712</v>
      </c>
      <c r="I483" s="100">
        <f t="shared" si="195"/>
        <v>5618.692964675306</v>
      </c>
      <c r="J483" s="100">
        <f t="shared" si="195"/>
        <v>4720.5960423869064</v>
      </c>
      <c r="K483" s="100">
        <f t="shared" si="195"/>
        <v>0</v>
      </c>
      <c r="L483" s="100">
        <f t="shared" si="195"/>
        <v>40794.770693902225</v>
      </c>
      <c r="M483" s="100">
        <f t="shared" si="195"/>
        <v>3390.0887940840034</v>
      </c>
      <c r="N483" s="100">
        <f t="shared" si="195"/>
        <v>30013.241057427604</v>
      </c>
      <c r="O483" s="100">
        <f t="shared" si="195"/>
        <v>77194.866790994114</v>
      </c>
      <c r="P483" s="100">
        <f t="shared" si="195"/>
        <v>0</v>
      </c>
      <c r="Q483" s="100">
        <f t="shared" si="195"/>
        <v>0</v>
      </c>
      <c r="R483" s="100">
        <f t="shared" si="195"/>
        <v>3350.2532636742749</v>
      </c>
      <c r="S483" s="100">
        <f t="shared" si="195"/>
        <v>14.033040682764737</v>
      </c>
      <c r="T483" s="100">
        <f t="shared" si="195"/>
        <v>21.733515869630072</v>
      </c>
      <c r="U483" s="100"/>
      <c r="V483" s="102">
        <f>SUM(G483:T483)</f>
        <v>407159.16652148671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818</v>
      </c>
      <c r="C486" s="97" t="s">
        <v>1751</v>
      </c>
      <c r="D486" s="97" t="s">
        <v>1792</v>
      </c>
      <c r="E486" s="97" t="s">
        <v>2375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819</v>
      </c>
      <c r="C487" s="97" t="s">
        <v>1751</v>
      </c>
      <c r="D487" s="97" t="s">
        <v>1793</v>
      </c>
      <c r="E487" s="97" t="s">
        <v>2375</v>
      </c>
      <c r="F487" s="101">
        <f>VLOOKUP(C487,'Functional Assignment'!$C$1:$AU$771,20,)</f>
        <v>443678.06572971429</v>
      </c>
      <c r="G487" s="101">
        <f t="shared" si="196"/>
        <v>210466.24621344442</v>
      </c>
      <c r="H487" s="101">
        <f t="shared" si="196"/>
        <v>53283.763343997205</v>
      </c>
      <c r="I487" s="101">
        <f t="shared" si="196"/>
        <v>6122.6444876434798</v>
      </c>
      <c r="J487" s="101">
        <f t="shared" si="196"/>
        <v>5143.9955019827357</v>
      </c>
      <c r="K487" s="101">
        <f t="shared" si="196"/>
        <v>0</v>
      </c>
      <c r="L487" s="101">
        <f t="shared" si="196"/>
        <v>44453.733187418271</v>
      </c>
      <c r="M487" s="101">
        <f t="shared" si="196"/>
        <v>3694.1524653892211</v>
      </c>
      <c r="N487" s="101">
        <f t="shared" si="196"/>
        <v>32705.187144390129</v>
      </c>
      <c r="O487" s="101">
        <f t="shared" si="196"/>
        <v>84118.624848112799</v>
      </c>
      <c r="P487" s="101">
        <f t="shared" si="196"/>
        <v>0</v>
      </c>
      <c r="Q487" s="101">
        <f t="shared" si="196"/>
        <v>0</v>
      </c>
      <c r="R487" s="101">
        <f t="shared" si="196"/>
        <v>3650.7440086166466</v>
      </c>
      <c r="S487" s="101">
        <f t="shared" si="196"/>
        <v>15.291691452332513</v>
      </c>
      <c r="T487" s="101">
        <f t="shared" si="196"/>
        <v>23.682837267117389</v>
      </c>
      <c r="U487" s="101"/>
      <c r="V487" s="101">
        <f t="shared" si="197"/>
        <v>443678.06572971441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820</v>
      </c>
      <c r="C488" s="97" t="s">
        <v>1751</v>
      </c>
      <c r="D488" s="97" t="s">
        <v>1794</v>
      </c>
      <c r="E488" s="97" t="s">
        <v>939</v>
      </c>
      <c r="F488" s="101">
        <f>VLOOKUP(C488,'Functional Assignment'!$C$1:$AU$771,21,)</f>
        <v>822761.02509637631</v>
      </c>
      <c r="G488" s="101">
        <f t="shared" si="196"/>
        <v>657438.70754968072</v>
      </c>
      <c r="H488" s="101">
        <f t="shared" si="196"/>
        <v>127203.40965038228</v>
      </c>
      <c r="I488" s="101">
        <f t="shared" si="196"/>
        <v>314.46318074114356</v>
      </c>
      <c r="J488" s="101">
        <f t="shared" si="196"/>
        <v>905.22653485193257</v>
      </c>
      <c r="K488" s="101">
        <f t="shared" si="196"/>
        <v>0</v>
      </c>
      <c r="L488" s="101">
        <f t="shared" si="196"/>
        <v>6686.1588914864496</v>
      </c>
      <c r="M488" s="101">
        <f t="shared" si="196"/>
        <v>264.08801101076619</v>
      </c>
      <c r="N488" s="101">
        <f t="shared" si="196"/>
        <v>816.68835775005721</v>
      </c>
      <c r="O488" s="101">
        <f t="shared" si="196"/>
        <v>422.84612167619792</v>
      </c>
      <c r="P488" s="101">
        <f t="shared" si="196"/>
        <v>0</v>
      </c>
      <c r="Q488" s="101">
        <f t="shared" si="196"/>
        <v>0</v>
      </c>
      <c r="R488" s="101">
        <f t="shared" si="196"/>
        <v>28577.138373242087</v>
      </c>
      <c r="S488" s="101">
        <f t="shared" si="196"/>
        <v>0.67845346438218668</v>
      </c>
      <c r="T488" s="101">
        <f t="shared" si="196"/>
        <v>131.61997209014424</v>
      </c>
      <c r="U488" s="101"/>
      <c r="V488" s="101">
        <f t="shared" si="197"/>
        <v>822761.02509637619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821</v>
      </c>
      <c r="C489" s="97" t="s">
        <v>1751</v>
      </c>
      <c r="D489" s="97" t="s">
        <v>1795</v>
      </c>
      <c r="E489" s="97" t="s">
        <v>758</v>
      </c>
      <c r="F489" s="101">
        <f>VLOOKUP(C489,'Functional Assignment'!$C$1:$AU$771,22,)</f>
        <v>204249.98920538765</v>
      </c>
      <c r="G489" s="101">
        <f t="shared" si="196"/>
        <v>168036.61385926625</v>
      </c>
      <c r="H489" s="101">
        <f t="shared" si="196"/>
        <v>30262.551057397657</v>
      </c>
      <c r="I489" s="101">
        <f t="shared" si="196"/>
        <v>2530.1600001143061</v>
      </c>
      <c r="J489" s="101">
        <f t="shared" si="196"/>
        <v>2125.7160326569706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1281.2789004703</v>
      </c>
      <c r="S489" s="101">
        <f t="shared" si="196"/>
        <v>5.3668297651469423</v>
      </c>
      <c r="T489" s="101">
        <f t="shared" si="196"/>
        <v>8.3025257170239506</v>
      </c>
      <c r="U489" s="101"/>
      <c r="V489" s="101">
        <f t="shared" si="197"/>
        <v>204249.98920538762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822</v>
      </c>
      <c r="C490" s="97" t="s">
        <v>1751</v>
      </c>
      <c r="D490" s="97" t="s">
        <v>1796</v>
      </c>
      <c r="E490" s="97" t="s">
        <v>938</v>
      </c>
      <c r="F490" s="101">
        <f>VLOOKUP(C490,'Functional Assignment'!$C$1:$AU$771,23,)</f>
        <v>312231.06134679017</v>
      </c>
      <c r="G490" s="101">
        <f t="shared" si="196"/>
        <v>252001.02141177116</v>
      </c>
      <c r="H490" s="101">
        <f t="shared" si="196"/>
        <v>48757.988829755588</v>
      </c>
      <c r="I490" s="101">
        <f t="shared" si="196"/>
        <v>120.53601626000133</v>
      </c>
      <c r="J490" s="101">
        <f t="shared" si="196"/>
        <v>346.97989146689707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10953.824252184502</v>
      </c>
      <c r="S490" s="101">
        <f t="shared" si="196"/>
        <v>0.26005613001079037</v>
      </c>
      <c r="T490" s="101">
        <f t="shared" si="196"/>
        <v>50.45088922209333</v>
      </c>
      <c r="U490" s="101"/>
      <c r="V490" s="101">
        <f t="shared" si="197"/>
        <v>312231.06134679023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1797</v>
      </c>
      <c r="F491" s="100">
        <f>SUM(F486:F490)</f>
        <v>1782920.1413782686</v>
      </c>
      <c r="G491" s="100">
        <f t="shared" ref="G491:T491" si="200">SUM(G486:G490)</f>
        <v>1287942.5890341625</v>
      </c>
      <c r="H491" s="100">
        <f t="shared" si="200"/>
        <v>259507.71288153273</v>
      </c>
      <c r="I491" s="100">
        <f>SUM(I486:I490)</f>
        <v>9087.8036847589301</v>
      </c>
      <c r="J491" s="100">
        <f>SUM(J486:J490)</f>
        <v>8521.9179609585353</v>
      </c>
      <c r="K491" s="100">
        <f>SUM(K486:K490)</f>
        <v>0</v>
      </c>
      <c r="L491" s="100">
        <f t="shared" si="200"/>
        <v>51139.892078904719</v>
      </c>
      <c r="M491" s="100">
        <f t="shared" si="200"/>
        <v>3958.2404763999875</v>
      </c>
      <c r="N491" s="100">
        <f t="shared" si="200"/>
        <v>33521.875502140188</v>
      </c>
      <c r="O491" s="100">
        <f t="shared" si="200"/>
        <v>84541.470969788992</v>
      </c>
      <c r="P491" s="100">
        <f>SUM(P486:P490)</f>
        <v>0</v>
      </c>
      <c r="Q491" s="100">
        <f t="shared" si="200"/>
        <v>0</v>
      </c>
      <c r="R491" s="100">
        <f t="shared" si="200"/>
        <v>44462.985534513537</v>
      </c>
      <c r="S491" s="100">
        <f t="shared" si="200"/>
        <v>21.597030811872433</v>
      </c>
      <c r="T491" s="100">
        <f t="shared" si="200"/>
        <v>214.0562242963789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817</v>
      </c>
      <c r="F493" s="101"/>
    </row>
    <row r="494" spans="1:24" ht="12" customHeight="1" x14ac:dyDescent="0.25">
      <c r="A494" s="107" t="s">
        <v>408</v>
      </c>
      <c r="C494" s="97" t="s">
        <v>1751</v>
      </c>
      <c r="D494" s="97" t="s">
        <v>1798</v>
      </c>
      <c r="E494" s="97" t="s">
        <v>2281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219977.40228122004</v>
      </c>
      <c r="H494" s="100">
        <f t="shared" si="201"/>
        <v>39616.826447029875</v>
      </c>
      <c r="I494" s="100">
        <f t="shared" si="201"/>
        <v>3312.2425607025193</v>
      </c>
      <c r="J494" s="100">
        <f t="shared" si="201"/>
        <v>2782.7833476997644</v>
      </c>
      <c r="K494" s="100">
        <f t="shared" si="201"/>
        <v>0</v>
      </c>
      <c r="L494" s="100">
        <f t="shared" si="201"/>
        <v>29742.142857533865</v>
      </c>
      <c r="M494" s="100">
        <f t="shared" si="201"/>
        <v>0</v>
      </c>
      <c r="N494" s="100">
        <f t="shared" si="201"/>
        <v>19940.344578569126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1677.3273255747172</v>
      </c>
      <c r="S494" s="100">
        <f t="shared" si="201"/>
        <v>7.0257382787498521</v>
      </c>
      <c r="T494" s="100">
        <f t="shared" si="201"/>
        <v>10.868869573470276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411</v>
      </c>
      <c r="C495" s="97" t="s">
        <v>1751</v>
      </c>
      <c r="D495" s="97" t="s">
        <v>1799</v>
      </c>
      <c r="E495" s="97" t="s">
        <v>2280</v>
      </c>
      <c r="F495" s="101">
        <f>VLOOKUP(C495,'Functional Assignment'!$C$1:$AU$771,25,)</f>
        <v>282151.36594410776</v>
      </c>
      <c r="G495" s="101">
        <f t="shared" si="201"/>
        <v>225645.39060246886</v>
      </c>
      <c r="H495" s="101">
        <f t="shared" si="201"/>
        <v>43658.614448644061</v>
      </c>
      <c r="I495" s="101">
        <f t="shared" si="201"/>
        <v>107.92970726182573</v>
      </c>
      <c r="J495" s="101">
        <f t="shared" si="201"/>
        <v>310.69085634108086</v>
      </c>
      <c r="K495" s="101">
        <f t="shared" si="201"/>
        <v>0</v>
      </c>
      <c r="L495" s="101">
        <f t="shared" si="201"/>
        <v>2294.8161058582368</v>
      </c>
      <c r="M495" s="101">
        <f t="shared" si="201"/>
        <v>0</v>
      </c>
      <c r="N495" s="101">
        <f t="shared" si="201"/>
        <v>280.30288051008142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9808.2140228163134</v>
      </c>
      <c r="S495" s="101">
        <f t="shared" si="201"/>
        <v>0.23285805234482357</v>
      </c>
      <c r="T495" s="101">
        <f t="shared" si="201"/>
        <v>45.174462154895778</v>
      </c>
      <c r="U495" s="101"/>
      <c r="V495" s="101">
        <f>SUM(G495:T495)</f>
        <v>282151.36594410782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1532</v>
      </c>
      <c r="D496" s="97" t="s">
        <v>1800</v>
      </c>
      <c r="F496" s="100">
        <f t="shared" ref="F496:T496" si="202">F494+F495</f>
        <v>599218.3299502898</v>
      </c>
      <c r="G496" s="100">
        <f t="shared" si="202"/>
        <v>445622.79288368893</v>
      </c>
      <c r="H496" s="100">
        <f t="shared" si="202"/>
        <v>83275.440895673935</v>
      </c>
      <c r="I496" s="100">
        <f>I494+I495</f>
        <v>3420.1722679643449</v>
      </c>
      <c r="J496" s="100">
        <f>J494+J495</f>
        <v>3093.4742040408451</v>
      </c>
      <c r="K496" s="100">
        <f>K494+K495</f>
        <v>0</v>
      </c>
      <c r="L496" s="100">
        <f t="shared" si="202"/>
        <v>32036.958963392102</v>
      </c>
      <c r="M496" s="100">
        <f t="shared" si="202"/>
        <v>0</v>
      </c>
      <c r="N496" s="100">
        <f t="shared" si="202"/>
        <v>20220.647459079206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11485.541348391031</v>
      </c>
      <c r="S496" s="100">
        <f t="shared" si="202"/>
        <v>7.2585963310946759</v>
      </c>
      <c r="T496" s="100">
        <f t="shared" si="202"/>
        <v>56.043331728366056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411</v>
      </c>
      <c r="C499" s="97" t="s">
        <v>1751</v>
      </c>
      <c r="D499" s="97" t="s">
        <v>1801</v>
      </c>
      <c r="E499" s="97" t="s">
        <v>412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132469.46335558966</v>
      </c>
      <c r="H499" s="100">
        <f t="shared" si="203"/>
        <v>51888.508830256964</v>
      </c>
      <c r="I499" s="100">
        <f t="shared" si="203"/>
        <v>170.66026093277051</v>
      </c>
      <c r="J499" s="100">
        <f t="shared" si="203"/>
        <v>491.40766072793707</v>
      </c>
      <c r="K499" s="100">
        <f t="shared" si="203"/>
        <v>0</v>
      </c>
      <c r="L499" s="100">
        <f t="shared" si="203"/>
        <v>3429.0647096349962</v>
      </c>
      <c r="M499" s="100">
        <f t="shared" si="203"/>
        <v>0</v>
      </c>
      <c r="N499" s="100">
        <f t="shared" si="203"/>
        <v>443.42672167119122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411</v>
      </c>
      <c r="C502" s="97" t="s">
        <v>1751</v>
      </c>
      <c r="D502" s="97" t="s">
        <v>1802</v>
      </c>
      <c r="E502" s="97" t="s">
        <v>413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100171.56955336132</v>
      </c>
      <c r="H502" s="100">
        <f t="shared" si="204"/>
        <v>37333.715410300945</v>
      </c>
      <c r="I502" s="100">
        <f t="shared" si="204"/>
        <v>511.06298769974512</v>
      </c>
      <c r="J502" s="100">
        <f t="shared" si="204"/>
        <v>791.9079760378213</v>
      </c>
      <c r="K502" s="100">
        <f t="shared" si="204"/>
        <v>0</v>
      </c>
      <c r="L502" s="100">
        <f t="shared" si="204"/>
        <v>9842.8686756329025</v>
      </c>
      <c r="M502" s="100">
        <f t="shared" si="204"/>
        <v>2231.0902082883467</v>
      </c>
      <c r="N502" s="100">
        <f t="shared" si="204"/>
        <v>1624.7105101029779</v>
      </c>
      <c r="O502" s="100">
        <f t="shared" si="204"/>
        <v>4957.2047617974877</v>
      </c>
      <c r="P502" s="100">
        <f t="shared" si="204"/>
        <v>3380.8707626368514</v>
      </c>
      <c r="Q502" s="100">
        <f t="shared" si="204"/>
        <v>143.09329767557986</v>
      </c>
      <c r="R502" s="100">
        <f t="shared" si="204"/>
        <v>0</v>
      </c>
      <c r="S502" s="100">
        <f t="shared" si="204"/>
        <v>0.93036089164793201</v>
      </c>
      <c r="T502" s="100">
        <f t="shared" si="204"/>
        <v>180.49001297969883</v>
      </c>
      <c r="U502" s="100"/>
      <c r="V502" s="102">
        <f>SUM(G502:T502)</f>
        <v>161169.5145174053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411</v>
      </c>
      <c r="C505" s="97" t="s">
        <v>1751</v>
      </c>
      <c r="D505" s="97" t="s">
        <v>1803</v>
      </c>
      <c r="E505" s="97" t="s">
        <v>414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308</v>
      </c>
      <c r="F507" s="101"/>
    </row>
    <row r="508" spans="1:24" ht="12" customHeight="1" x14ac:dyDescent="0.25">
      <c r="A508" s="107" t="s">
        <v>411</v>
      </c>
      <c r="C508" s="97" t="s">
        <v>1751</v>
      </c>
      <c r="D508" s="97" t="s">
        <v>1804</v>
      </c>
      <c r="E508" s="97" t="s">
        <v>415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1696</v>
      </c>
      <c r="F510" s="101"/>
    </row>
    <row r="511" spans="1:24" ht="12" customHeight="1" x14ac:dyDescent="0.25">
      <c r="A511" s="107" t="s">
        <v>411</v>
      </c>
      <c r="C511" s="97" t="s">
        <v>1751</v>
      </c>
      <c r="D511" s="97" t="s">
        <v>1805</v>
      </c>
      <c r="E511" s="97" t="s">
        <v>415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1695</v>
      </c>
      <c r="F513" s="101"/>
    </row>
    <row r="514" spans="1:24" ht="12" customHeight="1" x14ac:dyDescent="0.25">
      <c r="A514" s="107" t="s">
        <v>411</v>
      </c>
      <c r="C514" s="97" t="s">
        <v>1751</v>
      </c>
      <c r="D514" s="97" t="s">
        <v>1806</v>
      </c>
      <c r="E514" s="97" t="s">
        <v>416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429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5790859.514266408</v>
      </c>
      <c r="H516" s="100">
        <f t="shared" si="209"/>
        <v>1518424.4990912315</v>
      </c>
      <c r="I516" s="100">
        <f>I471+I477+I480+I483+I491+I496+I499+I502+I505+I508+I511+I514</f>
        <v>122540.53112463388</v>
      </c>
      <c r="J516" s="100">
        <f>J471+J477+J480+J483+J491+J496+J499+J502+J505+J508+J511+J514</f>
        <v>91213.865216704609</v>
      </c>
      <c r="K516" s="100">
        <f>K471+K477+K480+K483+K491+K496+K499+K502+K505+K508+K511+K514</f>
        <v>0</v>
      </c>
      <c r="L516" s="100">
        <f t="shared" si="209"/>
        <v>1188581.029596678</v>
      </c>
      <c r="M516" s="100">
        <f t="shared" si="209"/>
        <v>93021.983348474663</v>
      </c>
      <c r="N516" s="100">
        <f t="shared" si="209"/>
        <v>833362.04522104294</v>
      </c>
      <c r="O516" s="100">
        <f>O471+O477+O480+O483+O491+O496+O499+O502+O505+O508+O511+O514</f>
        <v>2052282.9026456124</v>
      </c>
      <c r="P516" s="100">
        <f>P471+P477+P480+P483+P491+P496+P499+P502+P505+P508+P511+P514</f>
        <v>655846.001170106</v>
      </c>
      <c r="Q516" s="100">
        <f t="shared" si="209"/>
        <v>282885.22070133639</v>
      </c>
      <c r="R516" s="100">
        <f t="shared" si="209"/>
        <v>296701.18035602215</v>
      </c>
      <c r="S516" s="100">
        <f t="shared" si="209"/>
        <v>101.43275784385642</v>
      </c>
      <c r="T516" s="100">
        <f t="shared" si="209"/>
        <v>954.1428492159796</v>
      </c>
      <c r="U516" s="100"/>
      <c r="V516" s="102">
        <f>SUM(G516:T516)</f>
        <v>12926774.348345311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730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934</v>
      </c>
      <c r="D523" s="97" t="s">
        <v>1780</v>
      </c>
      <c r="E523" s="97" t="s">
        <v>2213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934</v>
      </c>
      <c r="D524" s="97" t="s">
        <v>1781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934</v>
      </c>
      <c r="D525" s="97" t="s">
        <v>1782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934</v>
      </c>
      <c r="D526" s="97" t="s">
        <v>1783</v>
      </c>
      <c r="E526" s="97" t="s">
        <v>409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934</v>
      </c>
      <c r="D527" s="97" t="s">
        <v>1784</v>
      </c>
      <c r="E527" s="97" t="s">
        <v>409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934</v>
      </c>
      <c r="D528" s="97" t="s">
        <v>1785</v>
      </c>
      <c r="E528" s="97" t="s">
        <v>409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428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460</v>
      </c>
      <c r="F531" s="101"/>
      <c r="G531" s="101"/>
    </row>
    <row r="532" spans="1:24" ht="12" customHeight="1" x14ac:dyDescent="0.25">
      <c r="A532" s="107" t="s">
        <v>2370</v>
      </c>
      <c r="C532" s="97" t="s">
        <v>934</v>
      </c>
      <c r="D532" s="97" t="s">
        <v>1786</v>
      </c>
      <c r="E532" s="97" t="s">
        <v>2371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2369</v>
      </c>
      <c r="C533" s="97" t="s">
        <v>934</v>
      </c>
      <c r="D533" s="97" t="s">
        <v>1787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2369</v>
      </c>
      <c r="C534" s="97" t="s">
        <v>934</v>
      </c>
      <c r="D534" s="97" t="s">
        <v>1788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462</v>
      </c>
      <c r="D535" s="97" t="s">
        <v>1789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1693</v>
      </c>
      <c r="F537" s="101"/>
      <c r="G537" s="101"/>
    </row>
    <row r="538" spans="1:24" ht="12" customHeight="1" x14ac:dyDescent="0.25">
      <c r="A538" s="107" t="s">
        <v>157</v>
      </c>
      <c r="C538" s="97" t="s">
        <v>934</v>
      </c>
      <c r="D538" s="97" t="s">
        <v>1790</v>
      </c>
      <c r="E538" s="97" t="s">
        <v>2375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1694</v>
      </c>
      <c r="F540" s="101"/>
      <c r="G540" s="101"/>
    </row>
    <row r="541" spans="1:24" ht="12" customHeight="1" x14ac:dyDescent="0.25">
      <c r="A541" s="107" t="s">
        <v>159</v>
      </c>
      <c r="C541" s="97" t="s">
        <v>934</v>
      </c>
      <c r="D541" s="97" t="s">
        <v>1791</v>
      </c>
      <c r="E541" s="97" t="s">
        <v>2375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818</v>
      </c>
      <c r="C544" s="97" t="s">
        <v>934</v>
      </c>
      <c r="D544" s="97" t="s">
        <v>1792</v>
      </c>
      <c r="E544" s="97" t="s">
        <v>2375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819</v>
      </c>
      <c r="C545" s="97" t="s">
        <v>934</v>
      </c>
      <c r="D545" s="97" t="s">
        <v>1793</v>
      </c>
      <c r="E545" s="97" t="s">
        <v>2375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820</v>
      </c>
      <c r="C546" s="97" t="s">
        <v>934</v>
      </c>
      <c r="D546" s="97" t="s">
        <v>1794</v>
      </c>
      <c r="E546" s="97" t="s">
        <v>939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821</v>
      </c>
      <c r="C547" s="97" t="s">
        <v>934</v>
      </c>
      <c r="D547" s="97" t="s">
        <v>1795</v>
      </c>
      <c r="E547" s="97" t="s">
        <v>758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822</v>
      </c>
      <c r="C548" s="97" t="s">
        <v>934</v>
      </c>
      <c r="D548" s="97" t="s">
        <v>1796</v>
      </c>
      <c r="E548" s="97" t="s">
        <v>938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1797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817</v>
      </c>
      <c r="F551" s="101"/>
    </row>
    <row r="552" spans="1:24" ht="12" customHeight="1" x14ac:dyDescent="0.25">
      <c r="A552" s="107" t="s">
        <v>408</v>
      </c>
      <c r="C552" s="97" t="s">
        <v>934</v>
      </c>
      <c r="D552" s="97" t="s">
        <v>1798</v>
      </c>
      <c r="E552" s="97" t="s">
        <v>2281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411</v>
      </c>
      <c r="C553" s="97" t="s">
        <v>934</v>
      </c>
      <c r="D553" s="97" t="s">
        <v>1799</v>
      </c>
      <c r="E553" s="97" t="s">
        <v>2280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1532</v>
      </c>
      <c r="D554" s="97" t="s">
        <v>1800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411</v>
      </c>
      <c r="C557" s="97" t="s">
        <v>934</v>
      </c>
      <c r="D557" s="97" t="s">
        <v>1801</v>
      </c>
      <c r="E557" s="97" t="s">
        <v>412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411</v>
      </c>
      <c r="C560" s="97" t="s">
        <v>934</v>
      </c>
      <c r="D560" s="97" t="s">
        <v>1802</v>
      </c>
      <c r="E560" s="97" t="s">
        <v>413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411</v>
      </c>
      <c r="C563" s="97" t="s">
        <v>934</v>
      </c>
      <c r="D563" s="97" t="s">
        <v>1803</v>
      </c>
      <c r="E563" s="97" t="s">
        <v>414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308</v>
      </c>
      <c r="F565" s="101"/>
    </row>
    <row r="566" spans="1:24" ht="12" customHeight="1" x14ac:dyDescent="0.25">
      <c r="A566" s="107" t="s">
        <v>411</v>
      </c>
      <c r="C566" s="97" t="s">
        <v>934</v>
      </c>
      <c r="D566" s="97" t="s">
        <v>1804</v>
      </c>
      <c r="E566" s="97" t="s">
        <v>415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1696</v>
      </c>
      <c r="F568" s="101"/>
    </row>
    <row r="569" spans="1:24" ht="12" customHeight="1" x14ac:dyDescent="0.25">
      <c r="A569" s="107" t="s">
        <v>411</v>
      </c>
      <c r="C569" s="97" t="s">
        <v>934</v>
      </c>
      <c r="D569" s="97" t="s">
        <v>1805</v>
      </c>
      <c r="E569" s="97" t="s">
        <v>415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1695</v>
      </c>
      <c r="F571" s="101"/>
    </row>
    <row r="572" spans="1:24" ht="12" customHeight="1" x14ac:dyDescent="0.25">
      <c r="A572" s="107" t="s">
        <v>411</v>
      </c>
      <c r="C572" s="97" t="s">
        <v>934</v>
      </c>
      <c r="D572" s="97" t="s">
        <v>1806</v>
      </c>
      <c r="E572" s="97" t="s">
        <v>416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429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1169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395</v>
      </c>
      <c r="D585" s="97" t="s">
        <v>1170</v>
      </c>
      <c r="E585" s="97" t="s">
        <v>2213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6624759.3353853319</v>
      </c>
      <c r="H585" s="100">
        <f t="shared" si="233"/>
        <v>1947687.2546110407</v>
      </c>
      <c r="I585" s="100">
        <f t="shared" si="233"/>
        <v>188342.73694483403</v>
      </c>
      <c r="J585" s="100">
        <f t="shared" si="233"/>
        <v>127195.2747702303</v>
      </c>
      <c r="K585" s="100">
        <f t="shared" si="233"/>
        <v>0</v>
      </c>
      <c r="L585" s="100">
        <f t="shared" si="233"/>
        <v>2050254.3765390073</v>
      </c>
      <c r="M585" s="100">
        <f t="shared" si="233"/>
        <v>161391.5711489059</v>
      </c>
      <c r="N585" s="100">
        <f t="shared" si="233"/>
        <v>1448991.2642751611</v>
      </c>
      <c r="O585" s="100">
        <f t="shared" si="233"/>
        <v>3641895.7671929179</v>
      </c>
      <c r="P585" s="100">
        <f t="shared" si="233"/>
        <v>1246711.1970008472</v>
      </c>
      <c r="Q585" s="100">
        <f t="shared" si="233"/>
        <v>483909.37979455257</v>
      </c>
      <c r="R585" s="100">
        <f t="shared" si="233"/>
        <v>2381.8220487244466</v>
      </c>
      <c r="S585" s="100">
        <f t="shared" si="233"/>
        <v>9.0873145730472142</v>
      </c>
      <c r="T585" s="100">
        <f t="shared" si="233"/>
        <v>913.02647255707882</v>
      </c>
      <c r="U585" s="100"/>
      <c r="V585" s="102">
        <f t="shared" ref="V585:V591" si="234">SUM(G585:T585)</f>
        <v>17924442.093498681</v>
      </c>
      <c r="W585" s="98" t="str">
        <f t="shared" ref="W585:W591" si="235">IF(ABS(F585-V585)&lt;0.01,"ok","err")</f>
        <v>ok</v>
      </c>
      <c r="X585" s="240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395</v>
      </c>
      <c r="D586" s="97" t="s">
        <v>1171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6939854.7134712087</v>
      </c>
      <c r="H586" s="101">
        <f t="shared" si="233"/>
        <v>2040325.6767506448</v>
      </c>
      <c r="I586" s="101">
        <f t="shared" si="233"/>
        <v>197300.93797568092</v>
      </c>
      <c r="J586" s="101">
        <f t="shared" si="233"/>
        <v>133245.10106058136</v>
      </c>
      <c r="K586" s="101">
        <f t="shared" si="233"/>
        <v>0</v>
      </c>
      <c r="L586" s="101">
        <f t="shared" si="233"/>
        <v>2147771.2288867021</v>
      </c>
      <c r="M586" s="101">
        <f t="shared" si="233"/>
        <v>169067.8859486616</v>
      </c>
      <c r="N586" s="101">
        <f t="shared" si="233"/>
        <v>1517910.0622488777</v>
      </c>
      <c r="O586" s="101">
        <f t="shared" si="233"/>
        <v>3815116.3274604497</v>
      </c>
      <c r="P586" s="101">
        <f t="shared" si="233"/>
        <v>1306008.8885991834</v>
      </c>
      <c r="Q586" s="101">
        <f t="shared" si="233"/>
        <v>506925.70405122807</v>
      </c>
      <c r="R586" s="101">
        <f t="shared" si="233"/>
        <v>2495.1093518521843</v>
      </c>
      <c r="S586" s="101">
        <f t="shared" si="233"/>
        <v>9.5195371906878687</v>
      </c>
      <c r="T586" s="101">
        <f t="shared" si="233"/>
        <v>956.45301939571266</v>
      </c>
      <c r="U586" s="101"/>
      <c r="V586" s="101">
        <f t="shared" si="234"/>
        <v>18776987.608361654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395</v>
      </c>
      <c r="D587" s="97" t="s">
        <v>1172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5704537.173140035</v>
      </c>
      <c r="H587" s="101">
        <f t="shared" si="233"/>
        <v>1677140.8262687458</v>
      </c>
      <c r="I587" s="101">
        <f t="shared" si="233"/>
        <v>162180.70571317553</v>
      </c>
      <c r="J587" s="101">
        <f t="shared" si="233"/>
        <v>109527.02376656757</v>
      </c>
      <c r="K587" s="101">
        <f t="shared" si="233"/>
        <v>0</v>
      </c>
      <c r="L587" s="101">
        <f t="shared" si="233"/>
        <v>1765460.7078159656</v>
      </c>
      <c r="M587" s="101">
        <f t="shared" si="233"/>
        <v>138973.23214939967</v>
      </c>
      <c r="N587" s="101">
        <f t="shared" si="233"/>
        <v>1247716.9527445252</v>
      </c>
      <c r="O587" s="101">
        <f t="shared" si="233"/>
        <v>3136012.7565215076</v>
      </c>
      <c r="P587" s="101">
        <f t="shared" si="233"/>
        <v>1073534.9025396067</v>
      </c>
      <c r="Q587" s="101">
        <f t="shared" si="233"/>
        <v>416691.21936617495</v>
      </c>
      <c r="R587" s="101">
        <f t="shared" si="233"/>
        <v>2050.9714736622741</v>
      </c>
      <c r="S587" s="101">
        <f t="shared" si="233"/>
        <v>7.8250274706695837</v>
      </c>
      <c r="T587" s="101">
        <f t="shared" si="233"/>
        <v>786.20115676395778</v>
      </c>
      <c r="U587" s="101"/>
      <c r="V587" s="101">
        <f t="shared" si="234"/>
        <v>15434620.497683601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395</v>
      </c>
      <c r="D588" s="97" t="s">
        <v>1173</v>
      </c>
      <c r="E588" s="97" t="s">
        <v>409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395</v>
      </c>
      <c r="D589" s="97" t="s">
        <v>1174</v>
      </c>
      <c r="E589" s="97" t="s">
        <v>409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395</v>
      </c>
      <c r="D590" s="97" t="s">
        <v>1175</v>
      </c>
      <c r="E590" s="97" t="s">
        <v>409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1176</v>
      </c>
      <c r="F591" s="100">
        <f t="shared" ref="F591:T591" si="237">SUM(F585:F590)</f>
        <v>52136050.19991596</v>
      </c>
      <c r="G591" s="100">
        <f t="shared" si="237"/>
        <v>19269151.221996576</v>
      </c>
      <c r="H591" s="100">
        <f t="shared" si="237"/>
        <v>5665153.7576304311</v>
      </c>
      <c r="I591" s="100">
        <f>SUM(I585:I590)</f>
        <v>547824.38063369039</v>
      </c>
      <c r="J591" s="100">
        <f>SUM(J585:J590)</f>
        <v>369967.39959737926</v>
      </c>
      <c r="K591" s="100">
        <f>SUM(K585:K590)</f>
        <v>0</v>
      </c>
      <c r="L591" s="100">
        <f t="shared" si="237"/>
        <v>5963486.3132416755</v>
      </c>
      <c r="M591" s="100">
        <f t="shared" si="237"/>
        <v>469432.6892469672</v>
      </c>
      <c r="N591" s="100">
        <f t="shared" si="237"/>
        <v>4214618.2792685637</v>
      </c>
      <c r="O591" s="100">
        <f t="shared" si="237"/>
        <v>10593024.851174876</v>
      </c>
      <c r="P591" s="100">
        <f>SUM(P585:P590)</f>
        <v>3626254.9881396373</v>
      </c>
      <c r="Q591" s="100">
        <f t="shared" si="237"/>
        <v>1407526.3032119556</v>
      </c>
      <c r="R591" s="100">
        <f t="shared" si="237"/>
        <v>6927.9028742389055</v>
      </c>
      <c r="S591" s="100">
        <f t="shared" si="237"/>
        <v>26.431879234404668</v>
      </c>
      <c r="T591" s="100">
        <f t="shared" si="237"/>
        <v>2655.6806487167491</v>
      </c>
      <c r="U591" s="100"/>
      <c r="V591" s="102">
        <f t="shared" si="234"/>
        <v>52136050.199543945</v>
      </c>
      <c r="W591" s="98" t="str">
        <f t="shared" si="235"/>
        <v>ok</v>
      </c>
      <c r="X591" s="240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460</v>
      </c>
      <c r="F593" s="101"/>
      <c r="G593" s="101"/>
    </row>
    <row r="594" spans="1:24" ht="12" customHeight="1" x14ac:dyDescent="0.25">
      <c r="A594" s="107" t="s">
        <v>2370</v>
      </c>
      <c r="C594" s="97" t="s">
        <v>395</v>
      </c>
      <c r="D594" s="97" t="s">
        <v>1177</v>
      </c>
      <c r="E594" s="97" t="s">
        <v>2371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4917516.8219533898</v>
      </c>
      <c r="H594" s="100">
        <f t="shared" si="238"/>
        <v>1244968.2896674944</v>
      </c>
      <c r="I594" s="100">
        <f t="shared" si="238"/>
        <v>143054.80239474008</v>
      </c>
      <c r="J594" s="100">
        <f t="shared" si="238"/>
        <v>120188.79448916025</v>
      </c>
      <c r="K594" s="100">
        <f t="shared" si="238"/>
        <v>0</v>
      </c>
      <c r="L594" s="100">
        <f t="shared" si="238"/>
        <v>1038655.7687072621</v>
      </c>
      <c r="M594" s="100">
        <f t="shared" si="238"/>
        <v>86313.398078041297</v>
      </c>
      <c r="N594" s="100">
        <f t="shared" si="238"/>
        <v>764152.49875539704</v>
      </c>
      <c r="O594" s="100">
        <f t="shared" si="238"/>
        <v>1965420.8699606536</v>
      </c>
      <c r="P594" s="100">
        <f t="shared" si="238"/>
        <v>719308.31341673771</v>
      </c>
      <c r="Q594" s="100">
        <f t="shared" si="238"/>
        <v>475599.33122924459</v>
      </c>
      <c r="R594" s="100">
        <f t="shared" si="238"/>
        <v>85299.165058568469</v>
      </c>
      <c r="S594" s="100">
        <f t="shared" si="238"/>
        <v>357.28840755160689</v>
      </c>
      <c r="T594" s="100">
        <f t="shared" si="238"/>
        <v>553.3464522122265</v>
      </c>
      <c r="U594" s="100"/>
      <c r="V594" s="102">
        <f>SUM(G594:T594)</f>
        <v>11561388.688570453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2369</v>
      </c>
      <c r="C595" s="97" t="s">
        <v>395</v>
      </c>
      <c r="D595" s="97" t="s">
        <v>1178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2369</v>
      </c>
      <c r="C596" s="97" t="s">
        <v>395</v>
      </c>
      <c r="D596" s="97" t="s">
        <v>1179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462</v>
      </c>
      <c r="D597" s="97" t="s">
        <v>1180</v>
      </c>
      <c r="F597" s="100">
        <f t="shared" ref="F597:T597" si="239">SUM(F594:F596)</f>
        <v>11561388.688570451</v>
      </c>
      <c r="G597" s="100">
        <f t="shared" si="239"/>
        <v>4917516.8219533898</v>
      </c>
      <c r="H597" s="100">
        <f t="shared" si="239"/>
        <v>1244968.2896674944</v>
      </c>
      <c r="I597" s="100">
        <f>SUM(I594:I596)</f>
        <v>143054.80239474008</v>
      </c>
      <c r="J597" s="100">
        <f>SUM(J594:J596)</f>
        <v>120188.79448916025</v>
      </c>
      <c r="K597" s="100">
        <f>SUM(K594:K596)</f>
        <v>0</v>
      </c>
      <c r="L597" s="100">
        <f t="shared" si="239"/>
        <v>1038655.7687072621</v>
      </c>
      <c r="M597" s="100">
        <f t="shared" si="239"/>
        <v>86313.398078041297</v>
      </c>
      <c r="N597" s="100">
        <f t="shared" si="239"/>
        <v>764152.49875539704</v>
      </c>
      <c r="O597" s="100">
        <f t="shared" si="239"/>
        <v>1965420.8699606536</v>
      </c>
      <c r="P597" s="100">
        <f>SUM(P594:P596)</f>
        <v>719308.31341673771</v>
      </c>
      <c r="Q597" s="100">
        <f t="shared" si="239"/>
        <v>475599.33122924459</v>
      </c>
      <c r="R597" s="100">
        <f t="shared" si="239"/>
        <v>85299.165058568469</v>
      </c>
      <c r="S597" s="100">
        <f t="shared" si="239"/>
        <v>357.28840755160689</v>
      </c>
      <c r="T597" s="100">
        <f t="shared" si="239"/>
        <v>553.3464522122265</v>
      </c>
      <c r="U597" s="100"/>
      <c r="V597" s="102">
        <f>SUM(G597:T597)</f>
        <v>11561388.688570453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1693</v>
      </c>
      <c r="F599" s="101"/>
      <c r="G599" s="101"/>
    </row>
    <row r="600" spans="1:24" ht="12" customHeight="1" x14ac:dyDescent="0.25">
      <c r="A600" s="107" t="s">
        <v>157</v>
      </c>
      <c r="C600" s="97" t="s">
        <v>395</v>
      </c>
      <c r="D600" s="97" t="s">
        <v>1181</v>
      </c>
      <c r="E600" s="97" t="s">
        <v>2375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1694</v>
      </c>
      <c r="F602" s="101"/>
      <c r="G602" s="101"/>
    </row>
    <row r="603" spans="1:24" ht="12" customHeight="1" x14ac:dyDescent="0.25">
      <c r="A603" s="107" t="s">
        <v>159</v>
      </c>
      <c r="C603" s="97" t="s">
        <v>395</v>
      </c>
      <c r="D603" s="97" t="s">
        <v>1182</v>
      </c>
      <c r="E603" s="97" t="s">
        <v>2375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1286374.6912673514</v>
      </c>
      <c r="H603" s="100">
        <f t="shared" si="241"/>
        <v>325671.62599405239</v>
      </c>
      <c r="I603" s="100">
        <f t="shared" si="241"/>
        <v>37421.748400190823</v>
      </c>
      <c r="J603" s="100">
        <f t="shared" si="241"/>
        <v>31440.222576274515</v>
      </c>
      <c r="K603" s="100">
        <f t="shared" si="241"/>
        <v>0</v>
      </c>
      <c r="L603" s="100">
        <f t="shared" si="241"/>
        <v>271702.27213846467</v>
      </c>
      <c r="M603" s="100">
        <f t="shared" si="241"/>
        <v>22578.747531517605</v>
      </c>
      <c r="N603" s="100">
        <f t="shared" si="241"/>
        <v>199894.87992786907</v>
      </c>
      <c r="O603" s="100">
        <f t="shared" si="241"/>
        <v>514135.03122532053</v>
      </c>
      <c r="P603" s="100">
        <f t="shared" si="241"/>
        <v>0</v>
      </c>
      <c r="Q603" s="100">
        <f t="shared" si="241"/>
        <v>0</v>
      </c>
      <c r="R603" s="100">
        <f t="shared" si="241"/>
        <v>22313.434013631304</v>
      </c>
      <c r="S603" s="100">
        <f t="shared" si="241"/>
        <v>93.463181031891622</v>
      </c>
      <c r="T603" s="100">
        <f t="shared" si="241"/>
        <v>144.75006337561112</v>
      </c>
      <c r="U603" s="100"/>
      <c r="V603" s="102">
        <f>SUM(G603:T603)</f>
        <v>2711770.8663190799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818</v>
      </c>
      <c r="C606" s="97" t="s">
        <v>395</v>
      </c>
      <c r="D606" s="97" t="s">
        <v>1183</v>
      </c>
      <c r="E606" s="97" t="s">
        <v>2375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819</v>
      </c>
      <c r="C607" s="97" t="s">
        <v>395</v>
      </c>
      <c r="D607" s="97" t="s">
        <v>1184</v>
      </c>
      <c r="E607" s="97" t="s">
        <v>2375</v>
      </c>
      <c r="F607" s="101">
        <f>VLOOKUP(C607,'Functional Assignment'!$C$1:$AU$771,20,)</f>
        <v>2954994.8806252596</v>
      </c>
      <c r="G607" s="101">
        <f t="shared" si="242"/>
        <v>1401752.1445020391</v>
      </c>
      <c r="H607" s="101">
        <f t="shared" si="242"/>
        <v>354881.74887121661</v>
      </c>
      <c r="I607" s="101">
        <f t="shared" si="242"/>
        <v>40778.177950083082</v>
      </c>
      <c r="J607" s="101">
        <f t="shared" si="242"/>
        <v>34260.15741688339</v>
      </c>
      <c r="K607" s="101">
        <f t="shared" si="242"/>
        <v>0</v>
      </c>
      <c r="L607" s="101">
        <f t="shared" si="242"/>
        <v>296071.77848076483</v>
      </c>
      <c r="M607" s="101">
        <f t="shared" si="242"/>
        <v>24603.879404136256</v>
      </c>
      <c r="N607" s="101">
        <f t="shared" si="242"/>
        <v>217823.84130848278</v>
      </c>
      <c r="O607" s="101">
        <f t="shared" si="242"/>
        <v>560248.80423734384</v>
      </c>
      <c r="P607" s="101">
        <f t="shared" si="242"/>
        <v>0</v>
      </c>
      <c r="Q607" s="101">
        <f t="shared" si="242"/>
        <v>0</v>
      </c>
      <c r="R607" s="101">
        <f t="shared" si="242"/>
        <v>24314.769399728368</v>
      </c>
      <c r="S607" s="101">
        <f t="shared" si="242"/>
        <v>101.84607590060843</v>
      </c>
      <c r="T607" s="101">
        <f t="shared" si="242"/>
        <v>157.73297868109165</v>
      </c>
      <c r="U607" s="101"/>
      <c r="V607" s="101">
        <f t="shared" si="243"/>
        <v>2954994.8806252601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820</v>
      </c>
      <c r="C608" s="97" t="s">
        <v>395</v>
      </c>
      <c r="D608" s="97" t="s">
        <v>1185</v>
      </c>
      <c r="E608" s="97" t="s">
        <v>939</v>
      </c>
      <c r="F608" s="101">
        <f>VLOOKUP(C608,'Functional Assignment'!$C$1:$AU$771,21,)</f>
        <v>5479771.9448652817</v>
      </c>
      <c r="G608" s="101">
        <f t="shared" si="242"/>
        <v>4378688.4346851856</v>
      </c>
      <c r="H608" s="101">
        <f t="shared" si="242"/>
        <v>847203.08112762158</v>
      </c>
      <c r="I608" s="101">
        <f t="shared" si="242"/>
        <v>2094.3949250835853</v>
      </c>
      <c r="J608" s="101">
        <f t="shared" si="242"/>
        <v>6029.0106338571168</v>
      </c>
      <c r="K608" s="101">
        <f t="shared" si="242"/>
        <v>0</v>
      </c>
      <c r="L608" s="101">
        <f t="shared" si="242"/>
        <v>44531.309572165548</v>
      </c>
      <c r="M608" s="101">
        <f t="shared" si="242"/>
        <v>1758.8850584439817</v>
      </c>
      <c r="N608" s="101">
        <f t="shared" si="242"/>
        <v>5439.3266258238737</v>
      </c>
      <c r="O608" s="101">
        <f t="shared" si="242"/>
        <v>2816.24948664152</v>
      </c>
      <c r="P608" s="101">
        <f t="shared" si="242"/>
        <v>0</v>
      </c>
      <c r="Q608" s="101">
        <f t="shared" si="242"/>
        <v>0</v>
      </c>
      <c r="R608" s="101">
        <f t="shared" si="242"/>
        <v>190330.11572695943</v>
      </c>
      <c r="S608" s="101">
        <f t="shared" si="242"/>
        <v>4.5186514025535818</v>
      </c>
      <c r="T608" s="101">
        <f t="shared" si="242"/>
        <v>876.61837209539499</v>
      </c>
      <c r="U608" s="101"/>
      <c r="V608" s="101">
        <f t="shared" si="243"/>
        <v>5479771.9448652817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821</v>
      </c>
      <c r="C609" s="97" t="s">
        <v>395</v>
      </c>
      <c r="D609" s="97" t="s">
        <v>1186</v>
      </c>
      <c r="E609" s="97" t="s">
        <v>758</v>
      </c>
      <c r="F609" s="101">
        <f>VLOOKUP(C609,'Functional Assignment'!$C$1:$AU$771,22,)</f>
        <v>1360350.4862856311</v>
      </c>
      <c r="G609" s="101">
        <f t="shared" si="242"/>
        <v>1119161.3290485011</v>
      </c>
      <c r="H609" s="101">
        <f t="shared" si="242"/>
        <v>201555.34013653075</v>
      </c>
      <c r="I609" s="101">
        <f t="shared" si="242"/>
        <v>16851.429955645544</v>
      </c>
      <c r="J609" s="101">
        <f t="shared" si="242"/>
        <v>14157.742920721757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8533.6032677563308</v>
      </c>
      <c r="S609" s="101">
        <f t="shared" si="242"/>
        <v>35.744283312976862</v>
      </c>
      <c r="T609" s="101">
        <f t="shared" si="242"/>
        <v>55.296673162588206</v>
      </c>
      <c r="U609" s="101"/>
      <c r="V609" s="101">
        <f t="shared" si="243"/>
        <v>1360350.4862856308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822</v>
      </c>
      <c r="C610" s="97" t="s">
        <v>395</v>
      </c>
      <c r="D610" s="97" t="s">
        <v>1187</v>
      </c>
      <c r="E610" s="97" t="s">
        <v>938</v>
      </c>
      <c r="F610" s="101">
        <f>VLOOKUP(C610,'Functional Assignment'!$C$1:$AU$771,23,)</f>
        <v>2079528.5120405823</v>
      </c>
      <c r="G610" s="101">
        <f t="shared" si="242"/>
        <v>1678383.0116987645</v>
      </c>
      <c r="H610" s="101">
        <f t="shared" si="242"/>
        <v>324739.08112753922</v>
      </c>
      <c r="I610" s="101">
        <f t="shared" si="242"/>
        <v>802.79675397848382</v>
      </c>
      <c r="J610" s="101">
        <f t="shared" si="242"/>
        <v>2310.9634714040822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72954.912781721083</v>
      </c>
      <c r="S610" s="101">
        <f t="shared" si="242"/>
        <v>1.732031831668789</v>
      </c>
      <c r="T610" s="101">
        <f t="shared" si="242"/>
        <v>336.01417534374514</v>
      </c>
      <c r="U610" s="101"/>
      <c r="V610" s="101">
        <f t="shared" si="243"/>
        <v>2079528.512040583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1188</v>
      </c>
      <c r="F611" s="100">
        <f t="shared" ref="F611:T611" si="246">SUM(F606:F610)</f>
        <v>11874645.823816754</v>
      </c>
      <c r="G611" s="100">
        <f t="shared" si="246"/>
        <v>8577984.9199344907</v>
      </c>
      <c r="H611" s="100">
        <f t="shared" si="246"/>
        <v>1728379.2512629083</v>
      </c>
      <c r="I611" s="100">
        <f>SUM(I606:I610)</f>
        <v>60526.799584790693</v>
      </c>
      <c r="J611" s="100">
        <f>SUM(J606:J610)</f>
        <v>56757.874442866349</v>
      </c>
      <c r="K611" s="100">
        <f>SUM(K606:K610)</f>
        <v>0</v>
      </c>
      <c r="L611" s="100">
        <f t="shared" si="246"/>
        <v>340603.08805293037</v>
      </c>
      <c r="M611" s="100">
        <f t="shared" si="246"/>
        <v>26362.764462580239</v>
      </c>
      <c r="N611" s="100">
        <f t="shared" si="246"/>
        <v>223263.16793430666</v>
      </c>
      <c r="O611" s="100">
        <f t="shared" si="246"/>
        <v>563065.05372398533</v>
      </c>
      <c r="P611" s="100">
        <f>SUM(P606:P610)</f>
        <v>0</v>
      </c>
      <c r="Q611" s="100">
        <f t="shared" si="246"/>
        <v>0</v>
      </c>
      <c r="R611" s="100">
        <f t="shared" si="246"/>
        <v>296133.40117616521</v>
      </c>
      <c r="S611" s="100">
        <f t="shared" si="246"/>
        <v>143.84104244780767</v>
      </c>
      <c r="T611" s="100">
        <f t="shared" si="246"/>
        <v>1425.66219928282</v>
      </c>
      <c r="U611" s="100"/>
      <c r="V611" s="102">
        <f t="shared" si="243"/>
        <v>11874645.823816756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817</v>
      </c>
      <c r="F613" s="101"/>
    </row>
    <row r="614" spans="1:24" ht="12" customHeight="1" x14ac:dyDescent="0.25">
      <c r="A614" s="107" t="s">
        <v>408</v>
      </c>
      <c r="C614" s="97" t="s">
        <v>395</v>
      </c>
      <c r="D614" s="97" t="s">
        <v>1189</v>
      </c>
      <c r="E614" s="97" t="s">
        <v>2281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1465098.5653869214</v>
      </c>
      <c r="H614" s="100">
        <f t="shared" si="247"/>
        <v>263856.9007125753</v>
      </c>
      <c r="I614" s="100">
        <f t="shared" si="247"/>
        <v>22060.274253511605</v>
      </c>
      <c r="J614" s="100">
        <f t="shared" si="247"/>
        <v>18533.957798471583</v>
      </c>
      <c r="K614" s="100">
        <f t="shared" si="247"/>
        <v>0</v>
      </c>
      <c r="L614" s="100">
        <f t="shared" si="247"/>
        <v>198089.30544783437</v>
      </c>
      <c r="M614" s="100">
        <f t="shared" si="247"/>
        <v>0</v>
      </c>
      <c r="N614" s="100">
        <f t="shared" si="247"/>
        <v>132807.14260837788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11171.374117975016</v>
      </c>
      <c r="S614" s="100">
        <f t="shared" si="247"/>
        <v>46.792984034884007</v>
      </c>
      <c r="T614" s="100">
        <f t="shared" si="247"/>
        <v>72.389095672252722</v>
      </c>
      <c r="U614" s="100"/>
      <c r="V614" s="102">
        <f>SUM(G614:T614)</f>
        <v>2111736.7024053745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411</v>
      </c>
      <c r="C615" s="97" t="s">
        <v>395</v>
      </c>
      <c r="D615" s="97" t="s">
        <v>1190</v>
      </c>
      <c r="E615" s="97" t="s">
        <v>2280</v>
      </c>
      <c r="F615" s="101">
        <f>VLOOKUP(C615,'Functional Assignment'!$C$1:$AU$771,25,)</f>
        <v>1879191.0313506036</v>
      </c>
      <c r="G615" s="101">
        <f t="shared" si="247"/>
        <v>1502848.6318572734</v>
      </c>
      <c r="H615" s="101">
        <f t="shared" si="247"/>
        <v>290776.11032844661</v>
      </c>
      <c r="I615" s="101">
        <f t="shared" si="247"/>
        <v>718.83592419997842</v>
      </c>
      <c r="J615" s="101">
        <f t="shared" si="247"/>
        <v>2069.2704031581902</v>
      </c>
      <c r="K615" s="101">
        <f t="shared" si="247"/>
        <v>0</v>
      </c>
      <c r="L615" s="101">
        <f t="shared" si="247"/>
        <v>15283.987126193719</v>
      </c>
      <c r="M615" s="101">
        <f t="shared" si="247"/>
        <v>0</v>
      </c>
      <c r="N615" s="101">
        <f t="shared" si="247"/>
        <v>1866.8797060533423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65324.893124546477</v>
      </c>
      <c r="S615" s="101">
        <f t="shared" si="247"/>
        <v>1.5508865678532435</v>
      </c>
      <c r="T615" s="101">
        <f t="shared" si="247"/>
        <v>300.87199416352928</v>
      </c>
      <c r="U615" s="101"/>
      <c r="V615" s="101">
        <f>SUM(G615:T615)</f>
        <v>1879191.0313506031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1532</v>
      </c>
      <c r="D616" s="97" t="s">
        <v>1191</v>
      </c>
      <c r="F616" s="100">
        <f t="shared" ref="F616:T616" si="248">F614+F615</f>
        <v>3990927.7337559778</v>
      </c>
      <c r="G616" s="100">
        <f t="shared" si="248"/>
        <v>2967947.1972441948</v>
      </c>
      <c r="H616" s="100">
        <f t="shared" si="248"/>
        <v>554633.01104102191</v>
      </c>
      <c r="I616" s="100">
        <f>I614+I615</f>
        <v>22779.110177711584</v>
      </c>
      <c r="J616" s="100">
        <f>J614+J615</f>
        <v>20603.228201629772</v>
      </c>
      <c r="K616" s="100">
        <f>K614+K615</f>
        <v>0</v>
      </c>
      <c r="L616" s="100">
        <f t="shared" si="248"/>
        <v>213373.29257402808</v>
      </c>
      <c r="M616" s="100">
        <f t="shared" si="248"/>
        <v>0</v>
      </c>
      <c r="N616" s="100">
        <f t="shared" si="248"/>
        <v>134674.02231443123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76496.267242521499</v>
      </c>
      <c r="S616" s="100">
        <f t="shared" si="248"/>
        <v>48.343870602737248</v>
      </c>
      <c r="T616" s="100">
        <f t="shared" si="248"/>
        <v>373.261089835782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411</v>
      </c>
      <c r="C619" s="97" t="s">
        <v>395</v>
      </c>
      <c r="D619" s="97" t="s">
        <v>1192</v>
      </c>
      <c r="E619" s="97" t="s">
        <v>412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882276.17340319348</v>
      </c>
      <c r="H619" s="100">
        <f t="shared" si="249"/>
        <v>345589.04259670054</v>
      </c>
      <c r="I619" s="100">
        <f t="shared" si="249"/>
        <v>1136.6354037653152</v>
      </c>
      <c r="J619" s="100">
        <f t="shared" si="249"/>
        <v>3272.8846294504506</v>
      </c>
      <c r="K619" s="100">
        <f t="shared" si="249"/>
        <v>0</v>
      </c>
      <c r="L619" s="100">
        <f t="shared" si="249"/>
        <v>22838.335822706715</v>
      </c>
      <c r="M619" s="100">
        <f t="shared" si="249"/>
        <v>0</v>
      </c>
      <c r="N619" s="100">
        <f t="shared" si="249"/>
        <v>2953.3208731329364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1258066.3927289497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411</v>
      </c>
      <c r="C622" s="97" t="s">
        <v>395</v>
      </c>
      <c r="D622" s="97" t="s">
        <v>1193</v>
      </c>
      <c r="E622" s="97" t="s">
        <v>413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667164.99660072231</v>
      </c>
      <c r="H622" s="100">
        <f t="shared" si="250"/>
        <v>248650.87195761094</v>
      </c>
      <c r="I622" s="100">
        <f t="shared" si="250"/>
        <v>3403.7934912243195</v>
      </c>
      <c r="J622" s="100">
        <f t="shared" si="250"/>
        <v>5274.2837563298363</v>
      </c>
      <c r="K622" s="100">
        <f t="shared" si="250"/>
        <v>0</v>
      </c>
      <c r="L622" s="100">
        <f t="shared" si="250"/>
        <v>65555.700842062201</v>
      </c>
      <c r="M622" s="100">
        <f t="shared" si="250"/>
        <v>14859.558434248891</v>
      </c>
      <c r="N622" s="100">
        <f t="shared" si="250"/>
        <v>10820.93439069647</v>
      </c>
      <c r="O622" s="100">
        <f t="shared" si="250"/>
        <v>33016.089423375997</v>
      </c>
      <c r="P622" s="100">
        <f t="shared" si="250"/>
        <v>22517.353385987833</v>
      </c>
      <c r="Q622" s="100">
        <f t="shared" si="250"/>
        <v>953.03327963189463</v>
      </c>
      <c r="R622" s="100">
        <f t="shared" si="250"/>
        <v>0</v>
      </c>
      <c r="S622" s="100">
        <f t="shared" si="250"/>
        <v>6.1964110563635408</v>
      </c>
      <c r="T622" s="100">
        <f t="shared" si="250"/>
        <v>1202.1037449345272</v>
      </c>
      <c r="U622" s="100"/>
      <c r="V622" s="102">
        <f>SUM(G622:T622)</f>
        <v>1073424.9157178819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411</v>
      </c>
      <c r="C625" s="97" t="s">
        <v>395</v>
      </c>
      <c r="D625" s="97" t="s">
        <v>1194</v>
      </c>
      <c r="E625" s="97" t="s">
        <v>414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308</v>
      </c>
      <c r="F627" s="101"/>
    </row>
    <row r="628" spans="1:24" ht="12" customHeight="1" x14ac:dyDescent="0.25">
      <c r="A628" s="107" t="s">
        <v>411</v>
      </c>
      <c r="C628" s="97" t="s">
        <v>395</v>
      </c>
      <c r="D628" s="97" t="s">
        <v>1195</v>
      </c>
      <c r="E628" s="97" t="s">
        <v>415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1696</v>
      </c>
      <c r="F630" s="101"/>
    </row>
    <row r="631" spans="1:24" ht="12" customHeight="1" x14ac:dyDescent="0.25">
      <c r="A631" s="107" t="s">
        <v>411</v>
      </c>
      <c r="C631" s="97" t="s">
        <v>395</v>
      </c>
      <c r="D631" s="97" t="s">
        <v>1196</v>
      </c>
      <c r="E631" s="97" t="s">
        <v>415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1695</v>
      </c>
      <c r="F633" s="101"/>
    </row>
    <row r="634" spans="1:24" ht="12" customHeight="1" x14ac:dyDescent="0.25">
      <c r="A634" s="107" t="s">
        <v>411</v>
      </c>
      <c r="C634" s="97" t="s">
        <v>395</v>
      </c>
      <c r="D634" s="97" t="s">
        <v>1197</v>
      </c>
      <c r="E634" s="97" t="s">
        <v>416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1198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38568416.022399925</v>
      </c>
      <c r="H636" s="100">
        <f t="shared" si="255"/>
        <v>10113045.850150218</v>
      </c>
      <c r="I636" s="100">
        <f>I591+I597+I600+I603+I611+I616+I619+I622+I625+I628+I631+I634</f>
        <v>816147.27008611325</v>
      </c>
      <c r="J636" s="100">
        <f>J591+J597+J600+J603+J611+J616+J619+J622+J625+J628+J631+J634</f>
        <v>607504.68769309053</v>
      </c>
      <c r="K636" s="100">
        <f>K591+K597+K600+K603+K611+K616+K619+K622+K625+K628+K631+K634</f>
        <v>0</v>
      </c>
      <c r="L636" s="100">
        <f t="shared" si="255"/>
        <v>7916214.77137913</v>
      </c>
      <c r="M636" s="100">
        <f t="shared" si="255"/>
        <v>619547.15775335522</v>
      </c>
      <c r="N636" s="100">
        <f t="shared" si="255"/>
        <v>5550377.1034643976</v>
      </c>
      <c r="O636" s="100">
        <f>O591+O597+O600+O603+O611+O616+O619+O622+O625+O628+O631+O634</f>
        <v>13668661.895508211</v>
      </c>
      <c r="P636" s="100">
        <f>P591+P597+P600+P603+P611+P616+P619+P622+P625+P628+P631+P634</f>
        <v>4368080.6549423626</v>
      </c>
      <c r="Q636" s="100">
        <f t="shared" si="255"/>
        <v>1884078.6677208322</v>
      </c>
      <c r="R636" s="100">
        <f t="shared" si="255"/>
        <v>1976096.0406855629</v>
      </c>
      <c r="S636" s="100">
        <f t="shared" si="255"/>
        <v>675.56479192481174</v>
      </c>
      <c r="T636" s="100">
        <f t="shared" si="255"/>
        <v>6354.804198357715</v>
      </c>
      <c r="U636" s="100"/>
      <c r="V636" s="102">
        <f>SUM(G636:T636)</f>
        <v>86095200.490773469</v>
      </c>
      <c r="W636" s="98" t="str">
        <f>IF(ABS(F636-V636)&lt;0.01,"ok","err")</f>
        <v>ok</v>
      </c>
      <c r="X636" s="240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577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430</v>
      </c>
    </row>
    <row r="651" spans="1:24" ht="12" customHeight="1" x14ac:dyDescent="0.25">
      <c r="A651" s="107" t="s">
        <v>930</v>
      </c>
      <c r="D651" s="97" t="s">
        <v>431</v>
      </c>
      <c r="E651" s="97" t="s">
        <v>515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17900822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167170493</v>
      </c>
      <c r="M651" s="100">
        <f t="shared" si="256"/>
        <v>13950650.999999998</v>
      </c>
      <c r="N651" s="100">
        <f t="shared" si="256"/>
        <v>106268071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1210</v>
      </c>
      <c r="D652" s="97" t="s">
        <v>823</v>
      </c>
      <c r="E652" s="97" t="s">
        <v>409</v>
      </c>
      <c r="F652" s="101">
        <v>8422903.2400000002</v>
      </c>
      <c r="G652" s="101">
        <f t="shared" si="256"/>
        <v>2827720.4872133331</v>
      </c>
      <c r="H652" s="101">
        <f t="shared" si="256"/>
        <v>843634.65128500329</v>
      </c>
      <c r="I652" s="101">
        <f t="shared" si="256"/>
        <v>89261.074358645274</v>
      </c>
      <c r="J652" s="101">
        <f t="shared" si="256"/>
        <v>70489.576741868193</v>
      </c>
      <c r="K652" s="101">
        <f t="shared" si="256"/>
        <v>0</v>
      </c>
      <c r="L652" s="101">
        <f t="shared" si="256"/>
        <v>963232.58108388376</v>
      </c>
      <c r="M652" s="101">
        <f t="shared" si="256"/>
        <v>76890.877379176949</v>
      </c>
      <c r="N652" s="101">
        <f t="shared" si="256"/>
        <v>719586.22464615898</v>
      </c>
      <c r="O652" s="101">
        <f t="shared" si="256"/>
        <v>1864603.7764450405</v>
      </c>
      <c r="P652" s="101">
        <f t="shared" si="256"/>
        <v>664048.19870940747</v>
      </c>
      <c r="Q652" s="101">
        <f t="shared" si="256"/>
        <v>245149.51867821245</v>
      </c>
      <c r="R652" s="101">
        <f t="shared" si="256"/>
        <v>57387.705577032422</v>
      </c>
      <c r="S652" s="101">
        <f t="shared" si="256"/>
        <v>207.35524072476875</v>
      </c>
      <c r="T652" s="101">
        <f t="shared" si="256"/>
        <v>691.21264151328182</v>
      </c>
      <c r="U652" s="101"/>
      <c r="V652" s="101">
        <f t="shared" si="257"/>
        <v>8422903.2400000021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1892</v>
      </c>
      <c r="E653" s="97" t="s">
        <v>1209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2376</v>
      </c>
      <c r="E654" s="97" t="s">
        <v>580</v>
      </c>
      <c r="F654" s="101">
        <f>-17395776</f>
        <v>-17395776</v>
      </c>
      <c r="G654" s="101">
        <f t="shared" si="256"/>
        <v>-6429367.7231521271</v>
      </c>
      <c r="H654" s="101">
        <f t="shared" si="256"/>
        <v>-1890241.8843661486</v>
      </c>
      <c r="I654" s="101">
        <f t="shared" si="256"/>
        <v>-182787.72895722309</v>
      </c>
      <c r="J654" s="101">
        <f t="shared" si="256"/>
        <v>-123443.75889658155</v>
      </c>
      <c r="K654" s="101">
        <f t="shared" si="256"/>
        <v>0</v>
      </c>
      <c r="L654" s="101">
        <f t="shared" si="256"/>
        <v>-1989783.8767307543</v>
      </c>
      <c r="M654" s="101">
        <f t="shared" si="256"/>
        <v>-156631.46475240678</v>
      </c>
      <c r="N654" s="101">
        <f t="shared" si="256"/>
        <v>-1406254.5058654933</v>
      </c>
      <c r="O654" s="101">
        <f t="shared" si="256"/>
        <v>-3534481.1654675072</v>
      </c>
      <c r="P654" s="101">
        <f t="shared" si="256"/>
        <v>-1209940.5162200313</v>
      </c>
      <c r="Q654" s="101">
        <f t="shared" si="256"/>
        <v>-469636.88639425783</v>
      </c>
      <c r="R654" s="101">
        <f t="shared" si="256"/>
        <v>-2311.5722439251908</v>
      </c>
      <c r="S654" s="101">
        <f t="shared" si="256"/>
        <v>-8.8192919996362917</v>
      </c>
      <c r="T654" s="101">
        <f t="shared" si="256"/>
        <v>-886.09753741348277</v>
      </c>
      <c r="U654" s="101"/>
      <c r="V654" s="101">
        <f>SUM(G654:T654)</f>
        <v>-17395775.999875873</v>
      </c>
      <c r="W654" s="98" t="str">
        <f t="shared" si="258"/>
        <v>ok</v>
      </c>
      <c r="X654" s="102"/>
    </row>
    <row r="655" spans="1:24" ht="12" customHeight="1" x14ac:dyDescent="0.25">
      <c r="A655" s="97" t="s">
        <v>2140</v>
      </c>
      <c r="E655" s="97" t="s">
        <v>1884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2141</v>
      </c>
      <c r="E656" s="97" t="s">
        <v>2179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2142</v>
      </c>
      <c r="E657" s="97" t="s">
        <v>2179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1333.9442665804897</v>
      </c>
      <c r="M657" s="101">
        <f t="shared" si="256"/>
        <v>52.537475395213164</v>
      </c>
      <c r="N657" s="101">
        <f t="shared" si="256"/>
        <v>933.88208357469364</v>
      </c>
      <c r="O657" s="101">
        <f t="shared" si="256"/>
        <v>482.42577507408282</v>
      </c>
      <c r="P657" s="101">
        <f t="shared" si="256"/>
        <v>52.342760405867935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2108281.5867796545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2143</v>
      </c>
      <c r="E658" s="97" t="s">
        <v>421</v>
      </c>
      <c r="F658" s="101">
        <v>3142644.6954118521</v>
      </c>
      <c r="G658" s="101">
        <f t="shared" si="256"/>
        <v>1415043.8144458483</v>
      </c>
      <c r="H658" s="101">
        <f t="shared" si="256"/>
        <v>370302.78271865944</v>
      </c>
      <c r="I658" s="101">
        <f t="shared" si="256"/>
        <v>29697.639245686139</v>
      </c>
      <c r="J658" s="101">
        <f t="shared" si="256"/>
        <v>22312.278095003498</v>
      </c>
      <c r="K658" s="101">
        <f t="shared" si="256"/>
        <v>0</v>
      </c>
      <c r="L658" s="101">
        <f t="shared" si="256"/>
        <v>286192.33591704746</v>
      </c>
      <c r="M658" s="101">
        <f t="shared" si="256"/>
        <v>22411.09795018761</v>
      </c>
      <c r="N658" s="101">
        <f t="shared" si="256"/>
        <v>200881.4584467645</v>
      </c>
      <c r="O658" s="101">
        <f t="shared" si="256"/>
        <v>494627.73001809011</v>
      </c>
      <c r="P658" s="101">
        <f t="shared" si="256"/>
        <v>157898.45201138957</v>
      </c>
      <c r="Q658" s="101">
        <f t="shared" si="256"/>
        <v>68510.07620733403</v>
      </c>
      <c r="R658" s="101">
        <f t="shared" si="256"/>
        <v>74502.503393729843</v>
      </c>
      <c r="S658" s="101">
        <f t="shared" si="256"/>
        <v>27.234959416340942</v>
      </c>
      <c r="T658" s="101">
        <f t="shared" si="256"/>
        <v>237.29198994857242</v>
      </c>
      <c r="U658" s="101"/>
      <c r="V658" s="101">
        <f t="shared" si="257"/>
        <v>3142644.6953991051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2144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2267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2145</v>
      </c>
      <c r="E661" s="97" t="s">
        <v>515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2146</v>
      </c>
      <c r="E662" s="97" t="s">
        <v>2179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2147</v>
      </c>
      <c r="E663" s="97" t="s">
        <v>2179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14133.656250580683</v>
      </c>
      <c r="M663" s="101">
        <f t="shared" si="260"/>
        <v>556.65490389097772</v>
      </c>
      <c r="N663" s="101">
        <f t="shared" si="260"/>
        <v>9894.8424446969566</v>
      </c>
      <c r="O663" s="101">
        <f t="shared" si="260"/>
        <v>5111.4879700302827</v>
      </c>
      <c r="P663" s="101">
        <f t="shared" si="260"/>
        <v>554.59182314975931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22338060.122524951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2148</v>
      </c>
      <c r="E664" s="97" t="s">
        <v>2179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2149</v>
      </c>
      <c r="E665" s="97" t="s">
        <v>515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824</v>
      </c>
      <c r="D666" s="97" t="s">
        <v>825</v>
      </c>
      <c r="E666" s="97" t="s">
        <v>515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432</v>
      </c>
      <c r="D668" s="97" t="s">
        <v>433</v>
      </c>
      <c r="E668" s="102"/>
      <c r="F668" s="102">
        <f>SUM(F651:F666)</f>
        <v>1486962671.9408753</v>
      </c>
      <c r="G668" s="102">
        <f t="shared" ref="G668:T668" si="261">SUM(G651:G667)</f>
        <v>578180361.17596638</v>
      </c>
      <c r="H668" s="102">
        <f t="shared" si="261"/>
        <v>199713116.01078057</v>
      </c>
      <c r="I668" s="102">
        <f t="shared" si="261"/>
        <v>17836992.984647106</v>
      </c>
      <c r="J668" s="102">
        <f t="shared" si="261"/>
        <v>12020988.647254961</v>
      </c>
      <c r="K668" s="102">
        <f t="shared" si="261"/>
        <v>0</v>
      </c>
      <c r="L668" s="102">
        <f t="shared" si="261"/>
        <v>166544252.97354969</v>
      </c>
      <c r="M668" s="102">
        <f t="shared" si="261"/>
        <v>13899465.445143159</v>
      </c>
      <c r="N668" s="102">
        <f t="shared" si="261"/>
        <v>105834876.91210906</v>
      </c>
      <c r="O668" s="102">
        <f t="shared" si="261"/>
        <v>250500126.74339089</v>
      </c>
      <c r="P668" s="102">
        <f t="shared" si="261"/>
        <v>86342759.031861603</v>
      </c>
      <c r="Q668" s="102">
        <f t="shared" si="261"/>
        <v>29736129.708491284</v>
      </c>
      <c r="R668" s="102">
        <f t="shared" si="261"/>
        <v>26167352.129789736</v>
      </c>
      <c r="S668" s="102">
        <f t="shared" si="261"/>
        <v>29695.77090814148</v>
      </c>
      <c r="T668" s="102">
        <f t="shared" si="261"/>
        <v>156554.40709404839</v>
      </c>
      <c r="U668" s="102"/>
      <c r="V668" s="102">
        <f>SUM(G668:T668)</f>
        <v>1486962671.9409866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434</v>
      </c>
      <c r="E670" s="102"/>
      <c r="F670" s="102"/>
    </row>
    <row r="671" spans="1:24" ht="12" customHeight="1" x14ac:dyDescent="0.25">
      <c r="A671" s="107" t="s">
        <v>435</v>
      </c>
      <c r="E671" s="240"/>
      <c r="F671" s="102">
        <f t="shared" ref="F671:T671" si="262">F231</f>
        <v>933774238.57748604</v>
      </c>
      <c r="G671" s="102">
        <f t="shared" si="262"/>
        <v>366133078.03071427</v>
      </c>
      <c r="H671" s="102">
        <f t="shared" si="262"/>
        <v>107874828.29719453</v>
      </c>
      <c r="I671" s="102">
        <f t="shared" si="262"/>
        <v>9177925.2259917334</v>
      </c>
      <c r="J671" s="102">
        <f t="shared" si="262"/>
        <v>7553727.4281840874</v>
      </c>
      <c r="K671" s="102">
        <f t="shared" si="262"/>
        <v>0</v>
      </c>
      <c r="L671" s="102">
        <f t="shared" si="262"/>
        <v>94996254.759859398</v>
      </c>
      <c r="M671" s="102">
        <f t="shared" si="262"/>
        <v>7589275.5885820761</v>
      </c>
      <c r="N671" s="102">
        <f t="shared" si="262"/>
        <v>69530042.422903746</v>
      </c>
      <c r="O671" s="102">
        <f t="shared" si="262"/>
        <v>176498081.47219279</v>
      </c>
      <c r="P671" s="102">
        <f t="shared" si="262"/>
        <v>61153748.366702609</v>
      </c>
      <c r="Q671" s="102">
        <f t="shared" si="262"/>
        <v>23421413.175965562</v>
      </c>
      <c r="R671" s="102">
        <f t="shared" si="262"/>
        <v>9739006.6371647846</v>
      </c>
      <c r="S671" s="102">
        <f t="shared" si="262"/>
        <v>18260.561071496395</v>
      </c>
      <c r="T671" s="102">
        <f t="shared" si="262"/>
        <v>88596.610177521448</v>
      </c>
      <c r="U671" s="102"/>
      <c r="V671" s="102">
        <f t="shared" ref="V671:V679" si="263">SUM(G671:T671)</f>
        <v>933774238.57670462</v>
      </c>
      <c r="W671" s="98" t="str">
        <f t="shared" ref="W671:W679" si="264">IF(ABS(F671-V671)&lt;0.01,"ok","err")</f>
        <v>ok</v>
      </c>
      <c r="X671" s="240" t="str">
        <f t="shared" ref="X671:X679" si="265">IF(W671="err",V671-F671,"")</f>
        <v/>
      </c>
    </row>
    <row r="672" spans="1:24" ht="12" customHeight="1" x14ac:dyDescent="0.25">
      <c r="A672" s="107" t="s">
        <v>436</v>
      </c>
      <c r="F672" s="101">
        <f t="shared" ref="F672:T672" si="266">F345</f>
        <v>228062836.53918952</v>
      </c>
      <c r="G672" s="101">
        <f t="shared" si="266"/>
        <v>99337689.57344678</v>
      </c>
      <c r="H672" s="101">
        <f t="shared" si="266"/>
        <v>26485181.393410761</v>
      </c>
      <c r="I672" s="101">
        <f t="shared" si="266"/>
        <v>2194096.9722039006</v>
      </c>
      <c r="J672" s="101">
        <f t="shared" si="266"/>
        <v>1604365.060270471</v>
      </c>
      <c r="K672" s="101">
        <f t="shared" si="266"/>
        <v>0</v>
      </c>
      <c r="L672" s="101">
        <f t="shared" si="266"/>
        <v>21795745.311893627</v>
      </c>
      <c r="M672" s="101">
        <f t="shared" si="266"/>
        <v>1706880.1232649565</v>
      </c>
      <c r="N672" s="101">
        <f t="shared" si="266"/>
        <v>15299418.415204357</v>
      </c>
      <c r="O672" s="101">
        <f t="shared" si="266"/>
        <v>37813718.439629495</v>
      </c>
      <c r="P672" s="101">
        <f t="shared" si="266"/>
        <v>12238466.479211472</v>
      </c>
      <c r="Q672" s="101">
        <f t="shared" si="266"/>
        <v>5141547.990493861</v>
      </c>
      <c r="R672" s="101">
        <f t="shared" si="266"/>
        <v>4428205.0351264244</v>
      </c>
      <c r="S672" s="101">
        <f t="shared" si="266"/>
        <v>1476.7515161310016</v>
      </c>
      <c r="T672" s="101">
        <f t="shared" si="266"/>
        <v>16044.992420482215</v>
      </c>
      <c r="U672" s="101"/>
      <c r="V672" s="102">
        <f t="shared" si="263"/>
        <v>228062836.53809273</v>
      </c>
      <c r="W672" s="98" t="str">
        <f t="shared" si="264"/>
        <v>ok</v>
      </c>
      <c r="X672" s="240" t="str">
        <f t="shared" si="265"/>
        <v/>
      </c>
    </row>
    <row r="673" spans="1:24" ht="12" customHeight="1" x14ac:dyDescent="0.25">
      <c r="A673" s="107" t="s">
        <v>274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437</v>
      </c>
      <c r="E674" s="97" t="s">
        <v>418</v>
      </c>
      <c r="F674" s="101">
        <f t="shared" ref="F674:T674" si="268">F459</f>
        <v>24894100.893674195</v>
      </c>
      <c r="G674" s="101">
        <f t="shared" si="268"/>
        <v>11151911.30624719</v>
      </c>
      <c r="H674" s="101">
        <f t="shared" si="268"/>
        <v>2924148.8758933153</v>
      </c>
      <c r="I674" s="101">
        <f t="shared" si="268"/>
        <v>235985.88968626663</v>
      </c>
      <c r="J674" s="101">
        <f t="shared" si="268"/>
        <v>175657.67780942895</v>
      </c>
      <c r="K674" s="101">
        <f t="shared" si="268"/>
        <v>0</v>
      </c>
      <c r="L674" s="101">
        <f t="shared" si="268"/>
        <v>2288943.4961589235</v>
      </c>
      <c r="M674" s="101">
        <f t="shared" si="268"/>
        <v>179139.71238254217</v>
      </c>
      <c r="N674" s="101">
        <f t="shared" si="268"/>
        <v>1604870.5017626637</v>
      </c>
      <c r="O674" s="101">
        <f t="shared" si="268"/>
        <v>3952241.7784867864</v>
      </c>
      <c r="P674" s="101">
        <f t="shared" si="268"/>
        <v>1263013.9649541208</v>
      </c>
      <c r="Q674" s="101">
        <f t="shared" si="268"/>
        <v>544774.20551085612</v>
      </c>
      <c r="R674" s="101">
        <f t="shared" si="268"/>
        <v>571380.68012834003</v>
      </c>
      <c r="S674" s="101">
        <f t="shared" si="268"/>
        <v>195.33699897847254</v>
      </c>
      <c r="T674" s="101">
        <f t="shared" si="268"/>
        <v>1837.4675472151459</v>
      </c>
      <c r="U674" s="101"/>
      <c r="V674" s="102">
        <f t="shared" si="263"/>
        <v>24894100.893566623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438</v>
      </c>
      <c r="F675" s="101">
        <f t="shared" ref="F675:T675" si="269">F516</f>
        <v>12926774.348401168</v>
      </c>
      <c r="G675" s="101">
        <f t="shared" si="269"/>
        <v>5790859.514266408</v>
      </c>
      <c r="H675" s="101">
        <f t="shared" si="269"/>
        <v>1518424.4990912315</v>
      </c>
      <c r="I675" s="101">
        <f t="shared" si="269"/>
        <v>122540.53112463388</v>
      </c>
      <c r="J675" s="101">
        <f t="shared" si="269"/>
        <v>91213.865216704609</v>
      </c>
      <c r="K675" s="101">
        <f t="shared" si="269"/>
        <v>0</v>
      </c>
      <c r="L675" s="101">
        <f t="shared" si="269"/>
        <v>1188581.029596678</v>
      </c>
      <c r="M675" s="101">
        <f t="shared" si="269"/>
        <v>93021.983348474663</v>
      </c>
      <c r="N675" s="101">
        <f t="shared" si="269"/>
        <v>833362.04522104294</v>
      </c>
      <c r="O675" s="101">
        <f t="shared" si="269"/>
        <v>2052282.9026456124</v>
      </c>
      <c r="P675" s="101">
        <f t="shared" si="269"/>
        <v>655846.001170106</v>
      </c>
      <c r="Q675" s="101">
        <f t="shared" si="269"/>
        <v>282885.22070133639</v>
      </c>
      <c r="R675" s="101">
        <f t="shared" si="269"/>
        <v>296701.18035602215</v>
      </c>
      <c r="S675" s="101">
        <f t="shared" si="269"/>
        <v>101.43275784385642</v>
      </c>
      <c r="T675" s="101">
        <f t="shared" si="269"/>
        <v>954.1428492159796</v>
      </c>
      <c r="U675" s="101"/>
      <c r="V675" s="102">
        <f t="shared" si="263"/>
        <v>12926774.348345311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933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1548</v>
      </c>
      <c r="E677" s="97" t="s">
        <v>1168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23924897.225691263</v>
      </c>
      <c r="H677" s="100">
        <f t="shared" si="271"/>
        <v>21247526.418569669</v>
      </c>
      <c r="I677" s="100">
        <f t="shared" si="271"/>
        <v>2212820.6281064288</v>
      </c>
      <c r="J677" s="100">
        <f t="shared" si="271"/>
        <v>831756.29587161634</v>
      </c>
      <c r="K677" s="100">
        <f t="shared" si="271"/>
        <v>0</v>
      </c>
      <c r="L677" s="100">
        <f t="shared" si="271"/>
        <v>16044563.969615962</v>
      </c>
      <c r="M677" s="100">
        <f t="shared" si="271"/>
        <v>1552485.0196120476</v>
      </c>
      <c r="N677" s="100">
        <f t="shared" si="271"/>
        <v>5444657.879480998</v>
      </c>
      <c r="O677" s="100">
        <f t="shared" si="271"/>
        <v>6907937.7532284586</v>
      </c>
      <c r="P677" s="100">
        <f t="shared" si="271"/>
        <v>2787246.0014169891</v>
      </c>
      <c r="Q677" s="100">
        <f t="shared" si="271"/>
        <v>-643551.46426167467</v>
      </c>
      <c r="R677" s="100">
        <f t="shared" si="271"/>
        <v>3829747.6396626779</v>
      </c>
      <c r="S677" s="100">
        <f t="shared" si="271"/>
        <v>3758.7076282715634</v>
      </c>
      <c r="T677" s="100">
        <f t="shared" si="271"/>
        <v>17888.286433414985</v>
      </c>
      <c r="U677" s="100"/>
      <c r="V677" s="102">
        <f t="shared" si="263"/>
        <v>84161734.361056119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530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578</v>
      </c>
      <c r="E679" s="97" t="s">
        <v>580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439</v>
      </c>
      <c r="D681" s="97" t="s">
        <v>397</v>
      </c>
      <c r="F681" s="102">
        <f t="shared" ref="F681:T681" si="274">SUM(F671:F680)</f>
        <v>1283819684.7187507</v>
      </c>
      <c r="G681" s="102">
        <f t="shared" si="274"/>
        <v>506338435.65036589</v>
      </c>
      <c r="H681" s="102">
        <f t="shared" si="274"/>
        <v>160050109.48415953</v>
      </c>
      <c r="I681" s="102">
        <f t="shared" si="274"/>
        <v>13943369.247112963</v>
      </c>
      <c r="J681" s="102">
        <f t="shared" si="274"/>
        <v>10256720.327352308</v>
      </c>
      <c r="K681" s="102">
        <f t="shared" si="274"/>
        <v>0</v>
      </c>
      <c r="L681" s="102">
        <f t="shared" si="274"/>
        <v>136314088.56712458</v>
      </c>
      <c r="M681" s="102">
        <f t="shared" si="274"/>
        <v>11120802.427190097</v>
      </c>
      <c r="N681" s="102">
        <f t="shared" si="274"/>
        <v>92712351.264572814</v>
      </c>
      <c r="O681" s="102">
        <f t="shared" si="274"/>
        <v>227224262.34618315</v>
      </c>
      <c r="P681" s="102">
        <f t="shared" si="274"/>
        <v>78098320.813455299</v>
      </c>
      <c r="Q681" s="102">
        <f t="shared" si="274"/>
        <v>28747069.128409941</v>
      </c>
      <c r="R681" s="102">
        <f t="shared" si="274"/>
        <v>18865041.172438249</v>
      </c>
      <c r="S681" s="102">
        <f t="shared" si="274"/>
        <v>23792.78997272129</v>
      </c>
      <c r="T681" s="102">
        <f t="shared" si="274"/>
        <v>125321.49942784978</v>
      </c>
      <c r="U681" s="102"/>
      <c r="V681" s="102">
        <f>SUM(G681:T681)</f>
        <v>1283819684.7177653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936</v>
      </c>
      <c r="D683" s="97" t="s">
        <v>838</v>
      </c>
      <c r="F683" s="102">
        <f t="shared" ref="F683:T683" si="275">F668-F681</f>
        <v>203142987.22212458</v>
      </c>
      <c r="G683" s="102">
        <f t="shared" si="275"/>
        <v>71841925.525600493</v>
      </c>
      <c r="H683" s="102">
        <f t="shared" si="275"/>
        <v>39663006.526621044</v>
      </c>
      <c r="I683" s="102">
        <f t="shared" si="275"/>
        <v>3893623.737534143</v>
      </c>
      <c r="J683" s="102">
        <f t="shared" si="275"/>
        <v>1764268.3199026529</v>
      </c>
      <c r="K683" s="102">
        <f t="shared" si="275"/>
        <v>0</v>
      </c>
      <c r="L683" s="102">
        <f t="shared" si="275"/>
        <v>30230164.406425118</v>
      </c>
      <c r="M683" s="102">
        <f t="shared" si="275"/>
        <v>2778663.0179530624</v>
      </c>
      <c r="N683" s="102">
        <f t="shared" si="275"/>
        <v>13122525.647536248</v>
      </c>
      <c r="O683" s="102">
        <f t="shared" si="275"/>
        <v>23275864.397207737</v>
      </c>
      <c r="P683" s="102">
        <f t="shared" si="275"/>
        <v>8244438.2184063047</v>
      </c>
      <c r="Q683" s="102">
        <f t="shared" si="275"/>
        <v>989060.58008134365</v>
      </c>
      <c r="R683" s="102">
        <f t="shared" si="275"/>
        <v>7302310.9573514871</v>
      </c>
      <c r="S683" s="102">
        <f t="shared" si="275"/>
        <v>5902.9809354201898</v>
      </c>
      <c r="T683" s="102">
        <f t="shared" si="275"/>
        <v>31232.907666198618</v>
      </c>
      <c r="U683" s="102"/>
      <c r="V683" s="102">
        <f>SUM(G683:T683)</f>
        <v>203142987.22322124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419</v>
      </c>
      <c r="F685" s="102">
        <f t="shared" ref="F685:T685" si="276">F174</f>
        <v>3639079759.3610182</v>
      </c>
      <c r="G685" s="102">
        <f t="shared" si="276"/>
        <v>1638574450.1365099</v>
      </c>
      <c r="H685" s="102">
        <f t="shared" si="276"/>
        <v>428798509.54641026</v>
      </c>
      <c r="I685" s="102">
        <f t="shared" si="276"/>
        <v>34388894.817655712</v>
      </c>
      <c r="J685" s="102">
        <f t="shared" si="276"/>
        <v>25836888.185070656</v>
      </c>
      <c r="K685" s="102">
        <f t="shared" si="276"/>
        <v>0</v>
      </c>
      <c r="L685" s="102">
        <f t="shared" si="276"/>
        <v>331401363.4568665</v>
      </c>
      <c r="M685" s="102">
        <f t="shared" si="276"/>
        <v>25951318.344912939</v>
      </c>
      <c r="N685" s="102">
        <f t="shared" si="276"/>
        <v>232614157.91985977</v>
      </c>
      <c r="O685" s="102">
        <f t="shared" si="276"/>
        <v>572762731.77029467</v>
      </c>
      <c r="P685" s="102">
        <f t="shared" si="276"/>
        <v>182841242.46943587</v>
      </c>
      <c r="Q685" s="102">
        <f t="shared" si="276"/>
        <v>79332427.23950915</v>
      </c>
      <c r="R685" s="102">
        <f t="shared" si="276"/>
        <v>86271461.905214444</v>
      </c>
      <c r="S685" s="102">
        <f t="shared" si="276"/>
        <v>31537.192131112493</v>
      </c>
      <c r="T685" s="102">
        <f t="shared" si="276"/>
        <v>274776.36238708842</v>
      </c>
      <c r="U685" s="102"/>
      <c r="V685" s="102">
        <f>SUM(G685:T685)</f>
        <v>3639079759.3462582</v>
      </c>
      <c r="W685" s="98" t="str">
        <f>IF(ABS(F685-V685)&lt;0.01,"ok","err")</f>
        <v>err</v>
      </c>
      <c r="X685" s="240">
        <f>IF(W685="err",V685-F685,"")</f>
        <v>-1.4760017395019531E-2</v>
      </c>
    </row>
    <row r="686" spans="1:24" ht="12" customHeight="1" x14ac:dyDescent="0.25">
      <c r="B686" s="102"/>
      <c r="X686" s="240"/>
    </row>
    <row r="687" spans="1:24" s="24" customFormat="1" ht="12" customHeight="1" x14ac:dyDescent="0.25">
      <c r="A687" s="231"/>
      <c r="B687" s="231"/>
      <c r="C687" s="231"/>
      <c r="D687" s="231"/>
      <c r="E687" s="231"/>
      <c r="F687" s="312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44"/>
    </row>
    <row r="689" spans="1:24" ht="12" customHeight="1" x14ac:dyDescent="0.25">
      <c r="F689" s="101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  <c r="V689" s="245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6"/>
      <c r="N692" s="109"/>
      <c r="O692" s="246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6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47"/>
      <c r="G695" s="247"/>
      <c r="H695" s="247"/>
      <c r="I695" s="247"/>
      <c r="J695" s="247"/>
      <c r="K695" s="247"/>
      <c r="L695" s="247"/>
      <c r="M695" s="247"/>
      <c r="N695" s="247"/>
      <c r="O695" s="247"/>
      <c r="P695" s="247"/>
    </row>
    <row r="699" spans="1:24" ht="12" customHeight="1" x14ac:dyDescent="0.25">
      <c r="A699" s="23" t="s">
        <v>1163</v>
      </c>
    </row>
    <row r="701" spans="1:24" ht="12" customHeight="1" x14ac:dyDescent="0.25">
      <c r="A701" s="97" t="s">
        <v>1164</v>
      </c>
      <c r="F701" s="102">
        <f t="shared" ref="F701:T701" si="277">F668</f>
        <v>1486962671.9408753</v>
      </c>
      <c r="G701" s="102">
        <f t="shared" si="277"/>
        <v>578180361.17596638</v>
      </c>
      <c r="H701" s="102">
        <f t="shared" si="277"/>
        <v>199713116.01078057</v>
      </c>
      <c r="I701" s="102">
        <f t="shared" si="277"/>
        <v>17836992.984647106</v>
      </c>
      <c r="J701" s="102">
        <f t="shared" si="277"/>
        <v>12020988.647254961</v>
      </c>
      <c r="K701" s="102">
        <f t="shared" si="277"/>
        <v>0</v>
      </c>
      <c r="L701" s="102">
        <f t="shared" si="277"/>
        <v>166544252.97354969</v>
      </c>
      <c r="M701" s="102">
        <f t="shared" si="277"/>
        <v>13899465.445143159</v>
      </c>
      <c r="N701" s="102">
        <f t="shared" si="277"/>
        <v>105834876.91210906</v>
      </c>
      <c r="O701" s="102">
        <f t="shared" si="277"/>
        <v>250500126.74339089</v>
      </c>
      <c r="P701" s="102">
        <f t="shared" si="277"/>
        <v>86342759.031861603</v>
      </c>
      <c r="Q701" s="102">
        <f t="shared" si="277"/>
        <v>29736129.708491284</v>
      </c>
      <c r="R701" s="102">
        <f t="shared" si="277"/>
        <v>26167352.129789736</v>
      </c>
      <c r="S701" s="102">
        <f t="shared" si="277"/>
        <v>29695.77090814148</v>
      </c>
      <c r="T701" s="102">
        <f t="shared" si="277"/>
        <v>156554.40709404839</v>
      </c>
      <c r="U701" s="102"/>
      <c r="V701" s="102">
        <f>SUM(G701:T701)</f>
        <v>1486962671.9409866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434</v>
      </c>
      <c r="F703" s="102">
        <f t="shared" ref="F703:T703" si="278">F671+F672+F673+F674+F675+F676+F678+F679</f>
        <v>1199657950.3587508</v>
      </c>
      <c r="G703" s="102">
        <f t="shared" si="278"/>
        <v>482413538.42467463</v>
      </c>
      <c r="H703" s="102">
        <f t="shared" si="278"/>
        <v>138802583.06558985</v>
      </c>
      <c r="I703" s="102">
        <f t="shared" si="278"/>
        <v>11730548.619006535</v>
      </c>
      <c r="J703" s="102">
        <f t="shared" si="278"/>
        <v>9424964.0314806905</v>
      </c>
      <c r="K703" s="102">
        <f t="shared" si="278"/>
        <v>0</v>
      </c>
      <c r="L703" s="102">
        <f t="shared" si="278"/>
        <v>120269524.59750862</v>
      </c>
      <c r="M703" s="102">
        <f t="shared" si="278"/>
        <v>9568317.4075780492</v>
      </c>
      <c r="N703" s="102">
        <f t="shared" si="278"/>
        <v>87267693.385091811</v>
      </c>
      <c r="O703" s="102">
        <f t="shared" si="278"/>
        <v>220316324.5929547</v>
      </c>
      <c r="P703" s="102">
        <f t="shared" si="278"/>
        <v>75311074.812038302</v>
      </c>
      <c r="Q703" s="102">
        <f t="shared" si="278"/>
        <v>29390620.592671614</v>
      </c>
      <c r="R703" s="102">
        <f t="shared" si="278"/>
        <v>15035293.53277557</v>
      </c>
      <c r="S703" s="102">
        <f t="shared" si="278"/>
        <v>20034.082344449725</v>
      </c>
      <c r="T703" s="102">
        <f t="shared" si="278"/>
        <v>107433.21299443478</v>
      </c>
      <c r="U703" s="102"/>
      <c r="V703" s="102">
        <f>SUM(G703:T703)</f>
        <v>1199657950.3567092</v>
      </c>
      <c r="W703" s="98" t="str">
        <f>IF(ABS(F703-V703)&lt;0.01,"ok","err")</f>
        <v>ok</v>
      </c>
      <c r="X703" s="240" t="str">
        <f>IF(W703="err",V703-F703,"")</f>
        <v/>
      </c>
    </row>
    <row r="705" spans="1:24" ht="12" customHeight="1" x14ac:dyDescent="0.25">
      <c r="A705" s="97" t="s">
        <v>1165</v>
      </c>
      <c r="D705" s="97" t="s">
        <v>1166</v>
      </c>
      <c r="F705" s="248">
        <f t="shared" ref="F705:T705" si="279">F636</f>
        <v>86095200.491145507</v>
      </c>
      <c r="G705" s="248">
        <f t="shared" si="279"/>
        <v>38568416.022399925</v>
      </c>
      <c r="H705" s="248">
        <f t="shared" si="279"/>
        <v>10113045.850150218</v>
      </c>
      <c r="I705" s="248">
        <f t="shared" si="279"/>
        <v>816147.27008611325</v>
      </c>
      <c r="J705" s="248">
        <f t="shared" si="279"/>
        <v>607504.68769309053</v>
      </c>
      <c r="K705" s="248">
        <f t="shared" si="279"/>
        <v>0</v>
      </c>
      <c r="L705" s="248">
        <f t="shared" si="279"/>
        <v>7916214.77137913</v>
      </c>
      <c r="M705" s="248">
        <f t="shared" si="279"/>
        <v>619547.15775335522</v>
      </c>
      <c r="N705" s="248">
        <f t="shared" si="279"/>
        <v>5550377.1034643976</v>
      </c>
      <c r="O705" s="248">
        <f t="shared" si="279"/>
        <v>13668661.895508211</v>
      </c>
      <c r="P705" s="248">
        <f t="shared" si="279"/>
        <v>4368080.6549423626</v>
      </c>
      <c r="Q705" s="248">
        <f t="shared" si="279"/>
        <v>1884078.6677208322</v>
      </c>
      <c r="R705" s="248">
        <f t="shared" si="279"/>
        <v>1976096.0406855629</v>
      </c>
      <c r="S705" s="248">
        <f t="shared" si="279"/>
        <v>675.56479192481174</v>
      </c>
      <c r="T705" s="248">
        <f t="shared" si="279"/>
        <v>6354.804198357715</v>
      </c>
      <c r="U705" s="248"/>
      <c r="V705" s="248">
        <f>SUM(G705:T705)</f>
        <v>86095200.490773469</v>
      </c>
      <c r="W705" s="98" t="str">
        <f>IF(ABS(F705-V705)&lt;0.01,"ok","err")</f>
        <v>ok</v>
      </c>
      <c r="X705" s="240" t="str">
        <f>IF(W705="err",V705-F705,"")</f>
        <v/>
      </c>
    </row>
    <row r="707" spans="1:24" ht="12" customHeight="1" x14ac:dyDescent="0.25">
      <c r="A707" s="97" t="s">
        <v>1167</v>
      </c>
      <c r="D707" s="97" t="s">
        <v>1168</v>
      </c>
      <c r="F707" s="102">
        <f>F701-F703-F705</f>
        <v>201209521.09097898</v>
      </c>
      <c r="G707" s="102">
        <f t="shared" ref="G707:T707" si="280">G701-G703-G705</f>
        <v>57198406.728891827</v>
      </c>
      <c r="H707" s="102">
        <f t="shared" si="280"/>
        <v>50797487.095040508</v>
      </c>
      <c r="I707" s="102">
        <f>I701-I703-I705</f>
        <v>5290297.095554458</v>
      </c>
      <c r="J707" s="102">
        <f>J701-J703-J705</f>
        <v>1988519.9280811795</v>
      </c>
      <c r="K707" s="102">
        <f>K701-K703-K705</f>
        <v>0</v>
      </c>
      <c r="L707" s="102">
        <f t="shared" si="280"/>
        <v>38358513.604661942</v>
      </c>
      <c r="M707" s="102">
        <f t="shared" si="280"/>
        <v>3711600.8798117549</v>
      </c>
      <c r="N707" s="102">
        <f t="shared" si="280"/>
        <v>13016806.423552852</v>
      </c>
      <c r="O707" s="102">
        <f>O701-O703-O705</f>
        <v>16515140.254927982</v>
      </c>
      <c r="P707" s="102">
        <f>P701-P703-P705</f>
        <v>6663603.5648809383</v>
      </c>
      <c r="Q707" s="102">
        <f t="shared" si="280"/>
        <v>-1538569.5519011619</v>
      </c>
      <c r="R707" s="102">
        <f t="shared" si="280"/>
        <v>9155962.556328604</v>
      </c>
      <c r="S707" s="102">
        <f t="shared" si="280"/>
        <v>8986.1237717669428</v>
      </c>
      <c r="T707" s="102">
        <f t="shared" si="280"/>
        <v>42766.389901255898</v>
      </c>
      <c r="U707" s="102"/>
      <c r="V707" s="102">
        <f>SUM(G707:T707)</f>
        <v>201209521.09350389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1550</v>
      </c>
    </row>
    <row r="712" spans="1:24" ht="12" customHeight="1" x14ac:dyDescent="0.25">
      <c r="A712" s="24" t="s">
        <v>430</v>
      </c>
    </row>
    <row r="714" spans="1:24" ht="12" customHeight="1" x14ac:dyDescent="0.25">
      <c r="A714" s="97" t="s">
        <v>519</v>
      </c>
      <c r="F714" s="102">
        <f t="shared" ref="F714:T714" si="281">F668</f>
        <v>1486962671.9408753</v>
      </c>
      <c r="G714" s="102">
        <f t="shared" si="281"/>
        <v>578180361.17596638</v>
      </c>
      <c r="H714" s="102">
        <f t="shared" si="281"/>
        <v>199713116.01078057</v>
      </c>
      <c r="I714" s="102">
        <f t="shared" si="281"/>
        <v>17836992.984647106</v>
      </c>
      <c r="J714" s="102">
        <f t="shared" si="281"/>
        <v>12020988.647254961</v>
      </c>
      <c r="K714" s="102">
        <f t="shared" si="281"/>
        <v>0</v>
      </c>
      <c r="L714" s="102">
        <f t="shared" si="281"/>
        <v>166544252.97354969</v>
      </c>
      <c r="M714" s="102">
        <f t="shared" si="281"/>
        <v>13899465.445143159</v>
      </c>
      <c r="N714" s="102">
        <f t="shared" si="281"/>
        <v>105834876.91210906</v>
      </c>
      <c r="O714" s="102">
        <f t="shared" si="281"/>
        <v>250500126.74339089</v>
      </c>
      <c r="P714" s="102">
        <f t="shared" si="281"/>
        <v>86342759.031861603</v>
      </c>
      <c r="Q714" s="102">
        <f t="shared" si="281"/>
        <v>29736129.708491284</v>
      </c>
      <c r="R714" s="102">
        <f t="shared" si="281"/>
        <v>26167352.129789736</v>
      </c>
      <c r="S714" s="102">
        <f t="shared" si="281"/>
        <v>29695.77090814148</v>
      </c>
      <c r="T714" s="102">
        <f t="shared" si="281"/>
        <v>156554.40709404839</v>
      </c>
      <c r="U714" s="102"/>
      <c r="V714" s="102">
        <f>SUM(G714:T714)</f>
        <v>1486962671.9409866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520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2268</v>
      </c>
      <c r="F717" s="226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2272</v>
      </c>
      <c r="F718" s="226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2269</v>
      </c>
      <c r="F719" s="226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2270</v>
      </c>
      <c r="F720" s="226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2271</v>
      </c>
      <c r="E721" s="97" t="s">
        <v>2377</v>
      </c>
      <c r="F721" s="226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-14304.611441060906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-160356.39474156377</v>
      </c>
      <c r="M721" s="100">
        <f t="shared" si="285"/>
        <v>-13653.249062990584</v>
      </c>
      <c r="N721" s="100">
        <f t="shared" si="285"/>
        <v>-99750.478278592287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322</v>
      </c>
      <c r="E722" s="97" t="s">
        <v>1209</v>
      </c>
      <c r="F722" s="226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2174</v>
      </c>
      <c r="E723" s="97" t="s">
        <v>1209</v>
      </c>
      <c r="F723" s="226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1894</v>
      </c>
      <c r="E724" s="97" t="s">
        <v>110</v>
      </c>
      <c r="F724" s="226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1895</v>
      </c>
      <c r="D725" s="97" t="s">
        <v>844</v>
      </c>
      <c r="E725" s="97" t="s">
        <v>1881</v>
      </c>
      <c r="F725" s="226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0" t="str">
        <f t="shared" si="284"/>
        <v/>
      </c>
    </row>
    <row r="726" spans="1:24" ht="12" hidden="1" customHeight="1" x14ac:dyDescent="0.25">
      <c r="B726" s="97" t="s">
        <v>323</v>
      </c>
      <c r="D726" s="97" t="s">
        <v>1512</v>
      </c>
      <c r="E726" s="97" t="s">
        <v>1882</v>
      </c>
      <c r="F726" s="226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3" t="s">
        <v>2175</v>
      </c>
      <c r="E727" s="97" t="s">
        <v>421</v>
      </c>
      <c r="F727" s="226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0"/>
    </row>
    <row r="729" spans="1:24" ht="12" customHeight="1" x14ac:dyDescent="0.25">
      <c r="A729" s="97" t="s">
        <v>521</v>
      </c>
      <c r="E729" s="105"/>
      <c r="F729" s="102">
        <f t="shared" ref="F729:U729" si="287">SUM(F714:F727)</f>
        <v>1485327439.9408753</v>
      </c>
      <c r="G729" s="102">
        <f t="shared" si="287"/>
        <v>577570395.74202704</v>
      </c>
      <c r="H729" s="102">
        <f t="shared" si="287"/>
        <v>199344350.44910291</v>
      </c>
      <c r="I729" s="102">
        <f t="shared" si="287"/>
        <v>17822688.373206045</v>
      </c>
      <c r="J729" s="102">
        <f t="shared" si="287"/>
        <v>11997615.862307418</v>
      </c>
      <c r="K729" s="102">
        <f t="shared" si="287"/>
        <v>0</v>
      </c>
      <c r="L729" s="102">
        <f t="shared" si="287"/>
        <v>166383896.57880813</v>
      </c>
      <c r="M729" s="102">
        <f t="shared" si="287"/>
        <v>13885812.196080169</v>
      </c>
      <c r="N729" s="102">
        <f t="shared" si="287"/>
        <v>105735126.43383047</v>
      </c>
      <c r="O729" s="102">
        <f t="shared" si="287"/>
        <v>250289848.02854276</v>
      </c>
      <c r="P729" s="102">
        <f t="shared" si="287"/>
        <v>86274144.900125459</v>
      </c>
      <c r="Q729" s="102">
        <f t="shared" si="287"/>
        <v>29712410.844162896</v>
      </c>
      <c r="R729" s="102">
        <f t="shared" si="287"/>
        <v>26125158.396590929</v>
      </c>
      <c r="S729" s="102">
        <f t="shared" si="287"/>
        <v>29629.836189948062</v>
      </c>
      <c r="T729" s="102">
        <f t="shared" si="287"/>
        <v>156362.30001245908</v>
      </c>
      <c r="U729" s="102">
        <f t="shared" si="287"/>
        <v>0</v>
      </c>
      <c r="V729" s="102">
        <f>SUM(G729:T729)</f>
        <v>1485327439.9409866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434</v>
      </c>
      <c r="F732" s="102"/>
    </row>
    <row r="734" spans="1:24" ht="12" customHeight="1" x14ac:dyDescent="0.25">
      <c r="A734" s="107" t="s">
        <v>435</v>
      </c>
      <c r="F734" s="102">
        <f t="shared" ref="F734:T734" si="288">F231</f>
        <v>933774238.57748604</v>
      </c>
      <c r="G734" s="102">
        <f t="shared" si="288"/>
        <v>366133078.03071427</v>
      </c>
      <c r="H734" s="102">
        <f t="shared" si="288"/>
        <v>107874828.29719453</v>
      </c>
      <c r="I734" s="102">
        <f t="shared" si="288"/>
        <v>9177925.2259917334</v>
      </c>
      <c r="J734" s="102">
        <f t="shared" si="288"/>
        <v>7553727.4281840874</v>
      </c>
      <c r="K734" s="102">
        <f t="shared" si="288"/>
        <v>0</v>
      </c>
      <c r="L734" s="102">
        <f t="shared" si="288"/>
        <v>94996254.759859398</v>
      </c>
      <c r="M734" s="102">
        <f t="shared" si="288"/>
        <v>7589275.5885820761</v>
      </c>
      <c r="N734" s="102">
        <f t="shared" si="288"/>
        <v>69530042.422903746</v>
      </c>
      <c r="O734" s="102">
        <f t="shared" si="288"/>
        <v>176498081.47219279</v>
      </c>
      <c r="P734" s="102">
        <f t="shared" si="288"/>
        <v>61153748.366702609</v>
      </c>
      <c r="Q734" s="102">
        <f t="shared" si="288"/>
        <v>23421413.175965562</v>
      </c>
      <c r="R734" s="102">
        <f t="shared" si="288"/>
        <v>9739006.6371647846</v>
      </c>
      <c r="S734" s="102">
        <f t="shared" si="288"/>
        <v>18260.561071496395</v>
      </c>
      <c r="T734" s="102">
        <f t="shared" si="288"/>
        <v>88596.610177521448</v>
      </c>
      <c r="U734" s="102"/>
      <c r="V734" s="102">
        <f>V231</f>
        <v>933774238.57670462</v>
      </c>
      <c r="W734" s="98" t="str">
        <f t="shared" ref="W734:W742" si="289">IF(ABS(F734-V734)&lt;0.01,"ok","err")</f>
        <v>ok</v>
      </c>
      <c r="X734" s="240" t="str">
        <f t="shared" ref="X734:X742" si="290">IF(W734="err",V734-F734,"")</f>
        <v/>
      </c>
    </row>
    <row r="735" spans="1:24" ht="12" customHeight="1" x14ac:dyDescent="0.25">
      <c r="A735" s="107" t="s">
        <v>436</v>
      </c>
      <c r="F735" s="101">
        <f t="shared" ref="F735:T735" si="291">F345</f>
        <v>228062836.53918952</v>
      </c>
      <c r="G735" s="101">
        <f t="shared" si="291"/>
        <v>99337689.57344678</v>
      </c>
      <c r="H735" s="101">
        <f t="shared" si="291"/>
        <v>26485181.393410761</v>
      </c>
      <c r="I735" s="101">
        <f t="shared" si="291"/>
        <v>2194096.9722039006</v>
      </c>
      <c r="J735" s="101">
        <f t="shared" si="291"/>
        <v>1604365.060270471</v>
      </c>
      <c r="K735" s="101">
        <f t="shared" si="291"/>
        <v>0</v>
      </c>
      <c r="L735" s="101">
        <f t="shared" si="291"/>
        <v>21795745.311893627</v>
      </c>
      <c r="M735" s="101">
        <f t="shared" si="291"/>
        <v>1706880.1232649565</v>
      </c>
      <c r="N735" s="101">
        <f t="shared" si="291"/>
        <v>15299418.415204357</v>
      </c>
      <c r="O735" s="101">
        <f t="shared" si="291"/>
        <v>37813718.439629495</v>
      </c>
      <c r="P735" s="101">
        <f t="shared" si="291"/>
        <v>12238466.479211472</v>
      </c>
      <c r="Q735" s="101">
        <f t="shared" si="291"/>
        <v>5141547.990493861</v>
      </c>
      <c r="R735" s="101">
        <f t="shared" si="291"/>
        <v>4428205.0351264244</v>
      </c>
      <c r="S735" s="101">
        <f t="shared" si="291"/>
        <v>1476.7515161310016</v>
      </c>
      <c r="T735" s="101">
        <f t="shared" si="291"/>
        <v>16044.992420482215</v>
      </c>
      <c r="U735" s="101"/>
      <c r="V735" s="101">
        <f>V345</f>
        <v>228062836.53809273</v>
      </c>
      <c r="W735" s="98" t="str">
        <f t="shared" si="289"/>
        <v>ok</v>
      </c>
      <c r="X735" s="240" t="str">
        <f t="shared" si="290"/>
        <v/>
      </c>
    </row>
    <row r="736" spans="1:24" ht="12" customHeight="1" x14ac:dyDescent="0.25">
      <c r="A736" s="107" t="s">
        <v>274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437</v>
      </c>
      <c r="E737" s="97" t="s">
        <v>418</v>
      </c>
      <c r="F737" s="101">
        <f t="shared" ref="F737:T737" si="293">F674</f>
        <v>24894100.893674195</v>
      </c>
      <c r="G737" s="101">
        <f t="shared" si="293"/>
        <v>11151911.30624719</v>
      </c>
      <c r="H737" s="101">
        <f t="shared" si="293"/>
        <v>2924148.8758933153</v>
      </c>
      <c r="I737" s="101">
        <f t="shared" si="293"/>
        <v>235985.88968626663</v>
      </c>
      <c r="J737" s="101">
        <f t="shared" si="293"/>
        <v>175657.67780942895</v>
      </c>
      <c r="K737" s="101">
        <f t="shared" si="293"/>
        <v>0</v>
      </c>
      <c r="L737" s="101">
        <f t="shared" si="293"/>
        <v>2288943.4961589235</v>
      </c>
      <c r="M737" s="101">
        <f t="shared" si="293"/>
        <v>179139.71238254217</v>
      </c>
      <c r="N737" s="101">
        <f t="shared" si="293"/>
        <v>1604870.5017626637</v>
      </c>
      <c r="O737" s="101">
        <f t="shared" si="293"/>
        <v>3952241.7784867864</v>
      </c>
      <c r="P737" s="101">
        <f t="shared" si="293"/>
        <v>1263013.9649541208</v>
      </c>
      <c r="Q737" s="101">
        <f t="shared" si="293"/>
        <v>544774.20551085612</v>
      </c>
      <c r="R737" s="101">
        <f t="shared" si="293"/>
        <v>571380.68012834003</v>
      </c>
      <c r="S737" s="101">
        <f t="shared" si="293"/>
        <v>195.33699897847254</v>
      </c>
      <c r="T737" s="101">
        <f t="shared" si="293"/>
        <v>1837.4675472151459</v>
      </c>
      <c r="U737" s="101"/>
      <c r="V737" s="102">
        <f>SUM(G737:T737)</f>
        <v>24894100.893566623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438</v>
      </c>
      <c r="F738" s="101">
        <f t="shared" ref="F738:T738" si="294">F516</f>
        <v>12926774.348401168</v>
      </c>
      <c r="G738" s="101">
        <f t="shared" si="294"/>
        <v>5790859.514266408</v>
      </c>
      <c r="H738" s="101">
        <f t="shared" si="294"/>
        <v>1518424.4990912315</v>
      </c>
      <c r="I738" s="101">
        <f t="shared" si="294"/>
        <v>122540.53112463388</v>
      </c>
      <c r="J738" s="101">
        <f t="shared" si="294"/>
        <v>91213.865216704609</v>
      </c>
      <c r="K738" s="101">
        <f t="shared" si="294"/>
        <v>0</v>
      </c>
      <c r="L738" s="101">
        <f t="shared" si="294"/>
        <v>1188581.029596678</v>
      </c>
      <c r="M738" s="101">
        <f t="shared" si="294"/>
        <v>93021.983348474663</v>
      </c>
      <c r="N738" s="101">
        <f t="shared" si="294"/>
        <v>833362.04522104294</v>
      </c>
      <c r="O738" s="101">
        <f t="shared" si="294"/>
        <v>2052282.9026456124</v>
      </c>
      <c r="P738" s="101">
        <f t="shared" si="294"/>
        <v>655846.001170106</v>
      </c>
      <c r="Q738" s="101">
        <f t="shared" si="294"/>
        <v>282885.22070133639</v>
      </c>
      <c r="R738" s="101">
        <f t="shared" si="294"/>
        <v>296701.18035602215</v>
      </c>
      <c r="S738" s="101">
        <f t="shared" si="294"/>
        <v>101.43275784385642</v>
      </c>
      <c r="T738" s="101">
        <f t="shared" si="294"/>
        <v>954.1428492159796</v>
      </c>
      <c r="U738" s="101"/>
      <c r="V738" s="102">
        <f>SUM(G738:T738)</f>
        <v>12926774.348345311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933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1548</v>
      </c>
      <c r="E740" s="97" t="s">
        <v>1168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23924897.225691263</v>
      </c>
      <c r="H740" s="100">
        <f t="shared" si="296"/>
        <v>21247526.418569669</v>
      </c>
      <c r="I740" s="100">
        <f t="shared" si="296"/>
        <v>2212820.6281064288</v>
      </c>
      <c r="J740" s="100">
        <f t="shared" si="296"/>
        <v>831756.29587161634</v>
      </c>
      <c r="K740" s="100">
        <f t="shared" si="296"/>
        <v>0</v>
      </c>
      <c r="L740" s="100">
        <f t="shared" si="296"/>
        <v>16044563.969615962</v>
      </c>
      <c r="M740" s="100">
        <f t="shared" si="296"/>
        <v>1552485.0196120476</v>
      </c>
      <c r="N740" s="100">
        <f t="shared" si="296"/>
        <v>5444657.879480998</v>
      </c>
      <c r="O740" s="100">
        <f t="shared" si="296"/>
        <v>6907937.7532284586</v>
      </c>
      <c r="P740" s="100">
        <f t="shared" si="296"/>
        <v>2787246.0014169891</v>
      </c>
      <c r="Q740" s="100">
        <f t="shared" si="296"/>
        <v>-643551.46426167467</v>
      </c>
      <c r="R740" s="100">
        <f t="shared" si="296"/>
        <v>3829747.6396626779</v>
      </c>
      <c r="S740" s="100">
        <f t="shared" si="296"/>
        <v>3758.7076282715634</v>
      </c>
      <c r="T740" s="100">
        <f t="shared" si="296"/>
        <v>17888.286433414985</v>
      </c>
      <c r="U740" s="100"/>
      <c r="V740" s="102">
        <f>SUM(G740:T740)</f>
        <v>84161734.361056119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943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578</v>
      </c>
      <c r="E742" s="97" t="s">
        <v>580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1549</v>
      </c>
      <c r="D744" s="105"/>
      <c r="G744" s="105"/>
      <c r="V744" s="102"/>
      <c r="W744" s="98"/>
    </row>
    <row r="745" spans="1:24" ht="12" hidden="1" customHeight="1" x14ac:dyDescent="0.25">
      <c r="B745" s="97" t="s">
        <v>2273</v>
      </c>
      <c r="E745" s="97" t="s">
        <v>1728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2274</v>
      </c>
      <c r="E746" s="97" t="s">
        <v>414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2278</v>
      </c>
      <c r="E747" s="97" t="s">
        <v>414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2275</v>
      </c>
      <c r="E748" s="97" t="s">
        <v>414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323</v>
      </c>
      <c r="E749" s="97" t="s">
        <v>1512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1897</v>
      </c>
      <c r="E750" s="97" t="s">
        <v>1750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275</v>
      </c>
      <c r="E751" s="97" t="s">
        <v>425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1896</v>
      </c>
      <c r="E752" s="97" t="s">
        <v>425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1900</v>
      </c>
      <c r="E753" s="97" t="s">
        <v>253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1898</v>
      </c>
      <c r="E754" s="97" t="s">
        <v>421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2176</v>
      </c>
      <c r="E755" s="97" t="s">
        <v>431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-10244.504935437029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-95670.407794566141</v>
      </c>
      <c r="M755" s="101">
        <f t="shared" si="303"/>
        <v>-7983.8519718289754</v>
      </c>
      <c r="N755" s="101">
        <f t="shared" si="303"/>
        <v>-60816.412667467033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-838116.00000000012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2178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276</v>
      </c>
      <c r="E757" s="97" t="s">
        <v>423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0" t="str">
        <f>IF(W757="err",V757-F757,"")</f>
        <v/>
      </c>
    </row>
    <row r="758" spans="1:32" ht="12" hidden="1" customHeight="1" x14ac:dyDescent="0.25">
      <c r="B758" s="243" t="s">
        <v>2177</v>
      </c>
      <c r="E758" s="97" t="s">
        <v>253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1899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1901</v>
      </c>
      <c r="E760" s="97" t="s">
        <v>423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1873</v>
      </c>
      <c r="E761" s="97" t="s">
        <v>1168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2200</v>
      </c>
      <c r="E762" s="97" t="s">
        <v>1168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1872</v>
      </c>
      <c r="E763" s="97" t="s">
        <v>1168</v>
      </c>
      <c r="F763" s="101">
        <f>-140151-24517</f>
        <v>-164668</v>
      </c>
      <c r="G763" s="101">
        <f t="shared" si="303"/>
        <v>-46810.643890824504</v>
      </c>
      <c r="H763" s="101">
        <f t="shared" si="303"/>
        <v>-41572.190816874587</v>
      </c>
      <c r="I763" s="101">
        <f t="shared" si="303"/>
        <v>-4329.5299218811087</v>
      </c>
      <c r="J763" s="101">
        <f t="shared" si="303"/>
        <v>-1627.3862078783725</v>
      </c>
      <c r="K763" s="101">
        <f t="shared" si="303"/>
        <v>0</v>
      </c>
      <c r="L763" s="101">
        <f t="shared" si="303"/>
        <v>-31392.250645020114</v>
      </c>
      <c r="M763" s="101">
        <f t="shared" si="303"/>
        <v>-3037.5396271655045</v>
      </c>
      <c r="N763" s="101">
        <f t="shared" si="303"/>
        <v>-10652.833268185243</v>
      </c>
      <c r="O763" s="101">
        <f t="shared" si="303"/>
        <v>-13515.837127154753</v>
      </c>
      <c r="P763" s="101">
        <f t="shared" si="303"/>
        <v>-5453.4311590835041</v>
      </c>
      <c r="Q763" s="101">
        <f t="shared" si="303"/>
        <v>1259.1510063676574</v>
      </c>
      <c r="R763" s="101">
        <f t="shared" si="303"/>
        <v>-7493.1545686836507</v>
      </c>
      <c r="S763" s="101">
        <f t="shared" si="303"/>
        <v>-7.3541600875847468</v>
      </c>
      <c r="T763" s="101">
        <f t="shared" si="303"/>
        <v>-34.999615595107834</v>
      </c>
      <c r="U763" s="101"/>
      <c r="V763" s="101">
        <f t="shared" si="304"/>
        <v>-164668.00000206634</v>
      </c>
      <c r="W763" s="98" t="str">
        <f t="shared" si="301"/>
        <v>ok</v>
      </c>
      <c r="X763" s="102"/>
    </row>
    <row r="764" spans="1:32" ht="12" customHeight="1" x14ac:dyDescent="0.25">
      <c r="A764" s="97" t="s">
        <v>942</v>
      </c>
      <c r="F764" s="100">
        <f t="shared" ref="F764:T764" si="305">SUM(F745:F763)</f>
        <v>-1002784</v>
      </c>
      <c r="G764" s="100">
        <f t="shared" si="305"/>
        <v>-364171.51349913015</v>
      </c>
      <c r="H764" s="100">
        <f t="shared" si="305"/>
        <v>-155020.00510743589</v>
      </c>
      <c r="I764" s="100">
        <f t="shared" si="305"/>
        <v>-14574.034857318138</v>
      </c>
      <c r="J764" s="100">
        <f t="shared" si="305"/>
        <v>-8516.6373390413173</v>
      </c>
      <c r="K764" s="100">
        <f t="shared" si="305"/>
        <v>0</v>
      </c>
      <c r="L764" s="100">
        <f t="shared" si="305"/>
        <v>-127062.65843958626</v>
      </c>
      <c r="M764" s="100">
        <f t="shared" si="305"/>
        <v>-11021.39159899448</v>
      </c>
      <c r="N764" s="100">
        <f t="shared" si="305"/>
        <v>-71469.245935652274</v>
      </c>
      <c r="O764" s="100">
        <f t="shared" si="305"/>
        <v>-157482.80665427487</v>
      </c>
      <c r="P764" s="100">
        <f t="shared" si="305"/>
        <v>-55077.743379435764</v>
      </c>
      <c r="Q764" s="100">
        <f t="shared" si="305"/>
        <v>-15847.875569960052</v>
      </c>
      <c r="R764" s="100">
        <f t="shared" si="305"/>
        <v>-22391.297754692157</v>
      </c>
      <c r="S764" s="100">
        <f t="shared" si="305"/>
        <v>-24.219618022830922</v>
      </c>
      <c r="T764" s="100">
        <f t="shared" si="305"/>
        <v>-124.57024852219465</v>
      </c>
      <c r="U764" s="100"/>
      <c r="V764" s="100">
        <f t="shared" si="304"/>
        <v>-1002784.0000020664</v>
      </c>
      <c r="W764" s="98" t="str">
        <f t="shared" si="301"/>
        <v>ok</v>
      </c>
      <c r="X764" s="240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3"/>
      <c r="M765" s="263"/>
      <c r="N765" s="263"/>
      <c r="O765" s="263"/>
      <c r="P765" s="101"/>
      <c r="Q765" s="101"/>
      <c r="R765" s="101"/>
      <c r="S765" s="101"/>
      <c r="T765" s="101"/>
      <c r="U765" s="101"/>
      <c r="V765" s="102"/>
      <c r="W765" s="98"/>
      <c r="X765" s="240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0"/>
      <c r="AD766" s="253"/>
      <c r="AE766" s="253"/>
      <c r="AF766" s="253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439</v>
      </c>
      <c r="D768" s="97" t="s">
        <v>397</v>
      </c>
      <c r="F768" s="102">
        <f t="shared" ref="F768:T768" si="306">SUM(F734:F763)</f>
        <v>1282816900.7187507</v>
      </c>
      <c r="G768" s="102">
        <f t="shared" si="306"/>
        <v>505974264.13686681</v>
      </c>
      <c r="H768" s="102">
        <f t="shared" si="306"/>
        <v>159895089.4790521</v>
      </c>
      <c r="I768" s="102">
        <f t="shared" si="306"/>
        <v>13928795.212255644</v>
      </c>
      <c r="J768" s="102">
        <f t="shared" si="306"/>
        <v>10248203.690013267</v>
      </c>
      <c r="K768" s="102">
        <f t="shared" si="306"/>
        <v>0</v>
      </c>
      <c r="L768" s="102">
        <f t="shared" si="306"/>
        <v>136187025.908685</v>
      </c>
      <c r="M768" s="102">
        <f t="shared" si="306"/>
        <v>11109781.035591103</v>
      </c>
      <c r="N768" s="102">
        <f t="shared" si="306"/>
        <v>92640882.018637165</v>
      </c>
      <c r="O768" s="102">
        <f t="shared" si="306"/>
        <v>227066779.53952888</v>
      </c>
      <c r="P768" s="102">
        <f t="shared" si="306"/>
        <v>78043243.07007587</v>
      </c>
      <c r="Q768" s="102">
        <f t="shared" si="306"/>
        <v>28731221.252839979</v>
      </c>
      <c r="R768" s="102">
        <f t="shared" si="306"/>
        <v>18842649.874683559</v>
      </c>
      <c r="S768" s="102">
        <f t="shared" si="306"/>
        <v>23768.570354698459</v>
      </c>
      <c r="T768" s="102">
        <f t="shared" si="306"/>
        <v>125196.92917932758</v>
      </c>
      <c r="U768" s="102"/>
      <c r="V768" s="102">
        <f>SUM(G768:T768)</f>
        <v>1282816900.7177637</v>
      </c>
      <c r="W768" s="98" t="str">
        <f>IF(ABS(F768-V768)&lt;0.01,"ok","err")</f>
        <v>ok</v>
      </c>
      <c r="X768" s="240" t="str">
        <f>IF(W768="err",V768-F768,"")</f>
        <v/>
      </c>
      <c r="AD768" s="254"/>
      <c r="AE768" s="254"/>
      <c r="AF768" s="232"/>
    </row>
    <row r="769" spans="1:32" ht="12" customHeight="1" x14ac:dyDescent="0.25">
      <c r="F769" s="102"/>
      <c r="AD769" s="116"/>
      <c r="AE769" s="116"/>
      <c r="AF769" s="232"/>
    </row>
    <row r="770" spans="1:32" ht="12" customHeight="1" x14ac:dyDescent="0.25">
      <c r="A770" s="97" t="s">
        <v>935</v>
      </c>
      <c r="F770" s="102">
        <f t="shared" ref="F770:T770" si="307">F729-F768</f>
        <v>202510539.22212458</v>
      </c>
      <c r="G770" s="102">
        <f t="shared" si="307"/>
        <v>71596131.605160236</v>
      </c>
      <c r="H770" s="102">
        <f t="shared" si="307"/>
        <v>39449260.970050812</v>
      </c>
      <c r="I770" s="102">
        <f t="shared" si="307"/>
        <v>3893893.1609504018</v>
      </c>
      <c r="J770" s="102">
        <f t="shared" si="307"/>
        <v>1749412.172294151</v>
      </c>
      <c r="K770" s="102">
        <f t="shared" si="307"/>
        <v>0</v>
      </c>
      <c r="L770" s="102">
        <f t="shared" si="307"/>
        <v>30196870.67012313</v>
      </c>
      <c r="M770" s="102">
        <f t="shared" si="307"/>
        <v>2776031.1604890656</v>
      </c>
      <c r="N770" s="102">
        <f t="shared" si="307"/>
        <v>13094244.415193304</v>
      </c>
      <c r="O770" s="102">
        <f t="shared" si="307"/>
        <v>23223068.48901388</v>
      </c>
      <c r="P770" s="102">
        <f t="shared" si="307"/>
        <v>8230901.8300495893</v>
      </c>
      <c r="Q770" s="102">
        <f t="shared" si="307"/>
        <v>981189.59132291749</v>
      </c>
      <c r="R770" s="102">
        <f t="shared" si="307"/>
        <v>7282508.5219073705</v>
      </c>
      <c r="S770" s="102">
        <f t="shared" si="307"/>
        <v>5861.2658352496037</v>
      </c>
      <c r="T770" s="102">
        <f t="shared" si="307"/>
        <v>31165.370833131499</v>
      </c>
      <c r="U770" s="102"/>
      <c r="V770" s="102">
        <f>V729-V768</f>
        <v>202510539.22322297</v>
      </c>
      <c r="W770" s="98" t="str">
        <f>IF(ABS(F770-V770)&lt;0.01,"ok","err")</f>
        <v>ok</v>
      </c>
      <c r="X770" s="240" t="str">
        <f>IF(W770="err",V770-F770,"")</f>
        <v/>
      </c>
      <c r="AA770" s="242"/>
      <c r="AD770" s="116"/>
      <c r="AE770" s="116"/>
      <c r="AF770" s="232"/>
    </row>
    <row r="771" spans="1:32" ht="12" customHeight="1" x14ac:dyDescent="0.25">
      <c r="AA771" s="243"/>
      <c r="AD771" s="116"/>
      <c r="AE771" s="116"/>
      <c r="AF771" s="232"/>
    </row>
    <row r="772" spans="1:32" ht="12" customHeight="1" x14ac:dyDescent="0.25">
      <c r="A772" s="24" t="s">
        <v>419</v>
      </c>
      <c r="F772" s="102">
        <f t="shared" ref="F772:T772" si="308">F685</f>
        <v>3639079759.3610182</v>
      </c>
      <c r="G772" s="102">
        <f t="shared" si="308"/>
        <v>1638574450.1365099</v>
      </c>
      <c r="H772" s="102">
        <f t="shared" si="308"/>
        <v>428798509.54641026</v>
      </c>
      <c r="I772" s="102">
        <f t="shared" si="308"/>
        <v>34388894.817655712</v>
      </c>
      <c r="J772" s="102">
        <f t="shared" si="308"/>
        <v>25836888.185070656</v>
      </c>
      <c r="K772" s="102">
        <f t="shared" si="308"/>
        <v>0</v>
      </c>
      <c r="L772" s="102">
        <f t="shared" si="308"/>
        <v>331401363.4568665</v>
      </c>
      <c r="M772" s="102">
        <f t="shared" si="308"/>
        <v>25951318.344912939</v>
      </c>
      <c r="N772" s="102">
        <f t="shared" si="308"/>
        <v>232614157.91985977</v>
      </c>
      <c r="O772" s="102">
        <f t="shared" si="308"/>
        <v>572762731.77029467</v>
      </c>
      <c r="P772" s="102">
        <f t="shared" si="308"/>
        <v>182841242.46943587</v>
      </c>
      <c r="Q772" s="102">
        <f t="shared" si="308"/>
        <v>79332427.23950915</v>
      </c>
      <c r="R772" s="102">
        <f t="shared" si="308"/>
        <v>86271461.905214444</v>
      </c>
      <c r="S772" s="102">
        <f t="shared" si="308"/>
        <v>31537.192131112493</v>
      </c>
      <c r="T772" s="102">
        <f t="shared" si="308"/>
        <v>274776.36238708842</v>
      </c>
      <c r="U772" s="102"/>
      <c r="V772" s="102">
        <f>SUM(G772:T772)</f>
        <v>3639079759.3462582</v>
      </c>
      <c r="W772" s="98" t="str">
        <f>IF(ABS(F772-V772)&lt;0.01,"ok","err")</f>
        <v>err</v>
      </c>
      <c r="X772" s="240">
        <f>IF(W772="err",V772-F772,"")</f>
        <v>-1.4760017395019531E-2</v>
      </c>
      <c r="AD772" s="116"/>
      <c r="AE772" s="116"/>
      <c r="AF772" s="232"/>
    </row>
    <row r="773" spans="1:32" ht="12" hidden="1" customHeight="1" x14ac:dyDescent="0.25">
      <c r="A773" s="311" t="s">
        <v>2285</v>
      </c>
      <c r="E773" s="97" t="s">
        <v>410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0"/>
      <c r="AD773" s="116"/>
      <c r="AE773" s="116"/>
      <c r="AF773" s="232"/>
    </row>
    <row r="774" spans="1:32" ht="12" hidden="1" customHeight="1" x14ac:dyDescent="0.25">
      <c r="A774" s="311" t="s">
        <v>2285</v>
      </c>
      <c r="E774" s="97" t="s">
        <v>1750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0"/>
      <c r="AD774" s="116"/>
      <c r="AE774" s="116"/>
      <c r="AF774" s="232"/>
    </row>
    <row r="775" spans="1:32" ht="12" hidden="1" customHeight="1" x14ac:dyDescent="0.25">
      <c r="A775" s="311" t="s">
        <v>2285</v>
      </c>
      <c r="E775" s="97" t="s">
        <v>531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0"/>
      <c r="AD775" s="116"/>
      <c r="AE775" s="116"/>
      <c r="AF775" s="232"/>
    </row>
    <row r="776" spans="1:32" ht="12" hidden="1" customHeight="1" x14ac:dyDescent="0.25">
      <c r="A776" s="3" t="s">
        <v>729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1638574450.1365099</v>
      </c>
      <c r="H776" s="127">
        <f t="shared" si="310"/>
        <v>428798509.54641026</v>
      </c>
      <c r="I776" s="127">
        <f>SUM(I772:I775)</f>
        <v>34388894.817655712</v>
      </c>
      <c r="J776" s="127">
        <f t="shared" si="310"/>
        <v>25836888.185070656</v>
      </c>
      <c r="K776" s="127">
        <f>SUM(K772:K775)</f>
        <v>0</v>
      </c>
      <c r="L776" s="102">
        <f t="shared" si="310"/>
        <v>331401363.4568665</v>
      </c>
      <c r="M776" s="102">
        <f t="shared" si="310"/>
        <v>25951318.344912939</v>
      </c>
      <c r="N776" s="102">
        <f t="shared" si="310"/>
        <v>232614157.91985977</v>
      </c>
      <c r="O776" s="102">
        <f t="shared" si="310"/>
        <v>572762731.77029467</v>
      </c>
      <c r="P776" s="102">
        <f t="shared" si="310"/>
        <v>182841242.46943587</v>
      </c>
      <c r="Q776" s="127">
        <f t="shared" si="310"/>
        <v>79332427.23950915</v>
      </c>
      <c r="R776" s="127">
        <f t="shared" si="310"/>
        <v>86271461.905214444</v>
      </c>
      <c r="S776" s="127">
        <f t="shared" si="310"/>
        <v>31537.192131112493</v>
      </c>
      <c r="T776" s="127">
        <f t="shared" si="310"/>
        <v>274776.36238708842</v>
      </c>
      <c r="U776" s="127">
        <f t="shared" si="310"/>
        <v>0</v>
      </c>
      <c r="V776" s="102">
        <f>SUM(G776:T776)</f>
        <v>3639079759.3462582</v>
      </c>
      <c r="W776" s="98" t="str">
        <f>IF(ABS(F776-V776)&lt;0.01,"ok","err")</f>
        <v>err</v>
      </c>
      <c r="X776" s="240">
        <f>IF(W776="err",V776-F776,"")</f>
        <v>-1.4760017395019531E-2</v>
      </c>
      <c r="AD776" s="116"/>
      <c r="AE776" s="116"/>
      <c r="AF776" s="232"/>
    </row>
    <row r="777" spans="1:32" ht="12" customHeight="1" thickBot="1" x14ac:dyDescent="0.3">
      <c r="AD777" s="253"/>
      <c r="AE777" s="253"/>
    </row>
    <row r="778" spans="1:32" ht="15" customHeight="1" thickBot="1" x14ac:dyDescent="0.3">
      <c r="A778" s="227" t="s">
        <v>440</v>
      </c>
      <c r="B778" s="228"/>
      <c r="C778" s="228"/>
      <c r="D778" s="228"/>
      <c r="E778" s="228"/>
      <c r="F778" s="229">
        <f t="shared" ref="F778:T778" si="311">F770/F776</f>
        <v>5.5648832290964449E-2</v>
      </c>
      <c r="G778" s="229">
        <f t="shared" si="311"/>
        <v>4.369415841873743E-2</v>
      </c>
      <c r="H778" s="229">
        <f t="shared" si="311"/>
        <v>9.1999529130315436E-2</v>
      </c>
      <c r="I778" s="229">
        <f>I770/I776</f>
        <v>0.11323112247710926</v>
      </c>
      <c r="J778" s="229">
        <f t="shared" si="311"/>
        <v>6.7709863500706513E-2</v>
      </c>
      <c r="K778" s="229" t="e">
        <f>K770/K776</f>
        <v>#DIV/0!</v>
      </c>
      <c r="L778" s="229">
        <f t="shared" si="311"/>
        <v>9.1118727922956777E-2</v>
      </c>
      <c r="M778" s="229">
        <f t="shared" si="311"/>
        <v>0.10697071815749323</v>
      </c>
      <c r="N778" s="229">
        <f t="shared" si="311"/>
        <v>5.6291691495856985E-2</v>
      </c>
      <c r="O778" s="229">
        <f t="shared" si="311"/>
        <v>4.0545704531501268E-2</v>
      </c>
      <c r="P778" s="229">
        <f t="shared" si="311"/>
        <v>4.5016658817692533E-2</v>
      </c>
      <c r="Q778" s="229">
        <f t="shared" si="311"/>
        <v>1.236807728522726E-2</v>
      </c>
      <c r="R778" s="229">
        <f t="shared" si="311"/>
        <v>8.4413876397603962E-2</v>
      </c>
      <c r="S778" s="229">
        <f t="shared" si="311"/>
        <v>0.18585249475863355</v>
      </c>
      <c r="T778" s="229">
        <f t="shared" si="311"/>
        <v>0.11342085819313526</v>
      </c>
      <c r="U778" s="229"/>
      <c r="V778" s="229">
        <f>V770/V776</f>
        <v>5.5648832291491993E-2</v>
      </c>
      <c r="W778" s="229"/>
      <c r="X778" s="229"/>
      <c r="AD778" s="254"/>
      <c r="AE778" s="254"/>
      <c r="AF778" s="232"/>
    </row>
    <row r="781" spans="1:32" ht="12" customHeight="1" x14ac:dyDescent="0.25">
      <c r="A781" s="23" t="s">
        <v>1199</v>
      </c>
    </row>
    <row r="783" spans="1:32" ht="12" customHeight="1" x14ac:dyDescent="0.25">
      <c r="A783" s="97" t="s">
        <v>1164</v>
      </c>
      <c r="F783" s="102">
        <f t="shared" ref="F783:T783" si="312">F729</f>
        <v>1485327439.9408753</v>
      </c>
      <c r="G783" s="102">
        <f t="shared" si="312"/>
        <v>577570395.74202704</v>
      </c>
      <c r="H783" s="102">
        <f t="shared" si="312"/>
        <v>199344350.44910291</v>
      </c>
      <c r="I783" s="102">
        <f t="shared" si="312"/>
        <v>17822688.373206045</v>
      </c>
      <c r="J783" s="102">
        <f t="shared" si="312"/>
        <v>11997615.862307418</v>
      </c>
      <c r="K783" s="102">
        <f t="shared" si="312"/>
        <v>0</v>
      </c>
      <c r="L783" s="102">
        <f t="shared" si="312"/>
        <v>166383896.57880813</v>
      </c>
      <c r="M783" s="102">
        <f t="shared" si="312"/>
        <v>13885812.196080169</v>
      </c>
      <c r="N783" s="102">
        <f t="shared" si="312"/>
        <v>105735126.43383047</v>
      </c>
      <c r="O783" s="102">
        <f t="shared" si="312"/>
        <v>250289848.02854276</v>
      </c>
      <c r="P783" s="102">
        <f t="shared" si="312"/>
        <v>86274144.900125459</v>
      </c>
      <c r="Q783" s="102">
        <f t="shared" si="312"/>
        <v>29712410.844162896</v>
      </c>
      <c r="R783" s="102">
        <f t="shared" si="312"/>
        <v>26125158.396590929</v>
      </c>
      <c r="S783" s="102">
        <f t="shared" si="312"/>
        <v>29629.836189948062</v>
      </c>
      <c r="T783" s="102">
        <f t="shared" si="312"/>
        <v>156362.30001245908</v>
      </c>
      <c r="U783" s="102"/>
      <c r="V783" s="102">
        <f>SUM(G783:T783)</f>
        <v>1485327439.9409866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434</v>
      </c>
      <c r="F785" s="102">
        <f t="shared" ref="F785:T785" si="313">F734+F735+F736+F737+F738+F739+F741+F742+F764</f>
        <v>1198655166.3587508</v>
      </c>
      <c r="G785" s="102">
        <f t="shared" si="313"/>
        <v>482049366.91117549</v>
      </c>
      <c r="H785" s="102">
        <f t="shared" si="313"/>
        <v>138647563.06048241</v>
      </c>
      <c r="I785" s="102">
        <f t="shared" si="313"/>
        <v>11715974.584149217</v>
      </c>
      <c r="J785" s="102">
        <f t="shared" si="313"/>
        <v>9416447.3941416498</v>
      </c>
      <c r="K785" s="102">
        <f t="shared" si="313"/>
        <v>0</v>
      </c>
      <c r="L785" s="102">
        <f t="shared" si="313"/>
        <v>120142461.93906903</v>
      </c>
      <c r="M785" s="102">
        <f t="shared" si="313"/>
        <v>9557296.0159790553</v>
      </c>
      <c r="N785" s="102">
        <f t="shared" si="313"/>
        <v>87196224.139156163</v>
      </c>
      <c r="O785" s="102">
        <f t="shared" si="313"/>
        <v>220158841.78630042</v>
      </c>
      <c r="P785" s="102">
        <f t="shared" si="313"/>
        <v>75255997.068658873</v>
      </c>
      <c r="Q785" s="102">
        <f t="shared" si="313"/>
        <v>29374772.717101656</v>
      </c>
      <c r="R785" s="102">
        <f t="shared" si="313"/>
        <v>15012902.235020878</v>
      </c>
      <c r="S785" s="102">
        <f t="shared" si="313"/>
        <v>20009.862726426894</v>
      </c>
      <c r="T785" s="102">
        <f t="shared" si="313"/>
        <v>107308.64274591258</v>
      </c>
      <c r="U785" s="102"/>
      <c r="V785" s="102">
        <f>SUM(G785:T785)</f>
        <v>1198655166.3567071</v>
      </c>
      <c r="W785" s="98" t="str">
        <f>IF(ABS(F785-V785)&lt;0.01,"ok","err")</f>
        <v>ok</v>
      </c>
      <c r="X785" s="240" t="str">
        <f>IF(W785="err",V785-F785,"")</f>
        <v/>
      </c>
    </row>
    <row r="787" spans="1:24" ht="12" customHeight="1" x14ac:dyDescent="0.25">
      <c r="A787" s="97" t="s">
        <v>1165</v>
      </c>
      <c r="D787" s="97" t="s">
        <v>1166</v>
      </c>
      <c r="F787" s="224">
        <f t="shared" ref="F787:T787" si="314">F636</f>
        <v>86095200.491145507</v>
      </c>
      <c r="G787" s="224">
        <f t="shared" si="314"/>
        <v>38568416.022399925</v>
      </c>
      <c r="H787" s="224">
        <f t="shared" si="314"/>
        <v>10113045.850150218</v>
      </c>
      <c r="I787" s="224">
        <f t="shared" si="314"/>
        <v>816147.27008611325</v>
      </c>
      <c r="J787" s="224">
        <f t="shared" si="314"/>
        <v>607504.68769309053</v>
      </c>
      <c r="K787" s="224">
        <f t="shared" si="314"/>
        <v>0</v>
      </c>
      <c r="L787" s="224">
        <f t="shared" si="314"/>
        <v>7916214.77137913</v>
      </c>
      <c r="M787" s="224">
        <f t="shared" si="314"/>
        <v>619547.15775335522</v>
      </c>
      <c r="N787" s="224">
        <f t="shared" si="314"/>
        <v>5550377.1034643976</v>
      </c>
      <c r="O787" s="224">
        <f t="shared" si="314"/>
        <v>13668661.895508211</v>
      </c>
      <c r="P787" s="224">
        <f t="shared" si="314"/>
        <v>4368080.6549423626</v>
      </c>
      <c r="Q787" s="224">
        <f t="shared" si="314"/>
        <v>1884078.6677208322</v>
      </c>
      <c r="R787" s="224">
        <f t="shared" si="314"/>
        <v>1976096.0406855629</v>
      </c>
      <c r="S787" s="224">
        <f t="shared" si="314"/>
        <v>675.56479192481174</v>
      </c>
      <c r="T787" s="224">
        <f t="shared" si="314"/>
        <v>6354.804198357715</v>
      </c>
      <c r="U787" s="224"/>
      <c r="V787" s="224">
        <f>SUM(G787:T787)</f>
        <v>86095200.490773469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98"/>
    </row>
    <row r="789" spans="1:24" ht="12" customHeight="1" x14ac:dyDescent="0.25">
      <c r="A789" s="97" t="s">
        <v>1200</v>
      </c>
      <c r="E789" s="97" t="s">
        <v>1166</v>
      </c>
      <c r="F789" s="248">
        <v>7411055.1259653997</v>
      </c>
      <c r="G789" s="250">
        <f t="shared" ref="G789:T789" si="315">IF(VLOOKUP($E789,$D$5:$AJ$980,3,)=0,0,(VLOOKUP($E789,$D$5:$AJ$980,G$1,)/VLOOKUP($E789,$D$5:$AJ$980,3,))*$F789)</f>
        <v>3319960.4116441957</v>
      </c>
      <c r="H789" s="250">
        <f t="shared" si="315"/>
        <v>870528.66895393294</v>
      </c>
      <c r="I789" s="250">
        <f t="shared" si="315"/>
        <v>70253.769954765579</v>
      </c>
      <c r="J789" s="250">
        <f t="shared" si="315"/>
        <v>52293.864281539405</v>
      </c>
      <c r="K789" s="250">
        <f t="shared" si="315"/>
        <v>0</v>
      </c>
      <c r="L789" s="250">
        <f t="shared" si="315"/>
        <v>681425.95318894694</v>
      </c>
      <c r="M789" s="250">
        <f t="shared" si="315"/>
        <v>53330.477344291823</v>
      </c>
      <c r="N789" s="250">
        <f t="shared" si="315"/>
        <v>477775.18896539725</v>
      </c>
      <c r="O789" s="250">
        <f t="shared" si="315"/>
        <v>1176595.2832203719</v>
      </c>
      <c r="P789" s="250">
        <f t="shared" si="315"/>
        <v>376003.38164925016</v>
      </c>
      <c r="Q789" s="250">
        <f t="shared" si="315"/>
        <v>162181.05990206232</v>
      </c>
      <c r="R789" s="250">
        <f t="shared" si="315"/>
        <v>170101.89427724064</v>
      </c>
      <c r="S789" s="250">
        <f t="shared" si="315"/>
        <v>58.152462454989411</v>
      </c>
      <c r="T789" s="250">
        <f t="shared" si="315"/>
        <v>547.02008892573485</v>
      </c>
      <c r="U789" s="250"/>
      <c r="V789" s="248">
        <f>SUM(G789:T789)</f>
        <v>7411055.125933378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1167</v>
      </c>
      <c r="D791" s="97" t="s">
        <v>1201</v>
      </c>
      <c r="F791" s="102">
        <f>F783-F785-F787-F789</f>
        <v>193166017.96501359</v>
      </c>
      <c r="G791" s="102">
        <f t="shared" ref="G791:T791" si="316">G783-G785-G787-G789</f>
        <v>53632652.396807432</v>
      </c>
      <c r="H791" s="102">
        <f t="shared" si="316"/>
        <v>49713212.869516343</v>
      </c>
      <c r="I791" s="102">
        <f>I783-I785-I787-I789</f>
        <v>5220312.7490159497</v>
      </c>
      <c r="J791" s="102">
        <f>J783-J785-J787-J789</f>
        <v>1921369.9161911383</v>
      </c>
      <c r="K791" s="102">
        <f>K783-K785-K787-K789</f>
        <v>0</v>
      </c>
      <c r="L791" s="102">
        <f t="shared" si="316"/>
        <v>37643793.91517102</v>
      </c>
      <c r="M791" s="102">
        <f t="shared" si="316"/>
        <v>3655638.5450034663</v>
      </c>
      <c r="N791" s="102">
        <f t="shared" si="316"/>
        <v>12510750.002244512</v>
      </c>
      <c r="O791" s="102">
        <f>O783-O785-O787-O789</f>
        <v>15285749.063513754</v>
      </c>
      <c r="P791" s="102">
        <f>P783-P785-P787-P789</f>
        <v>6274063.7948749727</v>
      </c>
      <c r="Q791" s="102">
        <f t="shared" si="316"/>
        <v>-1708621.6005616542</v>
      </c>
      <c r="R791" s="102">
        <f t="shared" si="316"/>
        <v>8966058.2266072482</v>
      </c>
      <c r="S791" s="102">
        <f t="shared" si="316"/>
        <v>8886.2562091413674</v>
      </c>
      <c r="T791" s="102">
        <f t="shared" si="316"/>
        <v>42151.832979263047</v>
      </c>
      <c r="U791" s="102"/>
      <c r="V791" s="102">
        <f>SUM(G791:T791)</f>
        <v>193166017.96757257</v>
      </c>
      <c r="W791" s="98" t="str">
        <f>IF(ABS(F791-V791)&lt;0.01,"ok","err")</f>
        <v>ok</v>
      </c>
      <c r="X791" s="255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5"/>
    </row>
    <row r="794" spans="1:24" ht="12" customHeight="1" x14ac:dyDescent="0.25">
      <c r="A794" s="7" t="s">
        <v>1893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1164</v>
      </c>
      <c r="F800" s="102">
        <f t="shared" ref="F800:U800" si="317">F729</f>
        <v>1485327439.9408753</v>
      </c>
      <c r="G800" s="102">
        <f t="shared" si="317"/>
        <v>577570395.74202704</v>
      </c>
      <c r="H800" s="102">
        <f t="shared" si="317"/>
        <v>199344350.44910291</v>
      </c>
      <c r="I800" s="102">
        <f t="shared" si="317"/>
        <v>17822688.373206045</v>
      </c>
      <c r="J800" s="102">
        <f t="shared" si="317"/>
        <v>11997615.862307418</v>
      </c>
      <c r="K800" s="102">
        <f t="shared" si="317"/>
        <v>0</v>
      </c>
      <c r="L800" s="102">
        <f t="shared" si="317"/>
        <v>166383896.57880813</v>
      </c>
      <c r="M800" s="102">
        <f t="shared" si="317"/>
        <v>13885812.196080169</v>
      </c>
      <c r="N800" s="102">
        <f t="shared" si="317"/>
        <v>105735126.43383047</v>
      </c>
      <c r="O800" s="102">
        <f t="shared" si="317"/>
        <v>250289848.02854276</v>
      </c>
      <c r="P800" s="102">
        <f t="shared" si="317"/>
        <v>86274144.900125459</v>
      </c>
      <c r="Q800" s="102">
        <f t="shared" si="317"/>
        <v>29712410.844162896</v>
      </c>
      <c r="R800" s="102">
        <f t="shared" si="317"/>
        <v>26125158.396590929</v>
      </c>
      <c r="S800" s="102">
        <f t="shared" si="317"/>
        <v>29629.836189948062</v>
      </c>
      <c r="T800" s="102">
        <f t="shared" si="317"/>
        <v>156362.30001245908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4" ht="12" customHeight="1" x14ac:dyDescent="0.25">
      <c r="A801" s="97" t="s">
        <v>937</v>
      </c>
      <c r="E801" s="256"/>
      <c r="F801" s="102">
        <f>I801</f>
        <v>-3200000</v>
      </c>
      <c r="G801" s="100"/>
      <c r="H801" s="100"/>
      <c r="I801" s="316">
        <v>-3200000</v>
      </c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256"/>
      <c r="V801" s="102">
        <f>SUM(G801:T801)</f>
        <v>-3200000</v>
      </c>
      <c r="W801" s="98" t="str">
        <f>IF(ABS(F801-V801)&lt;0.01,"ok","err")</f>
        <v>ok</v>
      </c>
      <c r="X801" s="102" t="str">
        <f t="shared" ref="X801" si="318">IF(W801="err",V801-F801,"")</f>
        <v/>
      </c>
    </row>
    <row r="802" spans="1:24" ht="12" customHeight="1" x14ac:dyDescent="0.25">
      <c r="A802" s="97" t="s">
        <v>2378</v>
      </c>
      <c r="E802" s="256" t="s">
        <v>580</v>
      </c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2">
        <f>SUM(G802:T802)</f>
        <v>0</v>
      </c>
      <c r="W802" s="98" t="str">
        <f>IF(ABS(F802-V802)&lt;0.01,"ok","err")</f>
        <v>ok</v>
      </c>
    </row>
    <row r="803" spans="1:24" ht="12" customHeight="1" x14ac:dyDescent="0.25">
      <c r="A803" s="97" t="s">
        <v>944</v>
      </c>
      <c r="E803" s="256" t="s">
        <v>2179</v>
      </c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2">
        <f>SUM(G803:T803)</f>
        <v>0</v>
      </c>
      <c r="W803" s="98" t="str">
        <f>IF(ABS(F803-V803)&lt;0.01,"ok","err")</f>
        <v>ok</v>
      </c>
    </row>
    <row r="804" spans="1:24" ht="12" customHeight="1" x14ac:dyDescent="0.25">
      <c r="E804" s="256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4" ht="12" customHeight="1" x14ac:dyDescent="0.25">
      <c r="E805" s="256"/>
      <c r="F805" s="100"/>
      <c r="G805" s="100"/>
      <c r="H805" s="256"/>
      <c r="I805" s="256"/>
      <c r="J805" s="256"/>
      <c r="K805" s="256"/>
      <c r="L805" s="256"/>
      <c r="M805" s="256"/>
      <c r="N805" s="256"/>
      <c r="O805" s="256"/>
      <c r="P805" s="256"/>
      <c r="Q805" s="256"/>
      <c r="R805" s="256"/>
      <c r="S805" s="256"/>
      <c r="T805" s="256"/>
      <c r="U805" s="256"/>
      <c r="V805" s="102"/>
      <c r="W805" s="98"/>
    </row>
    <row r="806" spans="1:24" ht="12" customHeight="1" x14ac:dyDescent="0.25">
      <c r="A806" s="97" t="s">
        <v>521</v>
      </c>
      <c r="E806" s="232"/>
      <c r="F806" s="100">
        <f t="shared" ref="F806:T806" si="319">SUM(F800:F805)</f>
        <v>1482127439.9408753</v>
      </c>
      <c r="G806" s="100">
        <f t="shared" si="319"/>
        <v>577570395.74202704</v>
      </c>
      <c r="H806" s="100">
        <f t="shared" si="319"/>
        <v>199344350.44910291</v>
      </c>
      <c r="I806" s="100">
        <f t="shared" si="319"/>
        <v>14622688.373206045</v>
      </c>
      <c r="J806" s="100">
        <f t="shared" si="319"/>
        <v>11997615.862307418</v>
      </c>
      <c r="K806" s="100">
        <f t="shared" si="319"/>
        <v>0</v>
      </c>
      <c r="L806" s="100">
        <f t="shared" si="319"/>
        <v>166383896.57880813</v>
      </c>
      <c r="M806" s="100">
        <f t="shared" si="319"/>
        <v>13885812.196080169</v>
      </c>
      <c r="N806" s="100">
        <f t="shared" si="319"/>
        <v>105735126.43383047</v>
      </c>
      <c r="O806" s="100">
        <f t="shared" si="319"/>
        <v>250289848.02854276</v>
      </c>
      <c r="P806" s="100">
        <f t="shared" si="319"/>
        <v>86274144.900125459</v>
      </c>
      <c r="Q806" s="100">
        <f t="shared" si="319"/>
        <v>29712410.844162896</v>
      </c>
      <c r="R806" s="100">
        <f t="shared" si="319"/>
        <v>26125158.396590929</v>
      </c>
      <c r="S806" s="100">
        <f t="shared" si="319"/>
        <v>29629.836189948062</v>
      </c>
      <c r="T806" s="100">
        <f t="shared" si="319"/>
        <v>156362.30001245908</v>
      </c>
      <c r="U806" s="100"/>
      <c r="V806" s="100">
        <f>SUM(V800:V805)</f>
        <v>1482127439.9400001</v>
      </c>
      <c r="W806" s="98" t="str">
        <f>IF(ABS(F806-V806)&lt;0.01,"ok","err")</f>
        <v>ok</v>
      </c>
      <c r="X806" s="102" t="str">
        <f t="shared" ref="X806" si="320">IF(W806="err",V806-F806,"")</f>
        <v/>
      </c>
    </row>
    <row r="807" spans="1:24" ht="12" customHeight="1" x14ac:dyDescent="0.25">
      <c r="A807" s="24"/>
      <c r="E807" s="256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4" ht="12" customHeight="1" x14ac:dyDescent="0.25">
      <c r="A808" s="24"/>
      <c r="E808" s="256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4" ht="12" customHeight="1" x14ac:dyDescent="0.25">
      <c r="A809" s="24" t="s">
        <v>434</v>
      </c>
      <c r="E809" s="256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4" ht="12" customHeight="1" x14ac:dyDescent="0.25">
      <c r="A810" s="24"/>
      <c r="E810" s="256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4" ht="12" customHeight="1" x14ac:dyDescent="0.25">
      <c r="A811" s="97" t="s">
        <v>439</v>
      </c>
      <c r="E811" s="256"/>
      <c r="F811" s="100">
        <f t="shared" ref="F811:U811" si="321">F681</f>
        <v>1283819684.7187507</v>
      </c>
      <c r="G811" s="100">
        <f t="shared" si="321"/>
        <v>506338435.65036589</v>
      </c>
      <c r="H811" s="100">
        <f t="shared" si="321"/>
        <v>160050109.48415953</v>
      </c>
      <c r="I811" s="100">
        <f t="shared" si="321"/>
        <v>13943369.247112963</v>
      </c>
      <c r="J811" s="100">
        <f t="shared" si="321"/>
        <v>10256720.327352308</v>
      </c>
      <c r="K811" s="100">
        <f t="shared" si="321"/>
        <v>0</v>
      </c>
      <c r="L811" s="100">
        <f t="shared" si="321"/>
        <v>136314088.56712458</v>
      </c>
      <c r="M811" s="100">
        <f t="shared" si="321"/>
        <v>11120802.427190097</v>
      </c>
      <c r="N811" s="100">
        <f t="shared" si="321"/>
        <v>92712351.264572814</v>
      </c>
      <c r="O811" s="100">
        <f t="shared" si="321"/>
        <v>227224262.34618315</v>
      </c>
      <c r="P811" s="100">
        <f t="shared" si="321"/>
        <v>78098320.813455299</v>
      </c>
      <c r="Q811" s="100">
        <f t="shared" si="321"/>
        <v>28747069.128409941</v>
      </c>
      <c r="R811" s="100">
        <f t="shared" si="321"/>
        <v>18865041.172438249</v>
      </c>
      <c r="S811" s="100">
        <f t="shared" si="321"/>
        <v>23792.78997272129</v>
      </c>
      <c r="T811" s="100">
        <f t="shared" si="321"/>
        <v>125321.49942784978</v>
      </c>
      <c r="U811" s="100">
        <f t="shared" si="321"/>
        <v>0</v>
      </c>
      <c r="V811" s="102">
        <f>SUM(G811:T811)</f>
        <v>1283819684.7177653</v>
      </c>
      <c r="W811" s="257" t="str">
        <f>IF(ABS(F811-V811)&lt;0.01,"ok","err")</f>
        <v>ok</v>
      </c>
    </row>
    <row r="812" spans="1:24" ht="12" customHeight="1" x14ac:dyDescent="0.25">
      <c r="E812" s="256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57"/>
    </row>
    <row r="813" spans="1:24" ht="12" customHeight="1" x14ac:dyDescent="0.25">
      <c r="A813" s="97" t="s">
        <v>207</v>
      </c>
      <c r="E813" s="256"/>
      <c r="F813" s="100"/>
      <c r="G813" s="100">
        <f t="shared" ref="G813:U813" si="322">G764</f>
        <v>-364171.51349913015</v>
      </c>
      <c r="H813" s="100">
        <f t="shared" si="322"/>
        <v>-155020.00510743589</v>
      </c>
      <c r="I813" s="100">
        <f t="shared" si="322"/>
        <v>-14574.034857318138</v>
      </c>
      <c r="J813" s="100">
        <f t="shared" si="322"/>
        <v>-8516.6373390413173</v>
      </c>
      <c r="K813" s="100">
        <f t="shared" si="322"/>
        <v>0</v>
      </c>
      <c r="L813" s="100">
        <f t="shared" si="322"/>
        <v>-127062.65843958626</v>
      </c>
      <c r="M813" s="100">
        <f t="shared" si="322"/>
        <v>-11021.39159899448</v>
      </c>
      <c r="N813" s="100">
        <f t="shared" si="322"/>
        <v>-71469.245935652274</v>
      </c>
      <c r="O813" s="100">
        <f t="shared" si="322"/>
        <v>-157482.80665427487</v>
      </c>
      <c r="P813" s="100">
        <f t="shared" si="322"/>
        <v>-55077.743379435764</v>
      </c>
      <c r="Q813" s="100">
        <f t="shared" si="322"/>
        <v>-15847.875569960052</v>
      </c>
      <c r="R813" s="100">
        <f t="shared" si="322"/>
        <v>-22391.297754692157</v>
      </c>
      <c r="S813" s="100">
        <f t="shared" si="322"/>
        <v>-24.219618022830922</v>
      </c>
      <c r="T813" s="100">
        <f t="shared" si="322"/>
        <v>-124.57024852219465</v>
      </c>
      <c r="U813" s="100">
        <f t="shared" si="322"/>
        <v>0</v>
      </c>
      <c r="V813" s="102">
        <f>SUM(G813:T813)</f>
        <v>-1002784.0000020664</v>
      </c>
      <c r="W813" s="257" t="str">
        <f>IF(ABS(F813-V813)&lt;0.01,"ok","err")</f>
        <v>err</v>
      </c>
    </row>
    <row r="814" spans="1:24" ht="12" customHeight="1" x14ac:dyDescent="0.25">
      <c r="A814" s="97" t="s">
        <v>2282</v>
      </c>
      <c r="E814" s="256" t="s">
        <v>516</v>
      </c>
      <c r="F814" s="100"/>
      <c r="G814" s="100">
        <f t="shared" ref="G814:T815" si="323">IF(VLOOKUP($E814,$D$5:$AJ$953,3,)=0,0,(VLOOKUP($E814,$D$5:$AJ$953,G$1,)/VLOOKUP($E814,$D$5:$AJ$953,3,))*$F814)</f>
        <v>0</v>
      </c>
      <c r="H814" s="100">
        <f t="shared" si="323"/>
        <v>0</v>
      </c>
      <c r="I814" s="100">
        <f t="shared" si="323"/>
        <v>0</v>
      </c>
      <c r="J814" s="100">
        <f t="shared" si="323"/>
        <v>0</v>
      </c>
      <c r="K814" s="100">
        <f t="shared" si="323"/>
        <v>0</v>
      </c>
      <c r="L814" s="100">
        <f t="shared" si="323"/>
        <v>0</v>
      </c>
      <c r="M814" s="100">
        <f t="shared" si="323"/>
        <v>0</v>
      </c>
      <c r="N814" s="100">
        <f t="shared" si="323"/>
        <v>0</v>
      </c>
      <c r="O814" s="100">
        <f t="shared" si="323"/>
        <v>0</v>
      </c>
      <c r="P814" s="100">
        <f t="shared" si="323"/>
        <v>0</v>
      </c>
      <c r="Q814" s="100">
        <f t="shared" si="323"/>
        <v>0</v>
      </c>
      <c r="R814" s="100">
        <f t="shared" si="323"/>
        <v>0</v>
      </c>
      <c r="S814" s="100">
        <f t="shared" si="323"/>
        <v>0</v>
      </c>
      <c r="T814" s="100">
        <f t="shared" si="323"/>
        <v>0</v>
      </c>
      <c r="U814" s="100"/>
      <c r="V814" s="102">
        <f>SUM(G814:T814)</f>
        <v>0</v>
      </c>
      <c r="W814" s="98" t="str">
        <f>IF(ABS(F814-V814)&lt;0.01,"ok","err")</f>
        <v>ok</v>
      </c>
    </row>
    <row r="815" spans="1:24" ht="12" customHeight="1" x14ac:dyDescent="0.25">
      <c r="A815" s="97" t="s">
        <v>2283</v>
      </c>
      <c r="E815" s="256" t="s">
        <v>515</v>
      </c>
      <c r="F815" s="100"/>
      <c r="G815" s="100">
        <f t="shared" si="323"/>
        <v>0</v>
      </c>
      <c r="H815" s="100">
        <f t="shared" si="323"/>
        <v>0</v>
      </c>
      <c r="I815" s="100">
        <f t="shared" si="323"/>
        <v>0</v>
      </c>
      <c r="J815" s="100">
        <f t="shared" si="323"/>
        <v>0</v>
      </c>
      <c r="K815" s="100">
        <f t="shared" si="323"/>
        <v>0</v>
      </c>
      <c r="L815" s="100">
        <f t="shared" si="323"/>
        <v>0</v>
      </c>
      <c r="M815" s="100">
        <f t="shared" si="323"/>
        <v>0</v>
      </c>
      <c r="N815" s="100">
        <f t="shared" si="323"/>
        <v>0</v>
      </c>
      <c r="O815" s="100">
        <f t="shared" si="323"/>
        <v>0</v>
      </c>
      <c r="P815" s="100">
        <f t="shared" si="323"/>
        <v>0</v>
      </c>
      <c r="Q815" s="100">
        <f t="shared" si="323"/>
        <v>0</v>
      </c>
      <c r="R815" s="100">
        <f t="shared" si="323"/>
        <v>0</v>
      </c>
      <c r="S815" s="100">
        <f t="shared" si="323"/>
        <v>0</v>
      </c>
      <c r="T815" s="100">
        <f t="shared" si="323"/>
        <v>0</v>
      </c>
      <c r="U815" s="100"/>
      <c r="V815" s="102">
        <f>SUM(G815:T815)</f>
        <v>0</v>
      </c>
      <c r="W815" s="98" t="str">
        <f>IF(ABS(F815-V815)&lt;0.01,"ok","err")</f>
        <v>ok</v>
      </c>
    </row>
    <row r="817" spans="1:24" ht="12" customHeight="1" x14ac:dyDescent="0.25">
      <c r="A817" s="97" t="s">
        <v>946</v>
      </c>
      <c r="E817" s="97">
        <v>0.385574631</v>
      </c>
      <c r="F817" s="100">
        <f t="shared" ref="F817:T817" si="324">SUM(F801:F804)*$E$817</f>
        <v>-1233838.8192</v>
      </c>
      <c r="G817" s="100">
        <f t="shared" si="324"/>
        <v>0</v>
      </c>
      <c r="H817" s="100">
        <f t="shared" si="324"/>
        <v>0</v>
      </c>
      <c r="I817" s="100">
        <f t="shared" si="324"/>
        <v>-1233838.8192</v>
      </c>
      <c r="J817" s="100">
        <f t="shared" si="324"/>
        <v>0</v>
      </c>
      <c r="K817" s="100">
        <f t="shared" si="324"/>
        <v>0</v>
      </c>
      <c r="L817" s="100">
        <f t="shared" si="324"/>
        <v>0</v>
      </c>
      <c r="M817" s="100">
        <f t="shared" si="324"/>
        <v>0</v>
      </c>
      <c r="N817" s="100">
        <f t="shared" si="324"/>
        <v>0</v>
      </c>
      <c r="O817" s="100">
        <f t="shared" si="324"/>
        <v>0</v>
      </c>
      <c r="P817" s="100">
        <f t="shared" si="324"/>
        <v>0</v>
      </c>
      <c r="Q817" s="100">
        <f t="shared" si="324"/>
        <v>0</v>
      </c>
      <c r="R817" s="100">
        <f t="shared" si="324"/>
        <v>0</v>
      </c>
      <c r="S817" s="100">
        <f t="shared" si="324"/>
        <v>0</v>
      </c>
      <c r="T817" s="100">
        <f t="shared" si="324"/>
        <v>0</v>
      </c>
      <c r="U817" s="100">
        <f>SUM(U801:U804)*0.367473</f>
        <v>0</v>
      </c>
      <c r="V817" s="102">
        <f>ROUND(SUM(G817:T817),2)</f>
        <v>-1233838.82</v>
      </c>
      <c r="W817" s="257" t="str">
        <f>IF(ABS(F817-V817)&lt;0.01,"ok","err")</f>
        <v>ok</v>
      </c>
      <c r="X817" s="102" t="str">
        <f t="shared" ref="X817:X821" si="325">IF(W817="err",V817-F817,"")</f>
        <v/>
      </c>
    </row>
    <row r="818" spans="1:24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57"/>
      <c r="X818" s="102" t="str">
        <f t="shared" si="325"/>
        <v/>
      </c>
    </row>
    <row r="819" spans="1:24" ht="12" customHeight="1" x14ac:dyDescent="0.25">
      <c r="A819" s="97" t="s">
        <v>208</v>
      </c>
      <c r="F819" s="100">
        <f>SUM(F811:F817)</f>
        <v>1282585845.8995507</v>
      </c>
      <c r="G819" s="100">
        <f t="shared" ref="G819:T819" si="326">SUM(G811:G817)</f>
        <v>505974264.13686675</v>
      </c>
      <c r="H819" s="100">
        <f t="shared" si="326"/>
        <v>159895089.4790521</v>
      </c>
      <c r="I819" s="100">
        <f t="shared" si="326"/>
        <v>12694956.393055646</v>
      </c>
      <c r="J819" s="100">
        <f t="shared" si="326"/>
        <v>10248203.690013267</v>
      </c>
      <c r="K819" s="100">
        <f t="shared" si="326"/>
        <v>0</v>
      </c>
      <c r="L819" s="100">
        <f t="shared" si="326"/>
        <v>136187025.908685</v>
      </c>
      <c r="M819" s="100">
        <f t="shared" si="326"/>
        <v>11109781.035591103</v>
      </c>
      <c r="N819" s="100">
        <f t="shared" si="326"/>
        <v>92640882.018637165</v>
      </c>
      <c r="O819" s="100">
        <f t="shared" si="326"/>
        <v>227066779.53952888</v>
      </c>
      <c r="P819" s="100">
        <f t="shared" si="326"/>
        <v>78043243.07007587</v>
      </c>
      <c r="Q819" s="100">
        <f t="shared" si="326"/>
        <v>28731221.252839983</v>
      </c>
      <c r="R819" s="100">
        <f t="shared" si="326"/>
        <v>18842649.874683555</v>
      </c>
      <c r="S819" s="100">
        <f t="shared" si="326"/>
        <v>23768.570354698459</v>
      </c>
      <c r="T819" s="100">
        <f t="shared" si="326"/>
        <v>125196.92917932758</v>
      </c>
      <c r="U819" s="100"/>
      <c r="V819" s="102">
        <f>ROUND(SUM(G819:T819),2)</f>
        <v>1281583061.9000001</v>
      </c>
      <c r="W819" s="257" t="str">
        <f>IF(ABS(F819-V819)&lt;0.01,"ok","err")</f>
        <v>err</v>
      </c>
      <c r="X819" s="102">
        <f t="shared" si="325"/>
        <v>-1002783.999550581</v>
      </c>
    </row>
    <row r="820" spans="1:24" ht="12" customHeight="1" x14ac:dyDescent="0.25">
      <c r="E820" s="102"/>
      <c r="X820" s="102" t="str">
        <f t="shared" si="325"/>
        <v/>
      </c>
    </row>
    <row r="821" spans="1:24" ht="12" customHeight="1" x14ac:dyDescent="0.25">
      <c r="A821" s="97" t="s">
        <v>945</v>
      </c>
      <c r="F821" s="100">
        <f>F806-F819</f>
        <v>199541594.04132462</v>
      </c>
      <c r="G821" s="100">
        <f t="shared" ref="G821:T821" si="327">G806-G819</f>
        <v>71596131.605160296</v>
      </c>
      <c r="H821" s="100">
        <f t="shared" si="327"/>
        <v>39449260.970050812</v>
      </c>
      <c r="I821" s="100">
        <f>I806-I819</f>
        <v>1927731.9801503997</v>
      </c>
      <c r="J821" s="100">
        <f t="shared" si="327"/>
        <v>1749412.172294151</v>
      </c>
      <c r="K821" s="100">
        <f>K806-K819</f>
        <v>0</v>
      </c>
      <c r="L821" s="100">
        <f t="shared" si="327"/>
        <v>30196870.67012313</v>
      </c>
      <c r="M821" s="100">
        <f t="shared" si="327"/>
        <v>2776031.1604890656</v>
      </c>
      <c r="N821" s="100">
        <f t="shared" si="327"/>
        <v>13094244.415193304</v>
      </c>
      <c r="O821" s="100">
        <f t="shared" si="327"/>
        <v>23223068.48901388</v>
      </c>
      <c r="P821" s="100">
        <f t="shared" si="327"/>
        <v>8230901.8300495893</v>
      </c>
      <c r="Q821" s="100">
        <f t="shared" si="327"/>
        <v>981189.59132291377</v>
      </c>
      <c r="R821" s="100">
        <f t="shared" si="327"/>
        <v>7282508.5219073743</v>
      </c>
      <c r="S821" s="100">
        <f t="shared" si="327"/>
        <v>5861.2658352496037</v>
      </c>
      <c r="T821" s="100">
        <f t="shared" si="327"/>
        <v>31165.370833131499</v>
      </c>
      <c r="U821" s="100"/>
      <c r="V821" s="102">
        <f>ROUND(SUM(G821:T821),2)</f>
        <v>200544378.03999999</v>
      </c>
      <c r="W821" s="98" t="str">
        <f>IF(ABS(F821-V821)&lt;0.01,"ok","err")</f>
        <v>err</v>
      </c>
      <c r="X821" s="102">
        <f t="shared" si="325"/>
        <v>1002783.9986753762</v>
      </c>
    </row>
    <row r="823" spans="1:24" ht="12" customHeight="1" x14ac:dyDescent="0.25">
      <c r="A823" s="24" t="s">
        <v>419</v>
      </c>
      <c r="F823" s="102">
        <f t="shared" ref="F823:V823" si="328">F776</f>
        <v>3639079759.3610182</v>
      </c>
      <c r="G823" s="102">
        <f t="shared" si="328"/>
        <v>1638574450.1365099</v>
      </c>
      <c r="H823" s="102">
        <f t="shared" si="328"/>
        <v>428798509.54641026</v>
      </c>
      <c r="I823" s="102">
        <f t="shared" si="328"/>
        <v>34388894.817655712</v>
      </c>
      <c r="J823" s="102">
        <f t="shared" si="328"/>
        <v>25836888.185070656</v>
      </c>
      <c r="K823" s="102">
        <f t="shared" si="328"/>
        <v>0</v>
      </c>
      <c r="L823" s="102">
        <f t="shared" si="328"/>
        <v>331401363.4568665</v>
      </c>
      <c r="M823" s="102">
        <f t="shared" si="328"/>
        <v>25951318.344912939</v>
      </c>
      <c r="N823" s="102">
        <f t="shared" si="328"/>
        <v>232614157.91985977</v>
      </c>
      <c r="O823" s="102">
        <f t="shared" si="328"/>
        <v>572762731.77029467</v>
      </c>
      <c r="P823" s="102">
        <f t="shared" si="328"/>
        <v>182841242.46943587</v>
      </c>
      <c r="Q823" s="102">
        <f t="shared" si="328"/>
        <v>79332427.23950915</v>
      </c>
      <c r="R823" s="102">
        <f t="shared" si="328"/>
        <v>86271461.905214444</v>
      </c>
      <c r="S823" s="102">
        <f t="shared" si="328"/>
        <v>31537.192131112493</v>
      </c>
      <c r="T823" s="102">
        <f t="shared" si="328"/>
        <v>274776.36238708842</v>
      </c>
      <c r="U823" s="102">
        <f t="shared" si="328"/>
        <v>0</v>
      </c>
      <c r="V823" s="102">
        <f t="shared" si="328"/>
        <v>3639079759.3462582</v>
      </c>
      <c r="W823" s="98" t="str">
        <f>IF(ABS(F823-V823)&lt;0.01,"ok","err")</f>
        <v>err</v>
      </c>
    </row>
    <row r="824" spans="1:24" ht="12" customHeight="1" thickBot="1" x14ac:dyDescent="0.3"/>
    <row r="825" spans="1:24" ht="12" customHeight="1" thickBot="1" x14ac:dyDescent="0.3">
      <c r="A825" s="227" t="s">
        <v>440</v>
      </c>
      <c r="B825" s="228"/>
      <c r="C825" s="228"/>
      <c r="D825" s="228"/>
      <c r="E825" s="228"/>
      <c r="F825" s="229">
        <f t="shared" ref="F825:P825" si="329">F821/F823</f>
        <v>5.4832981752607118E-2</v>
      </c>
      <c r="G825" s="229">
        <f t="shared" si="329"/>
        <v>4.3694158418737465E-2</v>
      </c>
      <c r="H825" s="229">
        <f t="shared" si="329"/>
        <v>9.1999529130315436E-2</v>
      </c>
      <c r="I825" s="229">
        <f>I821/I823</f>
        <v>5.6056816898944851E-2</v>
      </c>
      <c r="J825" s="229">
        <f t="shared" si="329"/>
        <v>6.7709863500706513E-2</v>
      </c>
      <c r="K825" s="229" t="e">
        <f>K821/K823</f>
        <v>#DIV/0!</v>
      </c>
      <c r="L825" s="229">
        <f t="shared" si="329"/>
        <v>9.1118727922956777E-2</v>
      </c>
      <c r="M825" s="229">
        <f t="shared" si="329"/>
        <v>0.10697071815749323</v>
      </c>
      <c r="N825" s="229">
        <f t="shared" si="329"/>
        <v>5.6291691495856985E-2</v>
      </c>
      <c r="O825" s="229">
        <f t="shared" si="329"/>
        <v>4.0545704531501268E-2</v>
      </c>
      <c r="P825" s="229">
        <f t="shared" si="329"/>
        <v>4.5016658817692533E-2</v>
      </c>
      <c r="Q825" s="229">
        <f>Q821/Q823</f>
        <v>1.2368077285227213E-2</v>
      </c>
      <c r="R825" s="229">
        <f>R821/R823</f>
        <v>8.4413876397604004E-2</v>
      </c>
      <c r="S825" s="229">
        <f>S821/S823</f>
        <v>0.18585249475863355</v>
      </c>
      <c r="T825" s="229">
        <f>T821/T823</f>
        <v>0.11342085819313526</v>
      </c>
      <c r="U825" s="229"/>
      <c r="V825" s="231"/>
      <c r="W825" s="231"/>
    </row>
    <row r="826" spans="1:24" ht="12" customHeight="1" x14ac:dyDescent="0.25">
      <c r="L826" s="112"/>
      <c r="M826" s="112"/>
      <c r="N826" s="112"/>
      <c r="R826" s="258"/>
    </row>
    <row r="827" spans="1:24" ht="12" customHeight="1" x14ac:dyDescent="0.25">
      <c r="A827" s="234"/>
      <c r="S827" s="232"/>
    </row>
    <row r="828" spans="1:24" ht="12" customHeight="1" x14ac:dyDescent="0.25">
      <c r="A828" s="234"/>
      <c r="S828" s="232"/>
    </row>
    <row r="829" spans="1:24" ht="12" customHeight="1" x14ac:dyDescent="0.25">
      <c r="R829" s="258"/>
      <c r="S829" s="259"/>
    </row>
    <row r="830" spans="1:24" ht="12" customHeight="1" x14ac:dyDescent="0.25">
      <c r="A830" s="23" t="s">
        <v>518</v>
      </c>
    </row>
    <row r="832" spans="1:24" ht="12" customHeight="1" x14ac:dyDescent="0.25">
      <c r="A832" s="23" t="s">
        <v>443</v>
      </c>
    </row>
    <row r="833" spans="1:24" ht="12" customHeight="1" x14ac:dyDescent="0.25">
      <c r="A833" s="97" t="s">
        <v>444</v>
      </c>
      <c r="D833" s="97" t="s">
        <v>409</v>
      </c>
      <c r="E833" s="97" t="s">
        <v>110</v>
      </c>
      <c r="F833" s="118">
        <v>1</v>
      </c>
      <c r="G833" s="118">
        <f t="shared" ref="G833:T833" si="330">IF(VLOOKUP($E833,$D$5:$AJ$946,3,)=0,0,(VLOOKUP($E833,$D$5:$AJ$946,G$1,)/VLOOKUP($E833,$D$5:$AJ$946,3,))*$F833)</f>
        <v>0.33571803054611998</v>
      </c>
      <c r="H833" s="118">
        <f t="shared" si="330"/>
        <v>0.10015960379060501</v>
      </c>
      <c r="I833" s="118">
        <f t="shared" si="330"/>
        <v>1.0597423692907728E-2</v>
      </c>
      <c r="J833" s="118">
        <f t="shared" si="330"/>
        <v>8.3687981131157097E-3</v>
      </c>
      <c r="K833" s="118">
        <f t="shared" si="330"/>
        <v>0</v>
      </c>
      <c r="L833" s="118">
        <f t="shared" si="330"/>
        <v>0.11435873755613554</v>
      </c>
      <c r="M833" s="118">
        <f t="shared" si="330"/>
        <v>9.1287855491471778E-3</v>
      </c>
      <c r="N833" s="118">
        <f t="shared" si="330"/>
        <v>8.5432089642069664E-2</v>
      </c>
      <c r="O833" s="118">
        <f t="shared" si="330"/>
        <v>0.221373049566819</v>
      </c>
      <c r="P833" s="118">
        <f t="shared" si="330"/>
        <v>7.8838398090087455E-2</v>
      </c>
      <c r="Q833" s="118">
        <f t="shared" si="330"/>
        <v>2.9105109211513682E-2</v>
      </c>
      <c r="R833" s="118">
        <f t="shared" si="330"/>
        <v>6.813292749761236E-3</v>
      </c>
      <c r="S833" s="118">
        <f t="shared" si="330"/>
        <v>2.4618024785094022E-5</v>
      </c>
      <c r="T833" s="118">
        <f t="shared" si="330"/>
        <v>8.2063466932724951E-5</v>
      </c>
      <c r="U833" s="118"/>
      <c r="V833" s="118">
        <f>SUM(G833:T833)</f>
        <v>1</v>
      </c>
      <c r="W833" s="98" t="str">
        <f>IF(ABS(F833-V833)&lt;0.01,"ok","err")</f>
        <v>ok</v>
      </c>
      <c r="X833" s="260" t="str">
        <f>IF(W833="err",V833-F833,"")</f>
        <v/>
      </c>
    </row>
    <row r="835" spans="1:24" ht="12" customHeight="1" x14ac:dyDescent="0.25">
      <c r="A835" s="23" t="s">
        <v>445</v>
      </c>
    </row>
    <row r="836" spans="1:24" ht="12" customHeight="1" x14ac:dyDescent="0.25">
      <c r="A836" s="97" t="s">
        <v>453</v>
      </c>
      <c r="D836" s="97" t="s">
        <v>846</v>
      </c>
      <c r="E836" s="97" t="s">
        <v>939</v>
      </c>
      <c r="F836" s="114">
        <v>1</v>
      </c>
      <c r="G836" s="117">
        <f t="shared" ref="G836:T836" si="331">IF(VLOOKUP($E836,$D$5:$AJ$946,3,)=0,0,(VLOOKUP($E836,$D$5:$AJ$946,G$1,)/VLOOKUP($E836,$D$5:$AJ$946,3,))*$F836)</f>
        <v>0.79906399002391959</v>
      </c>
      <c r="H836" s="117">
        <f t="shared" si="331"/>
        <v>0.15460553644417219</v>
      </c>
      <c r="I836" s="117">
        <f t="shared" si="331"/>
        <v>3.8220476073755203E-4</v>
      </c>
      <c r="J836" s="117">
        <f t="shared" si="331"/>
        <v>1.1002302093076133E-3</v>
      </c>
      <c r="K836" s="117">
        <f t="shared" si="331"/>
        <v>0</v>
      </c>
      <c r="L836" s="117">
        <f t="shared" si="331"/>
        <v>8.1264895729634846E-3</v>
      </c>
      <c r="M836" s="117">
        <f t="shared" si="331"/>
        <v>3.2097778450289566E-4</v>
      </c>
      <c r="N836" s="117">
        <f t="shared" si="331"/>
        <v>9.9261916016791423E-4</v>
      </c>
      <c r="O836" s="117">
        <f t="shared" si="331"/>
        <v>5.1393552778787339E-4</v>
      </c>
      <c r="P836" s="117">
        <f t="shared" si="331"/>
        <v>0</v>
      </c>
      <c r="Q836" s="117">
        <f t="shared" si="331"/>
        <v>0</v>
      </c>
      <c r="R836" s="117">
        <f t="shared" si="331"/>
        <v>3.4733218397036525E-2</v>
      </c>
      <c r="S836" s="117">
        <f t="shared" si="331"/>
        <v>8.2460574053409279E-7</v>
      </c>
      <c r="T836" s="117">
        <f t="shared" si="331"/>
        <v>1.5997351366361403E-4</v>
      </c>
      <c r="U836" s="117"/>
      <c r="V836" s="117">
        <f t="shared" ref="V836:V841" si="332">SUM(G836:T836)</f>
        <v>0.99999999999999989</v>
      </c>
      <c r="W836" s="98" t="str">
        <f>IF(ABS(F836-V836)&lt;0.01,"ok","err")</f>
        <v>ok</v>
      </c>
      <c r="X836" s="102" t="str">
        <f t="shared" ref="X836:X841" si="333">IF(W836="err",V836-F836,"")</f>
        <v/>
      </c>
    </row>
    <row r="837" spans="1:24" ht="12" customHeight="1" x14ac:dyDescent="0.25">
      <c r="A837" s="97" t="s">
        <v>1535</v>
      </c>
      <c r="D837" s="97" t="s">
        <v>412</v>
      </c>
      <c r="F837" s="114">
        <v>1</v>
      </c>
      <c r="G837" s="118">
        <f>Services!F10</f>
        <v>0.7012953994338833</v>
      </c>
      <c r="H837" s="118">
        <f>Services!F12+Services!F14</f>
        <v>0.27469857282099552</v>
      </c>
      <c r="I837" s="118">
        <f>Services!F16</f>
        <v>9.0347807582695939E-4</v>
      </c>
      <c r="J837" s="118">
        <f>Services!F18+Services!F20</f>
        <v>2.6015197992460748E-3</v>
      </c>
      <c r="K837" s="118">
        <v>0</v>
      </c>
      <c r="L837" s="118">
        <f>Services!F22</f>
        <v>1.8153521908463564E-2</v>
      </c>
      <c r="M837" s="118">
        <f>Services!F24</f>
        <v>0</v>
      </c>
      <c r="N837" s="118">
        <f>Services!F26</f>
        <v>2.3475079615843685E-3</v>
      </c>
      <c r="O837" s="118">
        <f>Services!F28</f>
        <v>0</v>
      </c>
      <c r="P837" s="118">
        <f>Services!F30</f>
        <v>0</v>
      </c>
      <c r="Q837" s="118">
        <f>Services!F32</f>
        <v>0</v>
      </c>
      <c r="R837" s="118">
        <f>Services!F34</f>
        <v>0</v>
      </c>
      <c r="S837" s="118">
        <f>Services!F36</f>
        <v>0</v>
      </c>
      <c r="T837" s="118">
        <f>Services!F38</f>
        <v>0</v>
      </c>
      <c r="U837" s="118"/>
      <c r="V837" s="117">
        <f t="shared" si="332"/>
        <v>0.99999999999999967</v>
      </c>
      <c r="W837" s="98" t="str">
        <f>IF(ABS(F837-V837)&lt;0.01,"ok","err")</f>
        <v>ok</v>
      </c>
      <c r="X837" s="102" t="str">
        <f t="shared" si="333"/>
        <v/>
      </c>
    </row>
    <row r="838" spans="1:24" ht="12" customHeight="1" x14ac:dyDescent="0.25">
      <c r="A838" s="97" t="s">
        <v>454</v>
      </c>
      <c r="D838" s="97" t="s">
        <v>413</v>
      </c>
      <c r="F838" s="114">
        <v>1</v>
      </c>
      <c r="G838" s="118">
        <f>Meters!$F$10</f>
        <v>0.62152926285909604</v>
      </c>
      <c r="H838" s="118">
        <f>Meters!$F$12+Meters!$F$14</f>
        <v>0.23164253811950974</v>
      </c>
      <c r="I838" s="118">
        <f>Meters!F16</f>
        <v>3.1709656086638732E-3</v>
      </c>
      <c r="J838" s="118">
        <f>Meters!$F$18+Meters!$F$20</f>
        <v>4.9135097193104722E-3</v>
      </c>
      <c r="K838" s="118">
        <v>0</v>
      </c>
      <c r="L838" s="118">
        <f>Meters!$F$22</f>
        <v>6.1071528974357817E-2</v>
      </c>
      <c r="M838" s="118">
        <f>Meters!$F$24</f>
        <v>1.3843127932530952E-2</v>
      </c>
      <c r="N838" s="118">
        <f>Meters!$F$26</f>
        <v>1.0080755749422568E-2</v>
      </c>
      <c r="O838" s="118">
        <f>Meters!$F$28</f>
        <v>3.0757707353285722E-2</v>
      </c>
      <c r="P838" s="118">
        <f>Meters!$F$30</f>
        <v>2.0977110793938252E-2</v>
      </c>
      <c r="Q838" s="118">
        <f>Meters!$F$32</f>
        <v>8.8784344920345745E-4</v>
      </c>
      <c r="R838" s="118">
        <f>Meters!$F$34</f>
        <v>0</v>
      </c>
      <c r="S838" s="118">
        <f>Meters!$F$36</f>
        <v>5.7725612342615741E-6</v>
      </c>
      <c r="T838" s="118">
        <f>Meters!$F$38</f>
        <v>1.1198768794467456E-3</v>
      </c>
      <c r="U838" s="118">
        <v>0</v>
      </c>
      <c r="V838" s="117">
        <f t="shared" si="332"/>
        <v>1</v>
      </c>
      <c r="W838" s="98" t="str">
        <f>IF(ABS(F838-V838)&lt;0.01,"ok","err")</f>
        <v>ok</v>
      </c>
      <c r="X838" s="102" t="str">
        <f t="shared" si="333"/>
        <v/>
      </c>
    </row>
    <row r="839" spans="1:24" ht="12" customHeight="1" x14ac:dyDescent="0.25">
      <c r="A839" s="97" t="s">
        <v>455</v>
      </c>
      <c r="D839" s="97" t="s">
        <v>414</v>
      </c>
      <c r="E839" s="97" t="s">
        <v>517</v>
      </c>
      <c r="F839" s="114">
        <v>1</v>
      </c>
      <c r="G839" s="117">
        <f t="shared" ref="G839:P840" si="334">IF(VLOOKUP($E839,$D$5:$AJ$946,3,)=0,0,(VLOOKUP($E839,$D$5:$AJ$946,G$1,)/VLOOKUP($E839,$D$5:$AJ$946,3,))*$F839)</f>
        <v>0</v>
      </c>
      <c r="H839" s="117">
        <f t="shared" si="334"/>
        <v>0</v>
      </c>
      <c r="I839" s="117">
        <f t="shared" si="334"/>
        <v>0</v>
      </c>
      <c r="J839" s="117">
        <f t="shared" si="334"/>
        <v>0</v>
      </c>
      <c r="K839" s="117">
        <f t="shared" si="334"/>
        <v>0</v>
      </c>
      <c r="L839" s="117">
        <f t="shared" si="334"/>
        <v>0</v>
      </c>
      <c r="M839" s="117">
        <f t="shared" si="334"/>
        <v>0</v>
      </c>
      <c r="N839" s="117">
        <f t="shared" si="334"/>
        <v>0</v>
      </c>
      <c r="O839" s="117">
        <f t="shared" si="334"/>
        <v>0</v>
      </c>
      <c r="P839" s="117">
        <f t="shared" si="334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32"/>
        <v>1</v>
      </c>
      <c r="W839" s="98" t="str">
        <f>IF(ABS(F839-V839)&lt;0.01,"ok","err")</f>
        <v>ok</v>
      </c>
      <c r="X839" s="102" t="str">
        <f t="shared" si="333"/>
        <v/>
      </c>
    </row>
    <row r="840" spans="1:24" ht="12" customHeight="1" x14ac:dyDescent="0.25">
      <c r="A840" s="97" t="s">
        <v>456</v>
      </c>
      <c r="D840" s="97" t="s">
        <v>415</v>
      </c>
      <c r="E840" s="97" t="s">
        <v>883</v>
      </c>
      <c r="F840" s="114">
        <v>1</v>
      </c>
      <c r="G840" s="117">
        <f t="shared" si="334"/>
        <v>0.64426749162648822</v>
      </c>
      <c r="H840" s="117">
        <f t="shared" si="334"/>
        <v>0.24930999869853412</v>
      </c>
      <c r="I840" s="117">
        <f t="shared" si="334"/>
        <v>4.0240726307711411E-3</v>
      </c>
      <c r="J840" s="117">
        <f t="shared" si="334"/>
        <v>8.8709110410679793E-3</v>
      </c>
      <c r="K840" s="117">
        <f t="shared" si="334"/>
        <v>0</v>
      </c>
      <c r="L840" s="117">
        <f t="shared" si="334"/>
        <v>3.276103740293234E-2</v>
      </c>
      <c r="M840" s="117">
        <f t="shared" si="334"/>
        <v>1.2939861805267795E-3</v>
      </c>
      <c r="N840" s="117">
        <f t="shared" si="334"/>
        <v>2.0008167820284018E-2</v>
      </c>
      <c r="O840" s="117">
        <f t="shared" si="334"/>
        <v>1.0359369133119016E-2</v>
      </c>
      <c r="P840" s="117">
        <f t="shared" si="334"/>
        <v>8.9756266857348864E-4</v>
      </c>
      <c r="Q840" s="117">
        <f>IF(VLOOKUP($E840,$D$5:$AJ$946,3,)=0,0,(VLOOKUP($E840,$D$5:$AJ$946,Q$1,)/VLOOKUP($E840,$D$5:$AJ$946,3,))*$F840)</f>
        <v>7.4796889047790729E-5</v>
      </c>
      <c r="R840" s="117">
        <f>IF(VLOOKUP($E840,$D$5:$AJ$946,3,)=0,0,(VLOOKUP($E840,$D$5:$AJ$946,R$1,)/VLOOKUP($E840,$D$5:$AJ$946,3,))*$F840)</f>
        <v>2.8003955259492848E-2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1.2865064916220005E-4</v>
      </c>
      <c r="U840" s="117"/>
      <c r="V840" s="117">
        <f t="shared" si="332"/>
        <v>0.99999999999999978</v>
      </c>
      <c r="W840" s="98" t="str">
        <f>IF(ABS(F840-V840)&lt;0.01,"ok","err")</f>
        <v>ok</v>
      </c>
      <c r="X840" s="102" t="str">
        <f t="shared" si="333"/>
        <v/>
      </c>
    </row>
    <row r="841" spans="1:24" ht="12" customHeight="1" x14ac:dyDescent="0.25">
      <c r="A841" s="97" t="s">
        <v>968</v>
      </c>
      <c r="D841" s="97" t="s">
        <v>416</v>
      </c>
      <c r="E841" s="97" t="s">
        <v>884</v>
      </c>
      <c r="F841" s="114">
        <v>1</v>
      </c>
      <c r="G841" s="117">
        <f t="shared" ref="G841:T841" si="335">IF(VLOOKUP($E841,$D$5:$AJ$946,3,)=0,0,ROUND((VLOOKUP($E841,$D$5:$AJ$946,G$1,)/VLOOKUP($E841,$D$5:$AJ$946,3,))*$F841,10))</f>
        <v>0.79901968059999995</v>
      </c>
      <c r="H841" s="117">
        <f t="shared" si="335"/>
        <v>0.1545969633</v>
      </c>
      <c r="I841" s="117">
        <f t="shared" si="335"/>
        <v>3.8218360000000001E-4</v>
      </c>
      <c r="J841" s="117">
        <f t="shared" si="335"/>
        <v>1.1001692000000001E-3</v>
      </c>
      <c r="K841" s="117">
        <f t="shared" si="335"/>
        <v>0</v>
      </c>
      <c r="L841" s="117">
        <f t="shared" si="335"/>
        <v>8.1260389000000002E-3</v>
      </c>
      <c r="M841" s="117">
        <f t="shared" si="335"/>
        <v>3.2096000000000002E-4</v>
      </c>
      <c r="N841" s="117">
        <f t="shared" si="335"/>
        <v>9.9256410000000007E-4</v>
      </c>
      <c r="O841" s="117">
        <f t="shared" si="335"/>
        <v>5.1390699999999997E-4</v>
      </c>
      <c r="P841" s="117">
        <f t="shared" si="335"/>
        <v>5.5657800000000001E-5</v>
      </c>
      <c r="Q841" s="117">
        <f t="shared" si="335"/>
        <v>1.8553E-6</v>
      </c>
      <c r="R841" s="117">
        <f t="shared" si="335"/>
        <v>3.4730467799999998E-2</v>
      </c>
      <c r="S841" s="117">
        <f t="shared" si="335"/>
        <v>0</v>
      </c>
      <c r="T841" s="117">
        <f t="shared" si="335"/>
        <v>1.5955240000000001E-4</v>
      </c>
      <c r="U841" s="117"/>
      <c r="V841" s="117">
        <f t="shared" si="332"/>
        <v>1</v>
      </c>
      <c r="W841" s="98" t="str">
        <f>IF(ABS(F841-V841)&lt;0.000000001,"ok","err")</f>
        <v>ok</v>
      </c>
      <c r="X841" s="261" t="str">
        <f t="shared" si="333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364</v>
      </c>
      <c r="D843" s="97" t="s">
        <v>515</v>
      </c>
      <c r="F843" s="101">
        <f>'Billing Det'!D40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f>'Billing Det'!D14</f>
        <v>17900822</v>
      </c>
      <c r="J843" s="101">
        <f>'Billing Det'!D16+'Billing Det'!D18</f>
        <v>12037991</v>
      </c>
      <c r="K843" s="101">
        <v>0</v>
      </c>
      <c r="L843" s="101">
        <f>'Billing Det'!D20</f>
        <v>167170493</v>
      </c>
      <c r="M843" s="101">
        <f>'Billing Det'!D22</f>
        <v>13950651</v>
      </c>
      <c r="N843" s="101">
        <f>'Billing Det'!D24</f>
        <v>106268071</v>
      </c>
      <c r="O843" s="101">
        <f>'Billing Det'!D26</f>
        <v>251561897</v>
      </c>
      <c r="P843" s="101">
        <f>'Billing Det'!D30</f>
        <v>86711460</v>
      </c>
      <c r="Q843" s="101">
        <f>'Billing Det'!D32</f>
        <v>29892107</v>
      </c>
      <c r="R843" s="101">
        <f>'Billing Det'!D34</f>
        <v>26032396</v>
      </c>
      <c r="S843" s="101">
        <f>'Billing Det'!D36</f>
        <v>29470</v>
      </c>
      <c r="T843" s="101">
        <f>'Billing Det'!D38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280" t="str">
        <f>IF(W843="err",V843-F843,"")</f>
        <v/>
      </c>
    </row>
    <row r="844" spans="1:24" ht="12" customHeight="1" x14ac:dyDescent="0.25">
      <c r="A844" s="97" t="s">
        <v>1891</v>
      </c>
      <c r="F844" s="101">
        <v>18343080486.869022</v>
      </c>
      <c r="G844" s="101">
        <f>'Billing Det'!C8</f>
        <v>6091971051</v>
      </c>
      <c r="H844" s="101">
        <f>'Billing Det'!C10+'Billing Det'!C12</f>
        <v>1817505618.5675206</v>
      </c>
      <c r="I844" s="101">
        <f>'Billing Det'!C14</f>
        <v>192301850</v>
      </c>
      <c r="J844" s="101">
        <f>'Billing Det'!C16+'Billing Det'!C18</f>
        <v>151861000</v>
      </c>
      <c r="K844" s="101">
        <v>0</v>
      </c>
      <c r="L844" s="101">
        <f>'Billing Det'!C20</f>
        <v>2075164439.2992401</v>
      </c>
      <c r="M844" s="101">
        <f>'Billing Det'!C22</f>
        <v>169814470.8207581</v>
      </c>
      <c r="N844" s="101">
        <f>'Billing Det'!C24</f>
        <v>1550258757.563</v>
      </c>
      <c r="O844" s="101">
        <f>'Billing Det'!C26</f>
        <v>4118000917.4033823</v>
      </c>
      <c r="P844" s="101">
        <f>'Billing Det'!C30</f>
        <v>1497714279.3066747</v>
      </c>
      <c r="Q844" s="101">
        <f>'Billing Det'!C32</f>
        <v>552917597.55256987</v>
      </c>
      <c r="R844" s="101">
        <f>'Billing Det'!C34</f>
        <v>123634652.94376437</v>
      </c>
      <c r="S844" s="101">
        <f>'Billing Det'!C36</f>
        <v>446721</v>
      </c>
      <c r="T844" s="101">
        <f>'Billing Det'!C38</f>
        <v>1489131.4121127534</v>
      </c>
      <c r="U844" s="101"/>
      <c r="V844" s="101">
        <f>SUM(G844:T844)</f>
        <v>18343080486.869022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1890</v>
      </c>
      <c r="D845" s="97" t="s">
        <v>110</v>
      </c>
      <c r="F845" s="116">
        <v>19428782555.596188</v>
      </c>
      <c r="G845" s="101">
        <f t="shared" ref="G845:L845" si="336">G844/0.93398</f>
        <v>6522592615.4735641</v>
      </c>
      <c r="H845" s="101">
        <f t="shared" si="336"/>
        <v>1945979162.9023325</v>
      </c>
      <c r="I845" s="101">
        <f t="shared" si="336"/>
        <v>205895040.57902738</v>
      </c>
      <c r="J845" s="101">
        <f t="shared" si="336"/>
        <v>162595558.79140881</v>
      </c>
      <c r="K845" s="101">
        <f t="shared" si="336"/>
        <v>0</v>
      </c>
      <c r="L845" s="101">
        <f t="shared" si="336"/>
        <v>2221851045.3106489</v>
      </c>
      <c r="M845" s="101">
        <f>M844/0.95745</f>
        <v>177361189.43104926</v>
      </c>
      <c r="N845" s="101">
        <f>N844/0.93398</f>
        <v>1659841492.9259727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19428782555.596188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574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512</v>
      </c>
      <c r="F848" s="262">
        <v>8273588</v>
      </c>
      <c r="G848" s="101">
        <f>'Billing Det'!B8*12</f>
        <v>5168140</v>
      </c>
      <c r="H848" s="101">
        <f>('Billing Det'!B10+'Billing Det'!B12)*12</f>
        <v>999948</v>
      </c>
      <c r="I848" s="101">
        <f>('Billing Det'!B14)*12</f>
        <v>2472</v>
      </c>
      <c r="J848" s="101">
        <f>('Billing Det'!B16+'Billing Det'!B18)*12</f>
        <v>7118.0000000000009</v>
      </c>
      <c r="K848" s="101">
        <v>0</v>
      </c>
      <c r="L848" s="101">
        <f>'Billing Det'!B20*12</f>
        <v>52558</v>
      </c>
      <c r="M848" s="101">
        <f>'Billing Det'!B22*12</f>
        <v>2070</v>
      </c>
      <c r="N848" s="101">
        <f>'Billing Det'!B24*12</f>
        <v>6423</v>
      </c>
      <c r="O848" s="101">
        <f>'Billing Det'!B26*12</f>
        <v>3318</v>
      </c>
      <c r="P848" s="101">
        <f>'Billing Det'!B30*12</f>
        <v>360</v>
      </c>
      <c r="Q848" s="101">
        <f>'Billing Det'!B32*12</f>
        <v>12</v>
      </c>
      <c r="R848" s="101">
        <f>'Billing Det'!B34*12</f>
        <v>2021809</v>
      </c>
      <c r="S848" s="101">
        <f>'Billing Det'!B36*12</f>
        <v>48</v>
      </c>
      <c r="T848" s="101">
        <f>'Billing Det'!B38*12</f>
        <v>9312</v>
      </c>
      <c r="U848" s="101"/>
      <c r="V848" s="101">
        <f t="shared" ref="V848:V855" si="337">SUM(G848:T848)</f>
        <v>8273588</v>
      </c>
      <c r="W848" s="98" t="str">
        <f t="shared" ref="W848:W853" si="338">IF(ABS(F848-V848)&lt;0.01,"ok","err")</f>
        <v>ok</v>
      </c>
      <c r="X848" s="99" t="str">
        <f t="shared" ref="X848:X856" si="339">IF(W848="err",V848-F848,"")</f>
        <v/>
      </c>
    </row>
    <row r="849" spans="1:24" ht="12" customHeight="1" x14ac:dyDescent="0.25">
      <c r="A849" s="97" t="s">
        <v>513</v>
      </c>
      <c r="F849" s="262">
        <v>689466</v>
      </c>
      <c r="G849" s="101">
        <f>ROUND(+G848/12,0)</f>
        <v>430678</v>
      </c>
      <c r="H849" s="101">
        <f t="shared" ref="H849:T849" si="340">ROUND(+H848/12,0)</f>
        <v>83329</v>
      </c>
      <c r="I849" s="101">
        <f>ROUND(+I848/12,0)</f>
        <v>206</v>
      </c>
      <c r="J849" s="101">
        <f t="shared" si="340"/>
        <v>593</v>
      </c>
      <c r="K849" s="101">
        <f>ROUND(+K848/12,0)</f>
        <v>0</v>
      </c>
      <c r="L849" s="101">
        <f t="shared" si="340"/>
        <v>4380</v>
      </c>
      <c r="M849" s="101">
        <f t="shared" si="340"/>
        <v>173</v>
      </c>
      <c r="N849" s="101">
        <f t="shared" si="340"/>
        <v>535</v>
      </c>
      <c r="O849" s="101">
        <f t="shared" si="340"/>
        <v>277</v>
      </c>
      <c r="P849" s="101">
        <f t="shared" si="340"/>
        <v>30</v>
      </c>
      <c r="Q849" s="101">
        <f t="shared" si="340"/>
        <v>1</v>
      </c>
      <c r="R849" s="101">
        <f t="shared" si="340"/>
        <v>168484</v>
      </c>
      <c r="S849" s="101">
        <f t="shared" si="340"/>
        <v>4</v>
      </c>
      <c r="T849" s="101">
        <f t="shared" si="340"/>
        <v>776</v>
      </c>
      <c r="U849" s="101"/>
      <c r="V849" s="101">
        <f t="shared" si="337"/>
        <v>689466</v>
      </c>
      <c r="W849" s="98" t="str">
        <f t="shared" si="338"/>
        <v>ok</v>
      </c>
      <c r="X849" s="99" t="str">
        <f t="shared" si="339"/>
        <v/>
      </c>
    </row>
    <row r="850" spans="1:24" ht="12" customHeight="1" x14ac:dyDescent="0.25">
      <c r="A850" s="97" t="s">
        <v>514</v>
      </c>
      <c r="F850" s="101">
        <v>689466</v>
      </c>
      <c r="G850" s="101">
        <f t="shared" ref="G850:T850" si="341">G849</f>
        <v>430678</v>
      </c>
      <c r="H850" s="101">
        <f t="shared" si="341"/>
        <v>83329</v>
      </c>
      <c r="I850" s="101">
        <f>I849</f>
        <v>206</v>
      </c>
      <c r="J850" s="101">
        <f>J849</f>
        <v>593</v>
      </c>
      <c r="K850" s="101">
        <f>K849</f>
        <v>0</v>
      </c>
      <c r="L850" s="101">
        <f t="shared" si="341"/>
        <v>4380</v>
      </c>
      <c r="M850" s="101">
        <f t="shared" si="341"/>
        <v>173</v>
      </c>
      <c r="N850" s="101">
        <f t="shared" si="341"/>
        <v>535</v>
      </c>
      <c r="O850" s="101">
        <f t="shared" si="341"/>
        <v>277</v>
      </c>
      <c r="P850" s="101">
        <f>P849</f>
        <v>30</v>
      </c>
      <c r="Q850" s="101">
        <f t="shared" si="341"/>
        <v>1</v>
      </c>
      <c r="R850" s="101">
        <f t="shared" si="341"/>
        <v>168484</v>
      </c>
      <c r="S850" s="101">
        <f t="shared" si="341"/>
        <v>4</v>
      </c>
      <c r="T850" s="101">
        <f t="shared" si="341"/>
        <v>776</v>
      </c>
      <c r="U850" s="101"/>
      <c r="V850" s="101">
        <f t="shared" si="337"/>
        <v>689466</v>
      </c>
      <c r="W850" s="98" t="str">
        <f t="shared" si="338"/>
        <v>ok</v>
      </c>
      <c r="X850" s="99" t="str">
        <f t="shared" si="339"/>
        <v/>
      </c>
    </row>
    <row r="851" spans="1:24" ht="12" customHeight="1" x14ac:dyDescent="0.25">
      <c r="A851" s="97" t="s">
        <v>787</v>
      </c>
      <c r="D851" s="97" t="s">
        <v>883</v>
      </c>
      <c r="F851" s="101">
        <v>668477</v>
      </c>
      <c r="G851" s="101">
        <f>ROUND(G850,0)</f>
        <v>430678</v>
      </c>
      <c r="H851" s="101">
        <f>ROUND(H850*2,0)</f>
        <v>166658</v>
      </c>
      <c r="I851" s="101">
        <f>'Billing Det'!K26</f>
        <v>2690</v>
      </c>
      <c r="J851" s="101">
        <f>ROUND(J850*10,0)</f>
        <v>5930</v>
      </c>
      <c r="K851" s="101">
        <f>ROUND(K850*10,0)</f>
        <v>0</v>
      </c>
      <c r="L851" s="101">
        <f>ROUND(L850*5,0)</f>
        <v>21900</v>
      </c>
      <c r="M851" s="101">
        <f>ROUND(M850*5,0)</f>
        <v>865</v>
      </c>
      <c r="N851" s="101">
        <f>ROUND(N850*25,0)</f>
        <v>13375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7"/>
        <v>668477</v>
      </c>
      <c r="W851" s="98" t="str">
        <f t="shared" si="338"/>
        <v>ok</v>
      </c>
      <c r="X851" s="99" t="str">
        <f t="shared" si="339"/>
        <v/>
      </c>
    </row>
    <row r="852" spans="1:24" ht="12" customHeight="1" x14ac:dyDescent="0.25">
      <c r="A852" s="97" t="s">
        <v>404</v>
      </c>
      <c r="D852" s="97" t="s">
        <v>517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7"/>
        <v>114827799.3</v>
      </c>
      <c r="W852" s="98" t="str">
        <f t="shared" si="338"/>
        <v>ok</v>
      </c>
      <c r="X852" s="99" t="str">
        <f t="shared" si="339"/>
        <v/>
      </c>
    </row>
    <row r="853" spans="1:24" ht="12" customHeight="1" x14ac:dyDescent="0.25">
      <c r="A853" s="97" t="s">
        <v>882</v>
      </c>
      <c r="D853" s="97" t="s">
        <v>516</v>
      </c>
      <c r="F853" s="101">
        <f>689466</f>
        <v>689466</v>
      </c>
      <c r="G853" s="101">
        <f>G850</f>
        <v>430678</v>
      </c>
      <c r="H853" s="101">
        <f t="shared" ref="H853:T853" si="342">H850</f>
        <v>83329</v>
      </c>
      <c r="I853" s="101">
        <f>I850</f>
        <v>206</v>
      </c>
      <c r="J853" s="101">
        <f>J850</f>
        <v>593</v>
      </c>
      <c r="K853" s="101">
        <f>K850</f>
        <v>0</v>
      </c>
      <c r="L853" s="101">
        <f t="shared" si="342"/>
        <v>4380</v>
      </c>
      <c r="M853" s="101">
        <f t="shared" si="342"/>
        <v>173</v>
      </c>
      <c r="N853" s="101">
        <f t="shared" si="342"/>
        <v>535</v>
      </c>
      <c r="O853" s="101">
        <f>O850</f>
        <v>277</v>
      </c>
      <c r="P853" s="101">
        <f>P850</f>
        <v>30</v>
      </c>
      <c r="Q853" s="101">
        <f t="shared" si="342"/>
        <v>1</v>
      </c>
      <c r="R853" s="101">
        <f t="shared" si="342"/>
        <v>168484</v>
      </c>
      <c r="S853" s="101">
        <f t="shared" si="342"/>
        <v>4</v>
      </c>
      <c r="T853" s="101">
        <f t="shared" si="342"/>
        <v>776</v>
      </c>
      <c r="U853" s="101"/>
      <c r="V853" s="101">
        <f t="shared" si="337"/>
        <v>689466</v>
      </c>
      <c r="W853" s="98" t="str">
        <f t="shared" si="338"/>
        <v>ok</v>
      </c>
      <c r="X853" s="99" t="str">
        <f t="shared" si="339"/>
        <v/>
      </c>
    </row>
    <row r="854" spans="1:24" ht="12" customHeight="1" x14ac:dyDescent="0.25">
      <c r="A854" s="97" t="s">
        <v>788</v>
      </c>
      <c r="D854" s="97" t="s">
        <v>884</v>
      </c>
      <c r="F854" s="101">
        <v>539008</v>
      </c>
      <c r="G854" s="101">
        <f t="shared" ref="G854:Q854" si="343">G850</f>
        <v>430678</v>
      </c>
      <c r="H854" s="101">
        <f t="shared" si="343"/>
        <v>83329</v>
      </c>
      <c r="I854" s="101">
        <f>I850</f>
        <v>206</v>
      </c>
      <c r="J854" s="101">
        <f t="shared" si="343"/>
        <v>593</v>
      </c>
      <c r="K854" s="101">
        <f>K850</f>
        <v>0</v>
      </c>
      <c r="L854" s="101">
        <f t="shared" si="343"/>
        <v>4380</v>
      </c>
      <c r="M854" s="101">
        <f t="shared" si="343"/>
        <v>173</v>
      </c>
      <c r="N854" s="101">
        <f t="shared" si="343"/>
        <v>535</v>
      </c>
      <c r="O854" s="101">
        <f t="shared" si="343"/>
        <v>277</v>
      </c>
      <c r="P854" s="101">
        <f t="shared" si="343"/>
        <v>30</v>
      </c>
      <c r="Q854" s="101">
        <f t="shared" si="343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7"/>
        <v>539008</v>
      </c>
      <c r="W854" s="98" t="str">
        <f>IF(ABS(F854-V854)=0,"ok","err")</f>
        <v>ok</v>
      </c>
      <c r="X854" s="99" t="str">
        <f t="shared" si="339"/>
        <v/>
      </c>
    </row>
    <row r="855" spans="1:24" ht="12" customHeight="1" x14ac:dyDescent="0.25">
      <c r="A855" s="97" t="s">
        <v>789</v>
      </c>
      <c r="D855" s="97" t="s">
        <v>938</v>
      </c>
      <c r="F855" s="101">
        <f>533407.111111111+I855</f>
        <v>533613.11111111101</v>
      </c>
      <c r="G855" s="101">
        <f>G850</f>
        <v>430678</v>
      </c>
      <c r="H855" s="101">
        <f>H854</f>
        <v>83329</v>
      </c>
      <c r="I855" s="101">
        <f>I854</f>
        <v>206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7"/>
        <v>533613.11111111124</v>
      </c>
      <c r="W855" s="98" t="str">
        <f>IF(ABS(F855-V855)&lt;0.01,"ok","err")</f>
        <v>ok</v>
      </c>
      <c r="X855" s="99" t="str">
        <f t="shared" si="339"/>
        <v/>
      </c>
    </row>
    <row r="856" spans="1:24" ht="12" customHeight="1" x14ac:dyDescent="0.25">
      <c r="A856" s="97" t="s">
        <v>790</v>
      </c>
      <c r="D856" s="97" t="s">
        <v>939</v>
      </c>
      <c r="F856" s="101">
        <v>538978.11111111124</v>
      </c>
      <c r="G856" s="101">
        <f>G850</f>
        <v>430678</v>
      </c>
      <c r="H856" s="101">
        <f t="shared" ref="H856:O856" si="344">H850</f>
        <v>83329</v>
      </c>
      <c r="I856" s="101">
        <f>I850</f>
        <v>206</v>
      </c>
      <c r="J856" s="101">
        <f t="shared" si="344"/>
        <v>593</v>
      </c>
      <c r="K856" s="101">
        <f>K850</f>
        <v>0</v>
      </c>
      <c r="L856" s="101">
        <f t="shared" si="344"/>
        <v>4380</v>
      </c>
      <c r="M856" s="101">
        <f t="shared" si="344"/>
        <v>173</v>
      </c>
      <c r="N856" s="101">
        <f t="shared" si="344"/>
        <v>535</v>
      </c>
      <c r="O856" s="101">
        <f t="shared" si="344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538978.11111111124</v>
      </c>
      <c r="W856" s="98" t="str">
        <f>IF(ABS(F856-V856)&lt;0.01,"ok","err")</f>
        <v>ok</v>
      </c>
      <c r="X856" s="99" t="str">
        <f t="shared" si="339"/>
        <v/>
      </c>
    </row>
    <row r="857" spans="1:24" ht="12" customHeight="1" x14ac:dyDescent="0.25">
      <c r="A857" s="97" t="s">
        <v>2279</v>
      </c>
      <c r="D857" s="97" t="s">
        <v>2280</v>
      </c>
      <c r="F857" s="101">
        <v>538528.11111111124</v>
      </c>
      <c r="G857" s="101">
        <f>G855</f>
        <v>430678</v>
      </c>
      <c r="H857" s="101">
        <f t="shared" ref="H857:T857" si="345">H855</f>
        <v>83329</v>
      </c>
      <c r="I857" s="101">
        <f t="shared" si="345"/>
        <v>206</v>
      </c>
      <c r="J857" s="101">
        <f t="shared" si="345"/>
        <v>593</v>
      </c>
      <c r="K857" s="101">
        <f t="shared" si="345"/>
        <v>0</v>
      </c>
      <c r="L857" s="101">
        <f>L856</f>
        <v>4380</v>
      </c>
      <c r="M857" s="101">
        <f t="shared" si="345"/>
        <v>0</v>
      </c>
      <c r="N857" s="101">
        <f>N856</f>
        <v>535</v>
      </c>
      <c r="O857" s="101">
        <f t="shared" si="345"/>
        <v>0</v>
      </c>
      <c r="P857" s="101">
        <f t="shared" si="345"/>
        <v>0</v>
      </c>
      <c r="Q857" s="101">
        <f t="shared" si="345"/>
        <v>0</v>
      </c>
      <c r="R857" s="101">
        <f t="shared" si="345"/>
        <v>18720.444444444445</v>
      </c>
      <c r="S857" s="101">
        <f t="shared" si="345"/>
        <v>0.44444444444444442</v>
      </c>
      <c r="T857" s="101">
        <f t="shared" si="345"/>
        <v>86.222222222222229</v>
      </c>
      <c r="U857" s="101"/>
      <c r="V857" s="101">
        <f>SUM(G857:U857)</f>
        <v>538528.11111111124</v>
      </c>
      <c r="W857" s="98" t="str">
        <f>IF(ABS(F857-V857)&lt;0.01,"ok","err")</f>
        <v>ok</v>
      </c>
      <c r="X857" s="99"/>
    </row>
    <row r="858" spans="1:24" ht="12" customHeight="1" x14ac:dyDescent="0.25">
      <c r="F858" s="263"/>
      <c r="G858" s="263"/>
      <c r="H858" s="263"/>
      <c r="I858" s="263"/>
      <c r="J858" s="263"/>
      <c r="K858" s="263"/>
      <c r="L858" s="263"/>
      <c r="M858" s="263"/>
      <c r="N858" s="263"/>
      <c r="O858" s="263"/>
      <c r="P858" s="263"/>
      <c r="Q858" s="263"/>
      <c r="R858" s="263"/>
      <c r="S858" s="263"/>
      <c r="T858" s="263"/>
      <c r="U858" s="263"/>
      <c r="V858" s="263"/>
      <c r="W858" s="264"/>
      <c r="X858" s="99"/>
    </row>
    <row r="859" spans="1:24" ht="12" customHeight="1" x14ac:dyDescent="0.25">
      <c r="A859" s="24" t="s">
        <v>575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3"/>
      <c r="R859" s="263"/>
      <c r="S859" s="263">
        <f>S852/(SUM($Q$852:$T$852))</f>
        <v>0</v>
      </c>
      <c r="T859" s="263">
        <f>T852/(SUM($Q$852:$T$852))</f>
        <v>0</v>
      </c>
      <c r="U859" s="101"/>
      <c r="V859" s="116"/>
      <c r="W859" s="98"/>
      <c r="X859" s="99"/>
    </row>
    <row r="860" spans="1:24" ht="12" customHeight="1" x14ac:dyDescent="0.25">
      <c r="A860" s="97" t="s">
        <v>512</v>
      </c>
      <c r="F860" s="262">
        <f>F848</f>
        <v>8273588</v>
      </c>
      <c r="G860" s="262">
        <f t="shared" ref="G860:T860" si="346">G848</f>
        <v>5168140</v>
      </c>
      <c r="H860" s="262">
        <f t="shared" si="346"/>
        <v>999948</v>
      </c>
      <c r="I860" s="262">
        <f t="shared" si="346"/>
        <v>2472</v>
      </c>
      <c r="J860" s="262">
        <f t="shared" si="346"/>
        <v>7118.0000000000009</v>
      </c>
      <c r="K860" s="262">
        <f t="shared" si="346"/>
        <v>0</v>
      </c>
      <c r="L860" s="262">
        <f t="shared" si="346"/>
        <v>52558</v>
      </c>
      <c r="M860" s="262">
        <f t="shared" si="346"/>
        <v>2070</v>
      </c>
      <c r="N860" s="262">
        <f t="shared" si="346"/>
        <v>6423</v>
      </c>
      <c r="O860" s="262">
        <f t="shared" si="346"/>
        <v>3318</v>
      </c>
      <c r="P860" s="262">
        <f t="shared" si="346"/>
        <v>360</v>
      </c>
      <c r="Q860" s="262">
        <f t="shared" si="346"/>
        <v>12</v>
      </c>
      <c r="R860" s="262">
        <f t="shared" si="346"/>
        <v>2021809</v>
      </c>
      <c r="S860" s="262">
        <f t="shared" si="346"/>
        <v>48</v>
      </c>
      <c r="T860" s="262">
        <f t="shared" si="346"/>
        <v>9312</v>
      </c>
      <c r="U860" s="101"/>
      <c r="V860" s="101">
        <f t="shared" ref="V860:V867" si="347">SUM(G860:T860)</f>
        <v>8273588</v>
      </c>
      <c r="W860" s="98" t="str">
        <f t="shared" ref="W860:W867" si="348">IF(ABS(F860-V860)&lt;0.01,"ok","err")</f>
        <v>ok</v>
      </c>
      <c r="X860" s="99" t="str">
        <f t="shared" ref="X860:X867" si="349">IF(W860="err",V860-F860,"")</f>
        <v/>
      </c>
    </row>
    <row r="861" spans="1:24" ht="12" customHeight="1" x14ac:dyDescent="0.25">
      <c r="A861" s="97" t="s">
        <v>513</v>
      </c>
      <c r="F861" s="262">
        <f t="shared" ref="F861:T868" si="350">F849</f>
        <v>689466</v>
      </c>
      <c r="G861" s="262">
        <f t="shared" si="350"/>
        <v>430678</v>
      </c>
      <c r="H861" s="262">
        <f t="shared" si="350"/>
        <v>83329</v>
      </c>
      <c r="I861" s="262">
        <f t="shared" si="350"/>
        <v>206</v>
      </c>
      <c r="J861" s="262">
        <f t="shared" si="350"/>
        <v>593</v>
      </c>
      <c r="K861" s="262">
        <f t="shared" si="350"/>
        <v>0</v>
      </c>
      <c r="L861" s="262">
        <f t="shared" si="350"/>
        <v>4380</v>
      </c>
      <c r="M861" s="262">
        <f t="shared" si="350"/>
        <v>173</v>
      </c>
      <c r="N861" s="262">
        <f t="shared" si="350"/>
        <v>535</v>
      </c>
      <c r="O861" s="262">
        <f t="shared" si="350"/>
        <v>277</v>
      </c>
      <c r="P861" s="262">
        <f t="shared" si="350"/>
        <v>30</v>
      </c>
      <c r="Q861" s="262">
        <f t="shared" si="350"/>
        <v>1</v>
      </c>
      <c r="R861" s="262">
        <f t="shared" si="350"/>
        <v>168484</v>
      </c>
      <c r="S861" s="262">
        <f t="shared" si="350"/>
        <v>4</v>
      </c>
      <c r="T861" s="262">
        <f t="shared" si="350"/>
        <v>776</v>
      </c>
      <c r="U861" s="105"/>
      <c r="V861" s="101">
        <f t="shared" si="347"/>
        <v>689466</v>
      </c>
      <c r="W861" s="98" t="str">
        <f t="shared" si="348"/>
        <v>ok</v>
      </c>
      <c r="X861" s="99" t="str">
        <f t="shared" si="349"/>
        <v/>
      </c>
    </row>
    <row r="862" spans="1:24" ht="12" customHeight="1" x14ac:dyDescent="0.25">
      <c r="A862" s="97" t="s">
        <v>514</v>
      </c>
      <c r="F862" s="262">
        <f t="shared" si="350"/>
        <v>689466</v>
      </c>
      <c r="G862" s="262">
        <f t="shared" si="350"/>
        <v>430678</v>
      </c>
      <c r="H862" s="262">
        <f t="shared" si="350"/>
        <v>83329</v>
      </c>
      <c r="I862" s="262">
        <f t="shared" si="350"/>
        <v>206</v>
      </c>
      <c r="J862" s="262">
        <f t="shared" si="350"/>
        <v>593</v>
      </c>
      <c r="K862" s="262">
        <f t="shared" si="350"/>
        <v>0</v>
      </c>
      <c r="L862" s="262">
        <f t="shared" si="350"/>
        <v>4380</v>
      </c>
      <c r="M862" s="262">
        <f t="shared" si="350"/>
        <v>173</v>
      </c>
      <c r="N862" s="262">
        <f t="shared" si="350"/>
        <v>535</v>
      </c>
      <c r="O862" s="262">
        <f t="shared" si="350"/>
        <v>277</v>
      </c>
      <c r="P862" s="262">
        <f t="shared" si="350"/>
        <v>30</v>
      </c>
      <c r="Q862" s="262">
        <f t="shared" si="350"/>
        <v>1</v>
      </c>
      <c r="R862" s="262">
        <f t="shared" si="350"/>
        <v>168484</v>
      </c>
      <c r="S862" s="262">
        <f t="shared" si="350"/>
        <v>4</v>
      </c>
      <c r="T862" s="262">
        <f t="shared" si="350"/>
        <v>776</v>
      </c>
      <c r="U862" s="105"/>
      <c r="V862" s="101">
        <f t="shared" si="347"/>
        <v>689466</v>
      </c>
      <c r="W862" s="98" t="str">
        <f t="shared" si="348"/>
        <v>ok</v>
      </c>
      <c r="X862" s="333" t="str">
        <f t="shared" si="349"/>
        <v/>
      </c>
    </row>
    <row r="863" spans="1:24" ht="12" customHeight="1" x14ac:dyDescent="0.25">
      <c r="A863" s="97" t="s">
        <v>787</v>
      </c>
      <c r="F863" s="262">
        <f t="shared" si="350"/>
        <v>668477</v>
      </c>
      <c r="G863" s="262">
        <f t="shared" si="350"/>
        <v>430678</v>
      </c>
      <c r="H863" s="262">
        <f t="shared" si="350"/>
        <v>166658</v>
      </c>
      <c r="I863" s="262">
        <f t="shared" si="350"/>
        <v>2690</v>
      </c>
      <c r="J863" s="262">
        <f t="shared" si="350"/>
        <v>5930</v>
      </c>
      <c r="K863" s="262">
        <f t="shared" si="350"/>
        <v>0</v>
      </c>
      <c r="L863" s="262">
        <f t="shared" si="350"/>
        <v>21900</v>
      </c>
      <c r="M863" s="262">
        <f t="shared" si="350"/>
        <v>865</v>
      </c>
      <c r="N863" s="262">
        <f t="shared" si="350"/>
        <v>13375</v>
      </c>
      <c r="O863" s="262">
        <f t="shared" si="350"/>
        <v>6925</v>
      </c>
      <c r="P863" s="262">
        <f t="shared" si="350"/>
        <v>600</v>
      </c>
      <c r="Q863" s="262">
        <f t="shared" si="350"/>
        <v>50</v>
      </c>
      <c r="R863" s="262">
        <f t="shared" si="350"/>
        <v>18720</v>
      </c>
      <c r="S863" s="262">
        <f t="shared" si="350"/>
        <v>0</v>
      </c>
      <c r="T863" s="262">
        <f t="shared" si="350"/>
        <v>86</v>
      </c>
      <c r="U863" s="105"/>
      <c r="V863" s="101">
        <f t="shared" si="347"/>
        <v>668477</v>
      </c>
      <c r="W863" s="98" t="str">
        <f t="shared" si="348"/>
        <v>ok</v>
      </c>
      <c r="X863" s="333" t="str">
        <f t="shared" si="349"/>
        <v/>
      </c>
    </row>
    <row r="864" spans="1:24" ht="12" customHeight="1" x14ac:dyDescent="0.25">
      <c r="A864" s="97" t="s">
        <v>404</v>
      </c>
      <c r="F864" s="262">
        <f t="shared" si="350"/>
        <v>114827799.3</v>
      </c>
      <c r="G864" s="262">
        <f t="shared" si="350"/>
        <v>0</v>
      </c>
      <c r="H864" s="262">
        <f t="shared" si="350"/>
        <v>0</v>
      </c>
      <c r="I864" s="262">
        <f t="shared" si="350"/>
        <v>0</v>
      </c>
      <c r="J864" s="262">
        <f t="shared" si="350"/>
        <v>0</v>
      </c>
      <c r="K864" s="262">
        <f t="shared" si="350"/>
        <v>0</v>
      </c>
      <c r="L864" s="262">
        <f t="shared" si="350"/>
        <v>0</v>
      </c>
      <c r="M864" s="262">
        <f t="shared" si="350"/>
        <v>0</v>
      </c>
      <c r="N864" s="262">
        <f t="shared" si="350"/>
        <v>0</v>
      </c>
      <c r="O864" s="262">
        <f t="shared" si="350"/>
        <v>0</v>
      </c>
      <c r="P864" s="262">
        <f t="shared" si="350"/>
        <v>0</v>
      </c>
      <c r="Q864" s="262">
        <f t="shared" si="350"/>
        <v>0</v>
      </c>
      <c r="R864" s="262">
        <f t="shared" si="350"/>
        <v>114827799.3</v>
      </c>
      <c r="S864" s="262">
        <f t="shared" si="350"/>
        <v>0</v>
      </c>
      <c r="T864" s="262">
        <f t="shared" si="350"/>
        <v>0</v>
      </c>
      <c r="U864" s="101"/>
      <c r="V864" s="101">
        <f t="shared" si="347"/>
        <v>114827799.3</v>
      </c>
      <c r="W864" s="98" t="str">
        <f t="shared" si="348"/>
        <v>ok</v>
      </c>
      <c r="X864" s="99" t="str">
        <f t="shared" si="349"/>
        <v/>
      </c>
    </row>
    <row r="865" spans="1:24" ht="12" customHeight="1" x14ac:dyDescent="0.25">
      <c r="A865" s="97" t="s">
        <v>882</v>
      </c>
      <c r="F865" s="262">
        <f t="shared" si="350"/>
        <v>689466</v>
      </c>
      <c r="G865" s="262">
        <f t="shared" si="350"/>
        <v>430678</v>
      </c>
      <c r="H865" s="262">
        <f t="shared" si="350"/>
        <v>83329</v>
      </c>
      <c r="I865" s="262">
        <f t="shared" si="350"/>
        <v>206</v>
      </c>
      <c r="J865" s="262">
        <f t="shared" si="350"/>
        <v>593</v>
      </c>
      <c r="K865" s="262">
        <f t="shared" si="350"/>
        <v>0</v>
      </c>
      <c r="L865" s="262">
        <f t="shared" si="350"/>
        <v>4380</v>
      </c>
      <c r="M865" s="262">
        <f t="shared" si="350"/>
        <v>173</v>
      </c>
      <c r="N865" s="262">
        <f t="shared" si="350"/>
        <v>535</v>
      </c>
      <c r="O865" s="262">
        <f t="shared" si="350"/>
        <v>277</v>
      </c>
      <c r="P865" s="262">
        <f t="shared" si="350"/>
        <v>30</v>
      </c>
      <c r="Q865" s="262">
        <f t="shared" si="350"/>
        <v>1</v>
      </c>
      <c r="R865" s="262">
        <f t="shared" si="350"/>
        <v>168484</v>
      </c>
      <c r="S865" s="262">
        <f t="shared" si="350"/>
        <v>4</v>
      </c>
      <c r="T865" s="262">
        <f t="shared" si="350"/>
        <v>776</v>
      </c>
      <c r="U865" s="105"/>
      <c r="V865" s="101">
        <f t="shared" si="347"/>
        <v>689466</v>
      </c>
      <c r="W865" s="98" t="str">
        <f t="shared" si="348"/>
        <v>ok</v>
      </c>
      <c r="X865" s="99" t="str">
        <f t="shared" si="349"/>
        <v/>
      </c>
    </row>
    <row r="866" spans="1:24" ht="12" customHeight="1" x14ac:dyDescent="0.25">
      <c r="A866" s="97" t="s">
        <v>788</v>
      </c>
      <c r="F866" s="262">
        <f t="shared" si="350"/>
        <v>539008</v>
      </c>
      <c r="G866" s="262">
        <f t="shared" si="350"/>
        <v>430678</v>
      </c>
      <c r="H866" s="262">
        <f t="shared" si="350"/>
        <v>83329</v>
      </c>
      <c r="I866" s="262">
        <f t="shared" si="350"/>
        <v>206</v>
      </c>
      <c r="J866" s="262">
        <f t="shared" si="350"/>
        <v>593</v>
      </c>
      <c r="K866" s="262">
        <f t="shared" si="350"/>
        <v>0</v>
      </c>
      <c r="L866" s="262">
        <f t="shared" si="350"/>
        <v>4380</v>
      </c>
      <c r="M866" s="262">
        <f t="shared" si="350"/>
        <v>173</v>
      </c>
      <c r="N866" s="262">
        <f t="shared" si="350"/>
        <v>535</v>
      </c>
      <c r="O866" s="262">
        <f t="shared" si="350"/>
        <v>277</v>
      </c>
      <c r="P866" s="262">
        <f t="shared" si="350"/>
        <v>30</v>
      </c>
      <c r="Q866" s="262">
        <f t="shared" si="350"/>
        <v>1</v>
      </c>
      <c r="R866" s="262">
        <f t="shared" si="350"/>
        <v>18720</v>
      </c>
      <c r="S866" s="262">
        <f t="shared" si="350"/>
        <v>0</v>
      </c>
      <c r="T866" s="262">
        <f t="shared" si="350"/>
        <v>86</v>
      </c>
      <c r="U866" s="105"/>
      <c r="V866" s="101">
        <f t="shared" si="347"/>
        <v>539008</v>
      </c>
      <c r="W866" s="98" t="str">
        <f t="shared" si="348"/>
        <v>ok</v>
      </c>
      <c r="X866" s="99" t="str">
        <f t="shared" si="349"/>
        <v/>
      </c>
    </row>
    <row r="867" spans="1:24" ht="12" customHeight="1" x14ac:dyDescent="0.25">
      <c r="A867" s="97" t="s">
        <v>789</v>
      </c>
      <c r="F867" s="262">
        <f t="shared" si="350"/>
        <v>533613.11111111101</v>
      </c>
      <c r="G867" s="262">
        <f t="shared" si="350"/>
        <v>430678</v>
      </c>
      <c r="H867" s="262">
        <f t="shared" si="350"/>
        <v>83329</v>
      </c>
      <c r="I867" s="262">
        <f t="shared" si="350"/>
        <v>206</v>
      </c>
      <c r="J867" s="262">
        <f t="shared" si="350"/>
        <v>593</v>
      </c>
      <c r="K867" s="262">
        <f t="shared" si="350"/>
        <v>0</v>
      </c>
      <c r="L867" s="262">
        <f t="shared" si="350"/>
        <v>0</v>
      </c>
      <c r="M867" s="262">
        <f t="shared" si="350"/>
        <v>0</v>
      </c>
      <c r="N867" s="262">
        <f t="shared" si="350"/>
        <v>0</v>
      </c>
      <c r="O867" s="262">
        <f t="shared" si="350"/>
        <v>0</v>
      </c>
      <c r="P867" s="262">
        <f t="shared" si="350"/>
        <v>0</v>
      </c>
      <c r="Q867" s="262">
        <f t="shared" si="350"/>
        <v>0</v>
      </c>
      <c r="R867" s="262">
        <f t="shared" si="350"/>
        <v>18720.444444444445</v>
      </c>
      <c r="S867" s="262">
        <f t="shared" si="350"/>
        <v>0.44444444444444442</v>
      </c>
      <c r="T867" s="262">
        <f t="shared" si="350"/>
        <v>86.222222222222229</v>
      </c>
      <c r="U867" s="101"/>
      <c r="V867" s="101">
        <f t="shared" si="347"/>
        <v>533613.11111111124</v>
      </c>
      <c r="W867" s="98" t="str">
        <f t="shared" si="348"/>
        <v>ok</v>
      </c>
      <c r="X867" s="99" t="str">
        <f t="shared" si="349"/>
        <v/>
      </c>
    </row>
    <row r="868" spans="1:24" ht="12" customHeight="1" x14ac:dyDescent="0.25">
      <c r="A868" s="97" t="s">
        <v>790</v>
      </c>
      <c r="F868" s="262">
        <f t="shared" si="350"/>
        <v>538978.11111111124</v>
      </c>
      <c r="G868" s="262">
        <f t="shared" si="350"/>
        <v>430678</v>
      </c>
      <c r="H868" s="262">
        <f t="shared" si="350"/>
        <v>83329</v>
      </c>
      <c r="I868" s="262">
        <f t="shared" si="350"/>
        <v>206</v>
      </c>
      <c r="J868" s="262">
        <f t="shared" si="350"/>
        <v>593</v>
      </c>
      <c r="K868" s="262">
        <f t="shared" si="350"/>
        <v>0</v>
      </c>
      <c r="L868" s="262">
        <f t="shared" si="350"/>
        <v>4380</v>
      </c>
      <c r="M868" s="262">
        <f t="shared" si="350"/>
        <v>173</v>
      </c>
      <c r="N868" s="262">
        <f t="shared" si="350"/>
        <v>535</v>
      </c>
      <c r="O868" s="262">
        <f t="shared" si="350"/>
        <v>277</v>
      </c>
      <c r="P868" s="262">
        <f t="shared" si="350"/>
        <v>0</v>
      </c>
      <c r="Q868" s="262">
        <f t="shared" si="350"/>
        <v>0</v>
      </c>
      <c r="R868" s="262">
        <f t="shared" si="350"/>
        <v>18720.444444444445</v>
      </c>
      <c r="S868" s="262">
        <f t="shared" si="350"/>
        <v>0.44444444444444442</v>
      </c>
      <c r="T868" s="262">
        <f t="shared" si="350"/>
        <v>86.222222222222229</v>
      </c>
      <c r="U868" s="101"/>
      <c r="V868" s="101">
        <f>SUM(G868:T868)</f>
        <v>538978.11111111124</v>
      </c>
      <c r="W868" s="98" t="str">
        <f>IF(ABS(F868-V868)&lt;0.01,"ok","err")</f>
        <v>ok</v>
      </c>
      <c r="X868" s="99" t="str">
        <f>IF(W868="err",V868-F868,"")</f>
        <v/>
      </c>
    </row>
    <row r="869" spans="1:24" ht="12" customHeight="1" x14ac:dyDescent="0.25">
      <c r="A869" s="97" t="s">
        <v>2279</v>
      </c>
      <c r="F869" s="101">
        <f>F857</f>
        <v>538528.11111111124</v>
      </c>
      <c r="G869" s="101">
        <f t="shared" ref="G869:T869" si="351">G857</f>
        <v>430678</v>
      </c>
      <c r="H869" s="101">
        <f t="shared" si="351"/>
        <v>83329</v>
      </c>
      <c r="I869" s="101">
        <f t="shared" si="351"/>
        <v>206</v>
      </c>
      <c r="J869" s="101">
        <f t="shared" si="351"/>
        <v>593</v>
      </c>
      <c r="K869" s="101">
        <f t="shared" si="351"/>
        <v>0</v>
      </c>
      <c r="L869" s="101">
        <f t="shared" si="351"/>
        <v>4380</v>
      </c>
      <c r="M869" s="101">
        <f t="shared" si="351"/>
        <v>0</v>
      </c>
      <c r="N869" s="101">
        <f t="shared" si="351"/>
        <v>535</v>
      </c>
      <c r="O869" s="101">
        <f t="shared" si="351"/>
        <v>0</v>
      </c>
      <c r="P869" s="101">
        <f t="shared" si="351"/>
        <v>0</v>
      </c>
      <c r="Q869" s="101">
        <f t="shared" si="351"/>
        <v>0</v>
      </c>
      <c r="R869" s="101">
        <f t="shared" si="351"/>
        <v>18720.444444444445</v>
      </c>
      <c r="S869" s="101">
        <f t="shared" si="351"/>
        <v>0.44444444444444442</v>
      </c>
      <c r="T869" s="101">
        <f t="shared" si="351"/>
        <v>86.222222222222229</v>
      </c>
      <c r="U869" s="101"/>
      <c r="V869" s="101">
        <f>SUM(G869:U869)</f>
        <v>538528.11111111124</v>
      </c>
      <c r="W869" s="98" t="str">
        <f>IF(ABS(F869-V869)&lt;0.01,"ok","err")</f>
        <v>ok</v>
      </c>
      <c r="X869" s="99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791</v>
      </c>
    </row>
    <row r="872" spans="1:24" ht="12" customHeight="1" x14ac:dyDescent="0.25">
      <c r="A872" s="97" t="s">
        <v>2374</v>
      </c>
      <c r="D872" s="97" t="s">
        <v>2371</v>
      </c>
      <c r="F872" s="101">
        <v>5021135.2978570424</v>
      </c>
      <c r="G872" s="101">
        <f>'Billing Det'!E8</f>
        <v>2135687.8449148498</v>
      </c>
      <c r="H872" s="101">
        <f>'Billing Det'!E10</f>
        <v>540692.33310545434</v>
      </c>
      <c r="I872" s="101">
        <f>'Billing Det'!E14</f>
        <v>62129</v>
      </c>
      <c r="J872" s="101">
        <f>'Billing Det'!E16</f>
        <v>52198.244923035149</v>
      </c>
      <c r="K872" s="101">
        <v>0</v>
      </c>
      <c r="L872" s="101">
        <f>'Billing Det'!E20</f>
        <v>451090.37357550598</v>
      </c>
      <c r="M872" s="101">
        <f>'Billing Det'!E22</f>
        <v>37486.089382678438</v>
      </c>
      <c r="N872" s="101">
        <f>'Billing Det'!E24</f>
        <v>331873.02907993598</v>
      </c>
      <c r="O872" s="101">
        <f>'Billing Det'!E26</f>
        <v>853586.39616194565</v>
      </c>
      <c r="P872" s="101">
        <f>'Billing Det'!E30</f>
        <v>312397.10555786057</v>
      </c>
      <c r="Q872" s="101">
        <f>'Billing Det'!E32</f>
        <v>206553.78467062348</v>
      </c>
      <c r="R872" s="101">
        <f>'Billing Det'!E34</f>
        <v>37045.605860196258</v>
      </c>
      <c r="S872" s="101">
        <f>'Billing Det'!E36</f>
        <v>155.17110297018576</v>
      </c>
      <c r="T872" s="101">
        <f>'Billing Det'!E38</f>
        <v>240.31952198731273</v>
      </c>
      <c r="U872" s="101"/>
      <c r="V872" s="101">
        <f t="shared" ref="V872:V875" si="352">SUM(G872:T872)</f>
        <v>5021135.2978570424</v>
      </c>
      <c r="W872" s="98" t="str">
        <f t="shared" ref="W872:W877" si="353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2373</v>
      </c>
      <c r="D873" s="97" t="s">
        <v>2375</v>
      </c>
      <c r="F873" s="101">
        <v>4502184.4076285586</v>
      </c>
      <c r="G873" s="101">
        <f>'Billing Det'!E8</f>
        <v>2135687.8449148498</v>
      </c>
      <c r="H873" s="101">
        <f>'Billing Det'!E10+'Billing Det'!E12</f>
        <v>540692.33310545434</v>
      </c>
      <c r="I873" s="101">
        <f>'Billing Det'!E14</f>
        <v>62129</v>
      </c>
      <c r="J873" s="101">
        <f>'Billing Det'!E16+'Billing Det'!E18</f>
        <v>52198.244923035149</v>
      </c>
      <c r="K873" s="101">
        <v>0</v>
      </c>
      <c r="L873" s="101">
        <f>'Billing Det'!E20</f>
        <v>451090.37357550598</v>
      </c>
      <c r="M873" s="101">
        <f>'Billing Det'!E22</f>
        <v>37486.089382678438</v>
      </c>
      <c r="N873" s="101">
        <f>'Billing Det'!E24</f>
        <v>331873.02907993598</v>
      </c>
      <c r="O873" s="101">
        <f>'Billing Det'!E26+'Billing Det'!E28</f>
        <v>853586.39616194565</v>
      </c>
      <c r="P873" s="101">
        <v>0</v>
      </c>
      <c r="Q873" s="101">
        <v>0</v>
      </c>
      <c r="R873" s="101">
        <f>'Billing Det'!E34</f>
        <v>37045.605860196258</v>
      </c>
      <c r="S873" s="101">
        <f>'Billing Det'!E36</f>
        <v>155.17110297018576</v>
      </c>
      <c r="T873" s="101">
        <f>'Billing Det'!E38</f>
        <v>240.31952198731273</v>
      </c>
      <c r="U873" s="101"/>
      <c r="V873" s="101">
        <f t="shared" si="352"/>
        <v>4502184.4076285576</v>
      </c>
      <c r="W873" s="98" t="str">
        <f t="shared" si="353"/>
        <v>ok</v>
      </c>
      <c r="X873" s="102" t="str">
        <f>IF(W873="err",V873-F873,"")</f>
        <v/>
      </c>
    </row>
    <row r="874" spans="1:24" ht="12" customHeight="1" x14ac:dyDescent="0.25">
      <c r="A874" s="97" t="s">
        <v>2372</v>
      </c>
      <c r="D874" s="97" t="s">
        <v>2281</v>
      </c>
      <c r="F874" s="101">
        <v>6459670.5724242404</v>
      </c>
      <c r="G874" s="101">
        <f>G875</f>
        <v>4481644.9312789971</v>
      </c>
      <c r="H874" s="101">
        <f>H875</f>
        <v>807121.76613810693</v>
      </c>
      <c r="I874" s="101">
        <f>I875</f>
        <v>67481</v>
      </c>
      <c r="J874" s="101">
        <f>J875</f>
        <v>56694.218386680899</v>
      </c>
      <c r="K874" s="101">
        <f>K875</f>
        <v>0</v>
      </c>
      <c r="L874" s="101">
        <f>'Billing Det'!I20</f>
        <v>605942.80321775598</v>
      </c>
      <c r="M874" s="101">
        <v>0</v>
      </c>
      <c r="N874" s="101">
        <f>'Billing Det'!I24</f>
        <v>406248.74774298701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2"/>
        <v>6459670.5724242413</v>
      </c>
      <c r="W874" s="98" t="str">
        <f t="shared" si="353"/>
        <v>ok</v>
      </c>
      <c r="X874" s="102"/>
    </row>
    <row r="875" spans="1:24" ht="12" customHeight="1" x14ac:dyDescent="0.25">
      <c r="A875" s="97" t="s">
        <v>759</v>
      </c>
      <c r="D875" s="97" t="s">
        <v>758</v>
      </c>
      <c r="F875" s="101">
        <f>'Billing Det'!I43</f>
        <v>5447479.0214634985</v>
      </c>
      <c r="G875" s="101">
        <f>'Billing Det'!I8</f>
        <v>4481644.9312789971</v>
      </c>
      <c r="H875" s="101">
        <f>'Billing Det'!I10+'Billing Det'!I12</f>
        <v>807121.76613810693</v>
      </c>
      <c r="I875" s="101">
        <f>'Billing Det'!I14</f>
        <v>67481</v>
      </c>
      <c r="J875" s="101">
        <f>'Billing Det'!I16+'Billing Det'!I18</f>
        <v>56694.218386680899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Det'!I34</f>
        <v>34172.535127711366</v>
      </c>
      <c r="S875" s="101">
        <f>'Billing Det'!I36</f>
        <v>143.13681323138437</v>
      </c>
      <c r="T875" s="101">
        <f>'Billing Det'!I38</f>
        <v>221.43371877082163</v>
      </c>
      <c r="U875" s="101"/>
      <c r="V875" s="101">
        <f t="shared" si="352"/>
        <v>5447479.0214634985</v>
      </c>
      <c r="W875" s="98" t="str">
        <f t="shared" si="353"/>
        <v>ok</v>
      </c>
      <c r="X875" s="102" t="str">
        <f>IF(W875="err",V875-F875,"")</f>
        <v/>
      </c>
    </row>
    <row r="876" spans="1:24" ht="12" customHeight="1" x14ac:dyDescent="0.25">
      <c r="A876" s="97" t="s">
        <v>1211</v>
      </c>
      <c r="D876" s="97" t="s">
        <v>548</v>
      </c>
      <c r="F876" s="101">
        <f>45300.5758277013</f>
        <v>45300.575827701301</v>
      </c>
      <c r="G876" s="101">
        <v>16742.80354419534</v>
      </c>
      <c r="H876" s="101">
        <v>4922.4044857456038</v>
      </c>
      <c r="I876" s="317">
        <v>476</v>
      </c>
      <c r="J876" s="101">
        <v>321.46156402284498</v>
      </c>
      <c r="K876" s="101">
        <v>0</v>
      </c>
      <c r="L876" s="314">
        <f>5377.62313590259-196</f>
        <v>5181.6231359025896</v>
      </c>
      <c r="M876" s="101">
        <v>407.88611821745286</v>
      </c>
      <c r="N876" s="314">
        <f>3942.0464-280</f>
        <v>3662.0464000000002</v>
      </c>
      <c r="O876" s="101">
        <v>9204.1902613509683</v>
      </c>
      <c r="P876" s="101">
        <v>3150.8224813905158</v>
      </c>
      <c r="Q876" s="101">
        <v>1222.9877749396533</v>
      </c>
      <c r="R876" s="101">
        <v>6.0195965800630438</v>
      </c>
      <c r="S876" s="101">
        <v>2.2966437713164586E-2</v>
      </c>
      <c r="T876" s="101">
        <v>2.3074985953106588</v>
      </c>
      <c r="U876" s="101"/>
      <c r="V876" s="101">
        <f>45300.5758277013</f>
        <v>45300.575827701301</v>
      </c>
      <c r="W876" s="98" t="str">
        <f t="shared" si="353"/>
        <v>ok</v>
      </c>
      <c r="X876" s="102" t="str">
        <f>IF(W876="err",V876-F876,"")</f>
        <v/>
      </c>
    </row>
    <row r="877" spans="1:24" ht="12" customHeight="1" x14ac:dyDescent="0.25">
      <c r="A877" s="97" t="s">
        <v>1212</v>
      </c>
      <c r="D877" s="97" t="s">
        <v>549</v>
      </c>
      <c r="F877" s="101">
        <f>45300.5758277013</f>
        <v>45300.575827701301</v>
      </c>
      <c r="G877" s="101">
        <v>16742.80354419534</v>
      </c>
      <c r="H877" s="101">
        <v>4922.4044857456038</v>
      </c>
      <c r="I877" s="317">
        <v>476</v>
      </c>
      <c r="J877" s="101">
        <v>321.46156402284498</v>
      </c>
      <c r="K877" s="101">
        <v>0</v>
      </c>
      <c r="L877" s="314">
        <f t="shared" ref="L877:L878" si="354">5377.62313590259-196</f>
        <v>5181.6231359025896</v>
      </c>
      <c r="M877" s="101">
        <v>407.88611821745286</v>
      </c>
      <c r="N877" s="314">
        <f t="shared" ref="N877:N878" si="355">3942.0464-280</f>
        <v>3662.0464000000002</v>
      </c>
      <c r="O877" s="101">
        <v>9204.1902613509683</v>
      </c>
      <c r="P877" s="101">
        <v>3150.8224813905158</v>
      </c>
      <c r="Q877" s="101">
        <v>1222.9877749396533</v>
      </c>
      <c r="R877" s="101">
        <v>6.0195965800630438</v>
      </c>
      <c r="S877" s="101">
        <v>2.2966437713164586E-2</v>
      </c>
      <c r="T877" s="101">
        <v>2.3074985953106588</v>
      </c>
      <c r="U877" s="101"/>
      <c r="V877" s="101">
        <f>45300.5758277013</f>
        <v>45300.575827701301</v>
      </c>
      <c r="W877" s="98" t="str">
        <f t="shared" si="353"/>
        <v>ok</v>
      </c>
      <c r="X877" s="102" t="str">
        <f>IF(W877="err",V877-F877,"")</f>
        <v/>
      </c>
    </row>
    <row r="878" spans="1:24" ht="12" customHeight="1" x14ac:dyDescent="0.25">
      <c r="A878" s="97" t="s">
        <v>1213</v>
      </c>
      <c r="D878" s="97" t="s">
        <v>1214</v>
      </c>
      <c r="F878" s="101">
        <f>45300.5758277013</f>
        <v>45300.575827701301</v>
      </c>
      <c r="G878" s="101">
        <v>16742.80354419534</v>
      </c>
      <c r="H878" s="101">
        <v>4922.4044857456038</v>
      </c>
      <c r="I878" s="317">
        <v>476</v>
      </c>
      <c r="J878" s="101">
        <v>321.46156402284498</v>
      </c>
      <c r="K878" s="101">
        <v>0</v>
      </c>
      <c r="L878" s="314">
        <f t="shared" si="354"/>
        <v>5181.6231359025896</v>
      </c>
      <c r="M878" s="101">
        <v>407.88611821745286</v>
      </c>
      <c r="N878" s="314">
        <f t="shared" si="355"/>
        <v>3662.0464000000002</v>
      </c>
      <c r="O878" s="101">
        <v>9204.1902613509683</v>
      </c>
      <c r="P878" s="101">
        <v>3150.8224813905158</v>
      </c>
      <c r="Q878" s="101">
        <v>1222.9877749396533</v>
      </c>
      <c r="R878" s="101">
        <v>6.0195965800630438</v>
      </c>
      <c r="S878" s="101">
        <v>2.2966437713164586E-2</v>
      </c>
      <c r="T878" s="101">
        <v>2.3074985953106588</v>
      </c>
      <c r="U878" s="101"/>
      <c r="V878" s="101">
        <f>45300.5758277013</f>
        <v>45300.575827701301</v>
      </c>
      <c r="W878" s="98" t="str">
        <f>IF(ABS(F878-V878)=0,"ok","err")</f>
        <v>ok</v>
      </c>
      <c r="X878" s="240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0"/>
    </row>
    <row r="880" spans="1:24" ht="12" customHeight="1" x14ac:dyDescent="0.25">
      <c r="A880" s="92" t="s">
        <v>816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853</v>
      </c>
      <c r="D881" s="97" t="s">
        <v>53</v>
      </c>
      <c r="F881" s="101">
        <f>F877</f>
        <v>45300.575827701301</v>
      </c>
      <c r="G881" s="101">
        <f>G877</f>
        <v>16742.80354419534</v>
      </c>
      <c r="H881" s="101">
        <f t="shared" ref="H881:T881" si="356">H877</f>
        <v>4922.4044857456038</v>
      </c>
      <c r="I881" s="101">
        <f t="shared" si="356"/>
        <v>476</v>
      </c>
      <c r="J881" s="101">
        <f>J877</f>
        <v>321.46156402284498</v>
      </c>
      <c r="K881" s="101">
        <f>K877</f>
        <v>0</v>
      </c>
      <c r="L881" s="101">
        <f t="shared" si="356"/>
        <v>5181.6231359025896</v>
      </c>
      <c r="M881" s="101">
        <f t="shared" si="356"/>
        <v>407.88611821745286</v>
      </c>
      <c r="N881" s="101">
        <f t="shared" si="356"/>
        <v>3662.0464000000002</v>
      </c>
      <c r="O881" s="101">
        <f>O877</f>
        <v>9204.1902613509683</v>
      </c>
      <c r="P881" s="101">
        <f>P877</f>
        <v>3150.8224813905158</v>
      </c>
      <c r="Q881" s="101">
        <f t="shared" si="356"/>
        <v>1222.9877749396533</v>
      </c>
      <c r="R881" s="101">
        <f t="shared" si="356"/>
        <v>6.0195965800630438</v>
      </c>
      <c r="S881" s="101">
        <f t="shared" si="356"/>
        <v>2.2966437713164586E-2</v>
      </c>
      <c r="T881" s="101">
        <f t="shared" si="356"/>
        <v>2.3074985953106588</v>
      </c>
      <c r="U881" s="101"/>
      <c r="V881" s="101">
        <f>SUM(G881:T881)</f>
        <v>45300.575827378052</v>
      </c>
      <c r="W881" s="98" t="str">
        <f t="shared" ref="W881:W886" si="357">IF(ABS(F881-V881)&lt;0.01,"ok","err")</f>
        <v>ok</v>
      </c>
      <c r="X881" s="102" t="str">
        <f t="shared" ref="X881:X886" si="358">IF(W881="err",V881-F881,"")</f>
        <v/>
      </c>
    </row>
    <row r="882" spans="1:24" ht="12" customHeight="1" x14ac:dyDescent="0.25">
      <c r="A882" s="97" t="s">
        <v>854</v>
      </c>
      <c r="F882" s="102">
        <f t="shared" ref="F882:T882" si="359">F181</f>
        <v>35951279.322969064</v>
      </c>
      <c r="G882" s="102">
        <f t="shared" si="359"/>
        <v>13287363.25905345</v>
      </c>
      <c r="H882" s="102">
        <f t="shared" si="359"/>
        <v>3906500.8639351763</v>
      </c>
      <c r="I882" s="102">
        <f t="shared" si="359"/>
        <v>377761.40027051908</v>
      </c>
      <c r="J882" s="102">
        <f t="shared" si="359"/>
        <v>255117.16503869969</v>
      </c>
      <c r="K882" s="102">
        <f t="shared" si="359"/>
        <v>0</v>
      </c>
      <c r="L882" s="102">
        <f t="shared" si="359"/>
        <v>4112221.0325476485</v>
      </c>
      <c r="M882" s="102">
        <f t="shared" si="359"/>
        <v>323705.10749733506</v>
      </c>
      <c r="N882" s="102">
        <f t="shared" si="359"/>
        <v>2906260.0334445667</v>
      </c>
      <c r="O882" s="102">
        <f t="shared" si="359"/>
        <v>7304596.2216054983</v>
      </c>
      <c r="P882" s="102">
        <f t="shared" si="359"/>
        <v>2500544.3541468759</v>
      </c>
      <c r="Q882" s="102">
        <f t="shared" si="359"/>
        <v>970583.13944313012</v>
      </c>
      <c r="R882" s="102">
        <f t="shared" si="359"/>
        <v>4777.2504898072348</v>
      </c>
      <c r="S882" s="102">
        <f t="shared" si="359"/>
        <v>18.226541323005698</v>
      </c>
      <c r="T882" s="102">
        <f t="shared" si="359"/>
        <v>1831.2686985017026</v>
      </c>
      <c r="U882" s="102"/>
      <c r="V882" s="102">
        <f>F882</f>
        <v>35951279.322969064</v>
      </c>
      <c r="W882" s="98" t="str">
        <f t="shared" si="357"/>
        <v>ok</v>
      </c>
      <c r="X882" s="102" t="str">
        <f t="shared" si="358"/>
        <v/>
      </c>
    </row>
    <row r="883" spans="1:24" ht="12" customHeight="1" x14ac:dyDescent="0.25">
      <c r="A883" s="97" t="s">
        <v>881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7"/>
        <v>ok</v>
      </c>
      <c r="X883" s="102" t="str">
        <f t="shared" si="358"/>
        <v/>
      </c>
    </row>
    <row r="884" spans="1:24" ht="12" customHeight="1" x14ac:dyDescent="0.25">
      <c r="A884" s="97" t="s">
        <v>1215</v>
      </c>
      <c r="E884" s="97" t="s">
        <v>53</v>
      </c>
      <c r="F884" s="102">
        <f>F882-F883</f>
        <v>35951279.322969064</v>
      </c>
      <c r="G884" s="100">
        <f t="shared" ref="G884:T884" si="360">IF(VLOOKUP($E884,$D$5:$AJ$946,3,)=0,0,(VLOOKUP($E884,$D$5:$AJ$946,G$1,)/VLOOKUP($E884,$D$5:$AJ$946,3,))*$F884)</f>
        <v>13287363.25905345</v>
      </c>
      <c r="H884" s="100">
        <f t="shared" si="360"/>
        <v>3906500.8639351763</v>
      </c>
      <c r="I884" s="100">
        <f t="shared" si="360"/>
        <v>377761.40027051908</v>
      </c>
      <c r="J884" s="100">
        <f t="shared" si="360"/>
        <v>255117.16503869969</v>
      </c>
      <c r="K884" s="100">
        <f t="shared" si="360"/>
        <v>0</v>
      </c>
      <c r="L884" s="100">
        <f t="shared" si="360"/>
        <v>4112221.0325476485</v>
      </c>
      <c r="M884" s="100">
        <f t="shared" si="360"/>
        <v>323705.10749733506</v>
      </c>
      <c r="N884" s="100">
        <f t="shared" si="360"/>
        <v>2906260.0334445667</v>
      </c>
      <c r="O884" s="100">
        <f t="shared" si="360"/>
        <v>7304596.2216054983</v>
      </c>
      <c r="P884" s="100">
        <f t="shared" si="360"/>
        <v>2500544.3541468759</v>
      </c>
      <c r="Q884" s="100">
        <f t="shared" si="360"/>
        <v>970583.13944313012</v>
      </c>
      <c r="R884" s="100">
        <f t="shared" si="360"/>
        <v>4777.2504898072348</v>
      </c>
      <c r="S884" s="100">
        <f t="shared" si="360"/>
        <v>18.226541323005698</v>
      </c>
      <c r="T884" s="100">
        <f t="shared" si="360"/>
        <v>1831.2686985017026</v>
      </c>
      <c r="U884" s="100"/>
      <c r="V884" s="102">
        <f>SUM(G884:T884)</f>
        <v>35951279.322712533</v>
      </c>
      <c r="W884" s="98" t="str">
        <f t="shared" si="357"/>
        <v>ok</v>
      </c>
      <c r="X884" s="102" t="str">
        <f t="shared" si="358"/>
        <v/>
      </c>
    </row>
    <row r="885" spans="1:24" ht="12" customHeight="1" x14ac:dyDescent="0.25">
      <c r="A885" s="97" t="s">
        <v>1216</v>
      </c>
      <c r="D885" s="97" t="s">
        <v>54</v>
      </c>
      <c r="F885" s="102">
        <f t="shared" ref="F885:T885" si="361">F883+F884</f>
        <v>35951279.322969064</v>
      </c>
      <c r="G885" s="102">
        <f t="shared" si="361"/>
        <v>13287363.25905345</v>
      </c>
      <c r="H885" s="102">
        <f t="shared" si="361"/>
        <v>3906500.8639351763</v>
      </c>
      <c r="I885" s="102">
        <f>I883+I884</f>
        <v>377761.40027051908</v>
      </c>
      <c r="J885" s="102">
        <f>J883+J884</f>
        <v>255117.16503869969</v>
      </c>
      <c r="K885" s="102">
        <f>K883+K884</f>
        <v>0</v>
      </c>
      <c r="L885" s="102">
        <f t="shared" si="361"/>
        <v>4112221.0325476485</v>
      </c>
      <c r="M885" s="102">
        <f t="shared" si="361"/>
        <v>323705.10749733506</v>
      </c>
      <c r="N885" s="102">
        <f t="shared" si="361"/>
        <v>2906260.0334445667</v>
      </c>
      <c r="O885" s="102">
        <f t="shared" si="361"/>
        <v>7304596.2216054983</v>
      </c>
      <c r="P885" s="102">
        <f>P883+P884</f>
        <v>2500544.3541468759</v>
      </c>
      <c r="Q885" s="102">
        <f t="shared" si="361"/>
        <v>970583.13944313012</v>
      </c>
      <c r="R885" s="102">
        <f t="shared" si="361"/>
        <v>4777.2504898072348</v>
      </c>
      <c r="S885" s="102">
        <f t="shared" si="361"/>
        <v>18.226541323005698</v>
      </c>
      <c r="T885" s="102">
        <f t="shared" si="361"/>
        <v>1831.2686985017026</v>
      </c>
      <c r="U885" s="102"/>
      <c r="V885" s="102">
        <f>SUM(G885:T885)</f>
        <v>35951279.322712533</v>
      </c>
      <c r="W885" s="98" t="str">
        <f t="shared" si="357"/>
        <v>ok</v>
      </c>
      <c r="X885" s="102" t="str">
        <f t="shared" si="358"/>
        <v/>
      </c>
    </row>
    <row r="886" spans="1:24" ht="12" customHeight="1" x14ac:dyDescent="0.25">
      <c r="A886" s="97" t="s">
        <v>1217</v>
      </c>
      <c r="D886" s="97" t="s">
        <v>55</v>
      </c>
      <c r="E886" s="97" t="s">
        <v>54</v>
      </c>
      <c r="F886" s="118">
        <v>1</v>
      </c>
      <c r="G886" s="117">
        <f t="shared" ref="G886:T886" si="362">IF(VLOOKUP($E886,$D$5:$AJ$946,3,)=0,0,(VLOOKUP($E886,$D$5:$AJ$946,G$1,)/VLOOKUP($E886,$D$5:$AJ$946,3,))*$F886)</f>
        <v>0.36959361417117165</v>
      </c>
      <c r="H886" s="117">
        <f t="shared" si="362"/>
        <v>0.10866096944259047</v>
      </c>
      <c r="I886" s="117">
        <f t="shared" si="362"/>
        <v>1.0507592702804585E-2</v>
      </c>
      <c r="J886" s="117">
        <f t="shared" si="362"/>
        <v>7.0961915637785611E-3</v>
      </c>
      <c r="K886" s="117">
        <f t="shared" si="362"/>
        <v>0</v>
      </c>
      <c r="L886" s="117">
        <f t="shared" si="362"/>
        <v>0.11438316271322156</v>
      </c>
      <c r="M886" s="117">
        <f t="shared" si="362"/>
        <v>9.00399411629621E-3</v>
      </c>
      <c r="N886" s="117">
        <f t="shared" si="362"/>
        <v>8.0838848802461782E-2</v>
      </c>
      <c r="O886" s="117">
        <f t="shared" si="362"/>
        <v>0.20318042526343796</v>
      </c>
      <c r="P886" s="117">
        <f t="shared" si="362"/>
        <v>6.955369603632694E-2</v>
      </c>
      <c r="Q886" s="117">
        <f t="shared" si="362"/>
        <v>2.6997179452888903E-2</v>
      </c>
      <c r="R886" s="117">
        <f t="shared" si="362"/>
        <v>1.328812376018863E-4</v>
      </c>
      <c r="S886" s="117">
        <f t="shared" si="362"/>
        <v>5.0697893555517695E-7</v>
      </c>
      <c r="T886" s="117">
        <f t="shared" si="362"/>
        <v>5.0937511348357378E-5</v>
      </c>
      <c r="U886" s="117"/>
      <c r="V886" s="117">
        <f>SUM(G886:T886)</f>
        <v>0.99999999999286449</v>
      </c>
      <c r="W886" s="98" t="str">
        <f t="shared" si="357"/>
        <v>ok</v>
      </c>
      <c r="X886" s="102" t="str">
        <f t="shared" si="358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1218</v>
      </c>
      <c r="D888" s="97" t="s">
        <v>56</v>
      </c>
      <c r="F888" s="101">
        <f>F876</f>
        <v>45300.575827701301</v>
      </c>
      <c r="G888" s="101">
        <f t="shared" ref="G888:T888" si="363">G876</f>
        <v>16742.80354419534</v>
      </c>
      <c r="H888" s="101">
        <f t="shared" si="363"/>
        <v>4922.4044857456038</v>
      </c>
      <c r="I888" s="101">
        <f t="shared" si="363"/>
        <v>476</v>
      </c>
      <c r="J888" s="101">
        <f>J876</f>
        <v>321.46156402284498</v>
      </c>
      <c r="K888" s="101">
        <f>K876</f>
        <v>0</v>
      </c>
      <c r="L888" s="101">
        <f t="shared" si="363"/>
        <v>5181.6231359025896</v>
      </c>
      <c r="M888" s="101">
        <f t="shared" si="363"/>
        <v>407.88611821745286</v>
      </c>
      <c r="N888" s="101">
        <f t="shared" si="363"/>
        <v>3662.0464000000002</v>
      </c>
      <c r="O888" s="101">
        <f>O876</f>
        <v>9204.1902613509683</v>
      </c>
      <c r="P888" s="101">
        <f>P876</f>
        <v>3150.8224813905158</v>
      </c>
      <c r="Q888" s="101">
        <f t="shared" si="363"/>
        <v>1222.9877749396533</v>
      </c>
      <c r="R888" s="101">
        <f t="shared" si="363"/>
        <v>6.0195965800630438</v>
      </c>
      <c r="S888" s="101">
        <f t="shared" si="363"/>
        <v>2.2966437713164586E-2</v>
      </c>
      <c r="T888" s="101">
        <f t="shared" si="363"/>
        <v>2.3074985953106588</v>
      </c>
      <c r="U888" s="101"/>
      <c r="V888" s="101">
        <f>SUM(G888:T888)</f>
        <v>45300.575827378052</v>
      </c>
      <c r="W888" s="98" t="str">
        <f t="shared" ref="W888:W900" si="364">IF(ABS(F888-V888)&lt;0.01,"ok","err")</f>
        <v>ok</v>
      </c>
      <c r="X888" s="102" t="str">
        <f t="shared" ref="X888:X893" si="365">IF(W888="err",V888-F888,"")</f>
        <v/>
      </c>
    </row>
    <row r="889" spans="1:24" ht="12" customHeight="1" x14ac:dyDescent="0.25">
      <c r="A889" s="97" t="s">
        <v>1219</v>
      </c>
      <c r="F889" s="102">
        <f t="shared" ref="F889:T889" si="366">F182</f>
        <v>35933655.745627098</v>
      </c>
      <c r="G889" s="102">
        <f t="shared" si="366"/>
        <v>13280849.697409008</v>
      </c>
      <c r="H889" s="102">
        <f t="shared" si="366"/>
        <v>3904585.8689361517</v>
      </c>
      <c r="I889" s="102">
        <f t="shared" si="366"/>
        <v>377576.21889784333</v>
      </c>
      <c r="J889" s="102">
        <f t="shared" si="366"/>
        <v>254992.10475784203</v>
      </c>
      <c r="K889" s="102">
        <f t="shared" si="366"/>
        <v>0</v>
      </c>
      <c r="L889" s="102">
        <f t="shared" si="366"/>
        <v>4110205.1920329533</v>
      </c>
      <c r="M889" s="102">
        <f t="shared" si="366"/>
        <v>323546.42491063988</v>
      </c>
      <c r="N889" s="102">
        <f t="shared" si="366"/>
        <v>2904835.3637404609</v>
      </c>
      <c r="O889" s="102">
        <f t="shared" si="366"/>
        <v>7301015.4556664946</v>
      </c>
      <c r="P889" s="102">
        <f t="shared" si="366"/>
        <v>2499318.56920536</v>
      </c>
      <c r="Q889" s="102">
        <f t="shared" si="366"/>
        <v>970107.35256302718</v>
      </c>
      <c r="R889" s="102">
        <f t="shared" si="366"/>
        <v>4774.9086470390612</v>
      </c>
      <c r="S889" s="102">
        <f t="shared" si="366"/>
        <v>18.217606540524194</v>
      </c>
      <c r="T889" s="102">
        <f t="shared" si="366"/>
        <v>1830.3709973308476</v>
      </c>
      <c r="V889" s="102">
        <f>F889</f>
        <v>35933655.745627098</v>
      </c>
      <c r="W889" s="98" t="str">
        <f t="shared" si="364"/>
        <v>ok</v>
      </c>
      <c r="X889" s="102" t="str">
        <f t="shared" si="365"/>
        <v/>
      </c>
    </row>
    <row r="890" spans="1:24" ht="12" customHeight="1" x14ac:dyDescent="0.25">
      <c r="A890" s="97" t="s">
        <v>881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4"/>
        <v>ok</v>
      </c>
      <c r="X890" s="102" t="str">
        <f t="shared" si="365"/>
        <v/>
      </c>
    </row>
    <row r="891" spans="1:24" ht="12" customHeight="1" x14ac:dyDescent="0.25">
      <c r="A891" s="97" t="s">
        <v>1220</v>
      </c>
      <c r="E891" s="97" t="s">
        <v>56</v>
      </c>
      <c r="F891" s="102">
        <f>F889-F890</f>
        <v>35933655.745627098</v>
      </c>
      <c r="G891" s="101">
        <f t="shared" ref="G891:T891" si="367">IF(VLOOKUP($E891,$D$5:$AJ$946,3,)=0,0,(VLOOKUP($E891,$D$5:$AJ$946,G$1,)/VLOOKUP($E891,$D$5:$AJ$946,3,))*$F891)</f>
        <v>13280849.697409008</v>
      </c>
      <c r="H891" s="101">
        <f t="shared" si="367"/>
        <v>3904585.8689361517</v>
      </c>
      <c r="I891" s="101">
        <f t="shared" si="367"/>
        <v>377576.21889784333</v>
      </c>
      <c r="J891" s="101">
        <f t="shared" si="367"/>
        <v>254992.10475784203</v>
      </c>
      <c r="K891" s="101">
        <f t="shared" si="367"/>
        <v>0</v>
      </c>
      <c r="L891" s="101">
        <f t="shared" si="367"/>
        <v>4110205.1920329533</v>
      </c>
      <c r="M891" s="101">
        <f t="shared" si="367"/>
        <v>323546.42491063988</v>
      </c>
      <c r="N891" s="101">
        <f t="shared" si="367"/>
        <v>2904835.3637404609</v>
      </c>
      <c r="O891" s="101">
        <f t="shared" si="367"/>
        <v>7301015.4556664946</v>
      </c>
      <c r="P891" s="101">
        <f t="shared" si="367"/>
        <v>2499318.56920536</v>
      </c>
      <c r="Q891" s="101">
        <f t="shared" si="367"/>
        <v>970107.35256302718</v>
      </c>
      <c r="R891" s="101">
        <f t="shared" si="367"/>
        <v>4774.9086470390612</v>
      </c>
      <c r="S891" s="101">
        <f t="shared" si="367"/>
        <v>18.217606540524194</v>
      </c>
      <c r="T891" s="101">
        <f t="shared" si="367"/>
        <v>1830.3709973308476</v>
      </c>
      <c r="U891" s="100"/>
      <c r="V891" s="102">
        <f>SUM(G891:T891)</f>
        <v>35933655.745370679</v>
      </c>
      <c r="W891" s="98" t="str">
        <f t="shared" si="364"/>
        <v>ok</v>
      </c>
      <c r="X891" s="102" t="str">
        <f t="shared" si="365"/>
        <v/>
      </c>
    </row>
    <row r="892" spans="1:24" ht="12" customHeight="1" x14ac:dyDescent="0.25">
      <c r="A892" s="97" t="s">
        <v>1221</v>
      </c>
      <c r="D892" s="97" t="s">
        <v>57</v>
      </c>
      <c r="F892" s="102">
        <f t="shared" ref="F892:T892" si="368">F890+F891</f>
        <v>35933655.745627098</v>
      </c>
      <c r="G892" s="102">
        <f t="shared" si="368"/>
        <v>13280849.697409008</v>
      </c>
      <c r="H892" s="102">
        <f t="shared" si="368"/>
        <v>3904585.8689361517</v>
      </c>
      <c r="I892" s="102">
        <f>I890+I891</f>
        <v>377576.21889784333</v>
      </c>
      <c r="J892" s="102">
        <f>J890+J891</f>
        <v>254992.10475784203</v>
      </c>
      <c r="K892" s="102">
        <f>K890+K891</f>
        <v>0</v>
      </c>
      <c r="L892" s="102">
        <f t="shared" si="368"/>
        <v>4110205.1920329533</v>
      </c>
      <c r="M892" s="102">
        <f t="shared" si="368"/>
        <v>323546.42491063988</v>
      </c>
      <c r="N892" s="102">
        <f t="shared" si="368"/>
        <v>2904835.3637404609</v>
      </c>
      <c r="O892" s="102">
        <f t="shared" si="368"/>
        <v>7301015.4556664946</v>
      </c>
      <c r="P892" s="102">
        <f>P890+P891</f>
        <v>2499318.56920536</v>
      </c>
      <c r="Q892" s="102">
        <f t="shared" si="368"/>
        <v>970107.35256302718</v>
      </c>
      <c r="R892" s="102">
        <f t="shared" si="368"/>
        <v>4774.9086470390612</v>
      </c>
      <c r="S892" s="102">
        <f t="shared" si="368"/>
        <v>18.217606540524194</v>
      </c>
      <c r="T892" s="102">
        <f t="shared" si="368"/>
        <v>1830.3709973308476</v>
      </c>
      <c r="U892" s="102"/>
      <c r="V892" s="102">
        <f>SUM(G892:T892)</f>
        <v>35933655.745370679</v>
      </c>
      <c r="W892" s="98" t="str">
        <f t="shared" si="364"/>
        <v>ok</v>
      </c>
      <c r="X892" s="102" t="str">
        <f t="shared" si="365"/>
        <v/>
      </c>
    </row>
    <row r="893" spans="1:24" ht="12" customHeight="1" x14ac:dyDescent="0.25">
      <c r="A893" s="97" t="s">
        <v>815</v>
      </c>
      <c r="D893" s="97" t="s">
        <v>58</v>
      </c>
      <c r="E893" s="97" t="s">
        <v>57</v>
      </c>
      <c r="F893" s="118">
        <v>1</v>
      </c>
      <c r="G893" s="117">
        <f t="shared" ref="G893:T893" si="369">IF(VLOOKUP($E893,$D$5:$AJ$946,3,)=0,0,(VLOOKUP($E893,$D$5:$AJ$946,G$1,)/VLOOKUP($E893,$D$5:$AJ$946,3,))*$F893)</f>
        <v>0.36959361417117165</v>
      </c>
      <c r="H893" s="117">
        <f t="shared" si="369"/>
        <v>0.10866096944259047</v>
      </c>
      <c r="I893" s="117">
        <f t="shared" si="369"/>
        <v>1.0507592702804585E-2</v>
      </c>
      <c r="J893" s="117">
        <f t="shared" si="369"/>
        <v>7.0961915637785611E-3</v>
      </c>
      <c r="K893" s="117">
        <f t="shared" si="369"/>
        <v>0</v>
      </c>
      <c r="L893" s="117">
        <f t="shared" si="369"/>
        <v>0.11438316271322156</v>
      </c>
      <c r="M893" s="117">
        <f t="shared" si="369"/>
        <v>9.00399411629621E-3</v>
      </c>
      <c r="N893" s="117">
        <f t="shared" si="369"/>
        <v>8.0838848802461782E-2</v>
      </c>
      <c r="O893" s="117">
        <f t="shared" si="369"/>
        <v>0.20318042526343796</v>
      </c>
      <c r="P893" s="117">
        <f t="shared" si="369"/>
        <v>6.955369603632694E-2</v>
      </c>
      <c r="Q893" s="117">
        <f t="shared" si="369"/>
        <v>2.6997179452888903E-2</v>
      </c>
      <c r="R893" s="117">
        <f t="shared" si="369"/>
        <v>1.328812376018863E-4</v>
      </c>
      <c r="S893" s="117">
        <f t="shared" si="369"/>
        <v>5.0697893555517695E-7</v>
      </c>
      <c r="T893" s="117">
        <f t="shared" si="369"/>
        <v>5.0937511348357378E-5</v>
      </c>
      <c r="U893" s="117"/>
      <c r="V893" s="117">
        <f>SUM(G893:T893)</f>
        <v>0.99999999999286449</v>
      </c>
      <c r="W893" s="98" t="str">
        <f t="shared" si="364"/>
        <v>ok</v>
      </c>
      <c r="X893" s="102" t="str">
        <f t="shared" si="365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2206</v>
      </c>
      <c r="D895" s="97" t="s">
        <v>2207</v>
      </c>
      <c r="F895" s="101">
        <f>F878</f>
        <v>45300.575827701301</v>
      </c>
      <c r="G895" s="101">
        <f t="shared" ref="G895:T895" si="370">G878</f>
        <v>16742.80354419534</v>
      </c>
      <c r="H895" s="101">
        <f t="shared" si="370"/>
        <v>4922.4044857456038</v>
      </c>
      <c r="I895" s="101">
        <f t="shared" si="370"/>
        <v>476</v>
      </c>
      <c r="J895" s="101">
        <f t="shared" si="370"/>
        <v>321.46156402284498</v>
      </c>
      <c r="K895" s="101">
        <f>K878</f>
        <v>0</v>
      </c>
      <c r="L895" s="101">
        <f t="shared" si="370"/>
        <v>5181.6231359025896</v>
      </c>
      <c r="M895" s="101">
        <f t="shared" si="370"/>
        <v>407.88611821745286</v>
      </c>
      <c r="N895" s="101">
        <f t="shared" si="370"/>
        <v>3662.0464000000002</v>
      </c>
      <c r="O895" s="101">
        <f t="shared" si="370"/>
        <v>9204.1902613509683</v>
      </c>
      <c r="P895" s="101">
        <f t="shared" si="370"/>
        <v>3150.8224813905158</v>
      </c>
      <c r="Q895" s="101">
        <f t="shared" si="370"/>
        <v>1222.9877749396533</v>
      </c>
      <c r="R895" s="101">
        <f t="shared" si="370"/>
        <v>6.0195965800630438</v>
      </c>
      <c r="S895" s="101">
        <f t="shared" si="370"/>
        <v>2.2966437713164586E-2</v>
      </c>
      <c r="T895" s="101">
        <f t="shared" si="370"/>
        <v>2.3074985953106588</v>
      </c>
      <c r="U895" s="101">
        <f>U876</f>
        <v>0</v>
      </c>
      <c r="V895" s="101">
        <f>V878</f>
        <v>45300.575827701301</v>
      </c>
      <c r="W895" s="98" t="str">
        <f t="shared" si="364"/>
        <v>ok</v>
      </c>
      <c r="X895" s="102"/>
    </row>
    <row r="896" spans="1:24" ht="12" customHeight="1" x14ac:dyDescent="0.25">
      <c r="A896" s="97" t="s">
        <v>2208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4"/>
        <v>ok</v>
      </c>
      <c r="X896" s="102"/>
    </row>
    <row r="897" spans="1:36" ht="12" customHeight="1" x14ac:dyDescent="0.25">
      <c r="A897" s="97" t="s">
        <v>881</v>
      </c>
      <c r="F897" s="102">
        <v>0</v>
      </c>
      <c r="H897" s="101"/>
      <c r="I897" s="101"/>
      <c r="L897" s="101"/>
      <c r="M897" s="101"/>
      <c r="N897" s="105"/>
      <c r="O897" s="101"/>
      <c r="P897" s="101"/>
      <c r="Q897" s="101"/>
      <c r="R897" s="101"/>
      <c r="V897" s="102">
        <f>F897</f>
        <v>0</v>
      </c>
      <c r="W897" s="98" t="str">
        <f t="shared" si="364"/>
        <v>ok</v>
      </c>
      <c r="X897" s="102"/>
    </row>
    <row r="898" spans="1:36" ht="12" customHeight="1" x14ac:dyDescent="0.25">
      <c r="A898" s="97" t="s">
        <v>2209</v>
      </c>
      <c r="E898" s="97" t="s">
        <v>2207</v>
      </c>
      <c r="F898" s="102">
        <f>F896-F897</f>
        <v>37625250.163491994</v>
      </c>
      <c r="G898" s="101">
        <v>13906052.192019485</v>
      </c>
      <c r="H898" s="101">
        <v>4088396.1582850288</v>
      </c>
      <c r="I898" s="314">
        <f>I893*F898</f>
        <v>395350.80405910552</v>
      </c>
      <c r="J898" s="101">
        <v>266995.98279523005</v>
      </c>
      <c r="K898" s="101">
        <v>0</v>
      </c>
      <c r="L898" s="101">
        <v>4466486.6191301271</v>
      </c>
      <c r="M898" s="101">
        <v>338777.53109625523</v>
      </c>
      <c r="N898" s="101">
        <v>3274141.2058951394</v>
      </c>
      <c r="O898" s="101">
        <v>7644714.3288615486</v>
      </c>
      <c r="P898" s="101">
        <v>2616975.2131622848</v>
      </c>
      <c r="Q898" s="101">
        <v>1015775.6306236316</v>
      </c>
      <c r="R898" s="101">
        <v>4999.6898068053952</v>
      </c>
      <c r="S898" s="101">
        <v>19.075209277884436</v>
      </c>
      <c r="T898" s="101">
        <v>1916.5366071876604</v>
      </c>
      <c r="U898" s="100"/>
      <c r="V898" s="102">
        <v>37625250.163492002</v>
      </c>
      <c r="W898" s="98" t="s">
        <v>581</v>
      </c>
      <c r="X898" s="102" t="s">
        <v>2379</v>
      </c>
    </row>
    <row r="899" spans="1:36" ht="12" customHeight="1" x14ac:dyDescent="0.25">
      <c r="A899" s="97" t="s">
        <v>2210</v>
      </c>
      <c r="D899" s="97" t="s">
        <v>2211</v>
      </c>
      <c r="F899" s="102">
        <f t="shared" ref="F899:T899" si="371">F897+F898</f>
        <v>37625250.163491994</v>
      </c>
      <c r="G899" s="102">
        <f t="shared" si="371"/>
        <v>13906052.192019485</v>
      </c>
      <c r="H899" s="102">
        <f t="shared" si="371"/>
        <v>4088396.1582850288</v>
      </c>
      <c r="I899" s="102">
        <f>I897+I898</f>
        <v>395350.80405910552</v>
      </c>
      <c r="J899" s="102">
        <f t="shared" si="371"/>
        <v>266995.98279523005</v>
      </c>
      <c r="K899" s="102">
        <f>K897+K898</f>
        <v>0</v>
      </c>
      <c r="L899" s="102">
        <f t="shared" si="371"/>
        <v>4466486.6191301271</v>
      </c>
      <c r="M899" s="102">
        <f t="shared" si="371"/>
        <v>338777.53109625523</v>
      </c>
      <c r="N899" s="102">
        <f t="shared" si="371"/>
        <v>3274141.2058951394</v>
      </c>
      <c r="O899" s="102">
        <f t="shared" si="371"/>
        <v>7644714.3288615486</v>
      </c>
      <c r="P899" s="102">
        <f t="shared" si="371"/>
        <v>2616975.2131622848</v>
      </c>
      <c r="Q899" s="102">
        <f>Q897+Q898</f>
        <v>1015775.6306236316</v>
      </c>
      <c r="R899" s="102">
        <f t="shared" si="371"/>
        <v>4999.6898068053952</v>
      </c>
      <c r="S899" s="102">
        <f t="shared" si="371"/>
        <v>19.075209277884436</v>
      </c>
      <c r="T899" s="102">
        <f t="shared" si="371"/>
        <v>1916.5366071876604</v>
      </c>
      <c r="U899" s="102"/>
      <c r="V899" s="102">
        <f>SUM(G899:T899)</f>
        <v>38020600.967551112</v>
      </c>
      <c r="W899" s="98" t="str">
        <f t="shared" si="364"/>
        <v>err</v>
      </c>
      <c r="X899" s="102"/>
    </row>
    <row r="900" spans="1:36" s="328" customFormat="1" ht="12" customHeight="1" x14ac:dyDescent="0.25">
      <c r="A900" s="328" t="s">
        <v>2212</v>
      </c>
      <c r="D900" s="328" t="s">
        <v>2213</v>
      </c>
      <c r="E900" s="328" t="s">
        <v>2211</v>
      </c>
      <c r="F900" s="329">
        <v>1</v>
      </c>
      <c r="G900" s="330">
        <f>G893</f>
        <v>0.36959361417117165</v>
      </c>
      <c r="H900" s="330">
        <f t="shared" ref="H900:T900" si="372">H893</f>
        <v>0.10866096944259047</v>
      </c>
      <c r="I900" s="330">
        <f t="shared" si="372"/>
        <v>1.0507592702804585E-2</v>
      </c>
      <c r="J900" s="330">
        <f t="shared" si="372"/>
        <v>7.0961915637785611E-3</v>
      </c>
      <c r="K900" s="330">
        <f t="shared" si="372"/>
        <v>0</v>
      </c>
      <c r="L900" s="330">
        <f t="shared" si="372"/>
        <v>0.11438316271322156</v>
      </c>
      <c r="M900" s="330">
        <f t="shared" si="372"/>
        <v>9.00399411629621E-3</v>
      </c>
      <c r="N900" s="330">
        <f t="shared" si="372"/>
        <v>8.0838848802461782E-2</v>
      </c>
      <c r="O900" s="330">
        <f t="shared" si="372"/>
        <v>0.20318042526343796</v>
      </c>
      <c r="P900" s="330">
        <f t="shared" si="372"/>
        <v>6.955369603632694E-2</v>
      </c>
      <c r="Q900" s="330">
        <f t="shared" si="372"/>
        <v>2.6997179452888903E-2</v>
      </c>
      <c r="R900" s="330">
        <f t="shared" si="372"/>
        <v>1.328812376018863E-4</v>
      </c>
      <c r="S900" s="330">
        <f t="shared" si="372"/>
        <v>5.0697893555517695E-7</v>
      </c>
      <c r="T900" s="330">
        <f t="shared" si="372"/>
        <v>5.0937511348357378E-5</v>
      </c>
      <c r="U900" s="330"/>
      <c r="V900" s="330">
        <f>SUM(G900:T900)</f>
        <v>0.99999999999286449</v>
      </c>
      <c r="W900" s="331" t="str">
        <f t="shared" si="364"/>
        <v>ok</v>
      </c>
      <c r="X900" s="332"/>
      <c r="Y900" s="328" t="s">
        <v>2383</v>
      </c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941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940</v>
      </c>
      <c r="D903" s="97" t="s">
        <v>2377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314">
        <v>1606957</v>
      </c>
      <c r="J903" s="101">
        <f>895056+1730605</f>
        <v>2625661</v>
      </c>
      <c r="K903" s="101">
        <v>0</v>
      </c>
      <c r="L903" s="314">
        <f>3221732+15733089-940642</f>
        <v>18014179</v>
      </c>
      <c r="M903" s="101">
        <f>278001+1255783</f>
        <v>1533784</v>
      </c>
      <c r="N903" s="314">
        <f>8764109+3108014-666315</f>
        <v>11205808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3">SUM(G903:T903)</f>
        <v>183699328</v>
      </c>
      <c r="W903" s="265" t="str">
        <f t="shared" ref="W903:W912" si="374">IF(ABS(F903-V903)&lt;0.01,"ok","err")</f>
        <v>ok</v>
      </c>
      <c r="X903" s="102" t="str">
        <f t="shared" ref="X903:X912" si="375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2276</v>
      </c>
      <c r="D904" s="97" t="s">
        <v>2277</v>
      </c>
      <c r="F904" s="101">
        <f t="shared" ref="F904:T904" si="376">F717+F718+F720</f>
        <v>0</v>
      </c>
      <c r="G904" s="101">
        <f t="shared" si="376"/>
        <v>0</v>
      </c>
      <c r="H904" s="101">
        <f t="shared" si="376"/>
        <v>0</v>
      </c>
      <c r="I904" s="101">
        <f t="shared" si="376"/>
        <v>0</v>
      </c>
      <c r="J904" s="101">
        <f t="shared" si="376"/>
        <v>0</v>
      </c>
      <c r="K904" s="101">
        <f t="shared" si="376"/>
        <v>0</v>
      </c>
      <c r="L904" s="101">
        <f t="shared" si="376"/>
        <v>0</v>
      </c>
      <c r="M904" s="101">
        <f t="shared" si="376"/>
        <v>0</v>
      </c>
      <c r="N904" s="101">
        <f t="shared" si="376"/>
        <v>0</v>
      </c>
      <c r="O904" s="101">
        <f t="shared" si="376"/>
        <v>0</v>
      </c>
      <c r="P904" s="101">
        <f t="shared" si="376"/>
        <v>0</v>
      </c>
      <c r="Q904" s="101">
        <f t="shared" si="376"/>
        <v>0</v>
      </c>
      <c r="R904" s="101">
        <f t="shared" si="376"/>
        <v>0</v>
      </c>
      <c r="S904" s="101">
        <f t="shared" si="376"/>
        <v>0</v>
      </c>
      <c r="T904" s="101">
        <f t="shared" si="376"/>
        <v>0</v>
      </c>
      <c r="U904" s="101">
        <v>0</v>
      </c>
      <c r="V904" s="101">
        <f t="shared" si="373"/>
        <v>0</v>
      </c>
      <c r="W904" s="265" t="str">
        <f t="shared" si="374"/>
        <v>ok</v>
      </c>
      <c r="X904" s="102" t="str">
        <f t="shared" si="375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579</v>
      </c>
      <c r="D905" s="97" t="s">
        <v>580</v>
      </c>
      <c r="F905" s="101">
        <f t="shared" ref="F905:T905" si="377">F9+F10</f>
        <v>2787666237.791626</v>
      </c>
      <c r="G905" s="101">
        <f t="shared" si="377"/>
        <v>1030303639.9283597</v>
      </c>
      <c r="H905" s="101">
        <f t="shared" si="377"/>
        <v>302910515.880817</v>
      </c>
      <c r="I905" s="101">
        <f t="shared" si="377"/>
        <v>29291661.418073997</v>
      </c>
      <c r="J905" s="101">
        <f t="shared" si="377"/>
        <v>19781813.639247254</v>
      </c>
      <c r="K905" s="101">
        <f t="shared" si="377"/>
        <v>0</v>
      </c>
      <c r="L905" s="101">
        <f t="shared" si="377"/>
        <v>318862080.86747372</v>
      </c>
      <c r="M905" s="101">
        <f t="shared" si="377"/>
        <v>25100130.403273389</v>
      </c>
      <c r="N905" s="101">
        <f t="shared" si="377"/>
        <v>225351729.50856471</v>
      </c>
      <c r="O905" s="101">
        <f t="shared" si="377"/>
        <v>566399211.68703067</v>
      </c>
      <c r="P905" s="101">
        <f t="shared" si="377"/>
        <v>193892490.15408984</v>
      </c>
      <c r="Q905" s="101">
        <f t="shared" si="377"/>
        <v>75259125.676420182</v>
      </c>
      <c r="R905" s="101">
        <f t="shared" si="377"/>
        <v>370428.53969874547</v>
      </c>
      <c r="S905" s="101">
        <f t="shared" si="377"/>
        <v>1413.2880619187031</v>
      </c>
      <c r="T905" s="101">
        <f t="shared" si="377"/>
        <v>141996.78062294365</v>
      </c>
      <c r="U905" s="101"/>
      <c r="V905" s="101">
        <f t="shared" si="373"/>
        <v>2787666237.7717342</v>
      </c>
      <c r="W905" s="265" t="str">
        <f t="shared" si="374"/>
        <v>err</v>
      </c>
      <c r="X905" s="102">
        <f t="shared" si="375"/>
        <v>-1.9891738891601563E-2</v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576</v>
      </c>
      <c r="D906" s="97" t="s">
        <v>1882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3"/>
        <v>0</v>
      </c>
      <c r="W906" s="265" t="str">
        <f t="shared" si="374"/>
        <v>ok</v>
      </c>
      <c r="X906" s="102" t="str">
        <f t="shared" si="375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1883</v>
      </c>
      <c r="D907" s="97" t="s">
        <v>1881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3"/>
        <v>0</v>
      </c>
      <c r="W907" s="265" t="str">
        <f t="shared" si="374"/>
        <v>ok</v>
      </c>
      <c r="X907" s="102" t="str">
        <f t="shared" si="375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582</v>
      </c>
      <c r="F908" s="101">
        <f>'Billing Det'!D40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f>'Billing Det'!D14</f>
        <v>17900822</v>
      </c>
      <c r="J908" s="101">
        <f>'Billing Det'!D16+'Billing Det'!D18</f>
        <v>12037991</v>
      </c>
      <c r="K908" s="101">
        <v>0</v>
      </c>
      <c r="L908" s="101">
        <f>'Billing Det'!D20</f>
        <v>167170493</v>
      </c>
      <c r="M908" s="101">
        <f>'Billing Det'!D22</f>
        <v>13950651</v>
      </c>
      <c r="N908" s="101">
        <f>'Billing Det'!D24</f>
        <v>106268071</v>
      </c>
      <c r="O908" s="101">
        <f>'Billing Det'!D26</f>
        <v>251561897</v>
      </c>
      <c r="P908" s="101">
        <f>'Billing Det'!D30</f>
        <v>86711460</v>
      </c>
      <c r="Q908" s="101">
        <f>'Billing Det'!D32</f>
        <v>29892107</v>
      </c>
      <c r="R908" s="101">
        <f>'Billing Det'!D34</f>
        <v>26032396</v>
      </c>
      <c r="S908" s="101">
        <f>'Billing Det'!D36</f>
        <v>29470</v>
      </c>
      <c r="T908" s="101">
        <f>'Billing Det'!D38</f>
        <v>156512</v>
      </c>
      <c r="U908" s="117"/>
      <c r="V908" s="101">
        <f t="shared" si="373"/>
        <v>1464489053</v>
      </c>
      <c r="W908" s="265" t="str">
        <f t="shared" si="374"/>
        <v>ok</v>
      </c>
      <c r="X908" s="102" t="str">
        <f t="shared" si="375"/>
        <v/>
      </c>
    </row>
    <row r="909" spans="1:36" ht="12" customHeight="1" x14ac:dyDescent="0.25">
      <c r="A909" s="97" t="s">
        <v>1885</v>
      </c>
      <c r="D909" s="97" t="s">
        <v>1884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5" t="str">
        <f t="shared" si="374"/>
        <v>ok</v>
      </c>
      <c r="X909" s="240" t="str">
        <f t="shared" si="375"/>
        <v/>
      </c>
    </row>
    <row r="910" spans="1:36" ht="12" customHeight="1" x14ac:dyDescent="0.25">
      <c r="A910" s="97" t="s">
        <v>1511</v>
      </c>
      <c r="D910" s="97" t="s">
        <v>2179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1412.3735813136122</v>
      </c>
      <c r="M910" s="101">
        <f>(M860/($L$860+$M$860))*1468</f>
        <v>55.626418686387929</v>
      </c>
      <c r="N910" s="101">
        <f>(N860/($N$860+$O$860+$P$860))*1555</f>
        <v>988.78972378972378</v>
      </c>
      <c r="O910" s="101">
        <f>(O860/($N$860+$O$860+$P$860))*1555</f>
        <v>510.79002079002083</v>
      </c>
      <c r="P910" s="101">
        <f>(P860/($N$860+$O$860+$P$860))*1555</f>
        <v>55.420255420255423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6" t="str">
        <f>IF(W910="err",V910-F910,"")</f>
        <v/>
      </c>
    </row>
    <row r="911" spans="1:36" ht="12" hidden="1" customHeight="1" x14ac:dyDescent="0.25">
      <c r="A911" s="97" t="s">
        <v>1887</v>
      </c>
      <c r="D911" s="97" t="s">
        <v>1886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5" t="str">
        <f t="shared" si="374"/>
        <v>ok</v>
      </c>
      <c r="X911" s="102" t="str">
        <f t="shared" si="375"/>
        <v/>
      </c>
    </row>
    <row r="912" spans="1:36" ht="12" hidden="1" customHeight="1" x14ac:dyDescent="0.25">
      <c r="A912" s="97" t="s">
        <v>1889</v>
      </c>
      <c r="D912" s="97" t="s">
        <v>1888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5" t="str">
        <f t="shared" si="374"/>
        <v>ok</v>
      </c>
      <c r="X912" s="102" t="str">
        <f t="shared" si="375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5"/>
    </row>
    <row r="914" spans="1:24" ht="12" customHeight="1" x14ac:dyDescent="0.25">
      <c r="A914" s="97" t="s">
        <v>583</v>
      </c>
      <c r="D914" s="97" t="s">
        <v>531</v>
      </c>
      <c r="F914" s="106">
        <f t="shared" ref="F914:T914" si="378">F231-F183</f>
        <v>293386691.80935383</v>
      </c>
      <c r="G914" s="106">
        <f t="shared" si="378"/>
        <v>151143432.04345563</v>
      </c>
      <c r="H914" s="106">
        <f t="shared" si="378"/>
        <v>43733865.340460867</v>
      </c>
      <c r="I914" s="106">
        <f t="shared" si="378"/>
        <v>2391467.0652280739</v>
      </c>
      <c r="J914" s="106">
        <f t="shared" si="378"/>
        <v>2194453.3351281444</v>
      </c>
      <c r="K914" s="106">
        <f t="shared" si="378"/>
        <v>0</v>
      </c>
      <c r="L914" s="106">
        <f t="shared" si="378"/>
        <v>21762343.36478509</v>
      </c>
      <c r="M914" s="106">
        <f t="shared" si="378"/>
        <v>1743315.0057913382</v>
      </c>
      <c r="N914" s="106">
        <f t="shared" si="378"/>
        <v>14820396.121743597</v>
      </c>
      <c r="O914" s="106">
        <f t="shared" si="378"/>
        <v>34733537.339517444</v>
      </c>
      <c r="P914" s="106">
        <f t="shared" si="378"/>
        <v>10666620.022662103</v>
      </c>
      <c r="Q914" s="106">
        <f t="shared" si="378"/>
        <v>4782863.6895857491</v>
      </c>
      <c r="R914" s="106">
        <f t="shared" si="378"/>
        <v>5375858.8077320848</v>
      </c>
      <c r="S914" s="106">
        <f t="shared" si="378"/>
        <v>2495.4845730929592</v>
      </c>
      <c r="T914" s="106">
        <f t="shared" si="378"/>
        <v>36044.187909185981</v>
      </c>
      <c r="U914" s="106"/>
      <c r="V914" s="101">
        <f>SUM(G914:T914)</f>
        <v>293386691.80857241</v>
      </c>
      <c r="W914" s="98" t="str">
        <f>IF(ABS(F914-V914)&lt;0.01,"ok","err")</f>
        <v>ok</v>
      </c>
      <c r="X914" s="240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1202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1203</v>
      </c>
      <c r="E918" s="97" t="s">
        <v>420</v>
      </c>
      <c r="F918" s="100">
        <f>F653</f>
        <v>0</v>
      </c>
      <c r="G918" s="100">
        <f t="shared" ref="G918:T918" si="379">IF(VLOOKUP($E918,$D$5:$AJ$960,3,)=0,0,(VLOOKUP($E918,$D$5:$AJ$960,G$1,)/VLOOKUP($E918,$D$5:$AJ$960,3,))*$F918)</f>
        <v>0</v>
      </c>
      <c r="H918" s="100">
        <f t="shared" si="379"/>
        <v>0</v>
      </c>
      <c r="I918" s="100">
        <f t="shared" si="379"/>
        <v>0</v>
      </c>
      <c r="J918" s="100">
        <f t="shared" si="379"/>
        <v>0</v>
      </c>
      <c r="K918" s="100">
        <f t="shared" si="379"/>
        <v>0</v>
      </c>
      <c r="L918" s="100">
        <f t="shared" si="379"/>
        <v>0</v>
      </c>
      <c r="M918" s="100">
        <f t="shared" si="379"/>
        <v>0</v>
      </c>
      <c r="N918" s="100">
        <f t="shared" si="379"/>
        <v>0</v>
      </c>
      <c r="O918" s="100">
        <f t="shared" si="379"/>
        <v>0</v>
      </c>
      <c r="P918" s="100">
        <f t="shared" si="379"/>
        <v>0</v>
      </c>
      <c r="Q918" s="100">
        <f t="shared" si="379"/>
        <v>0</v>
      </c>
      <c r="R918" s="100">
        <f t="shared" si="379"/>
        <v>0</v>
      </c>
      <c r="S918" s="100">
        <f t="shared" si="379"/>
        <v>0</v>
      </c>
      <c r="T918" s="100">
        <f t="shared" si="379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1204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1205</v>
      </c>
      <c r="E921" s="97" t="s">
        <v>110</v>
      </c>
      <c r="F921" s="100">
        <v>0</v>
      </c>
      <c r="G921" s="100">
        <f t="shared" ref="G921:T922" si="380">IF(VLOOKUP($E921,$D$5:$AJ$960,3,)=0,0,(VLOOKUP($E921,$D$5:$AJ$960,G$1,)/VLOOKUP($E921,$D$5:$AJ$960,3,))*$F921)</f>
        <v>0</v>
      </c>
      <c r="H921" s="100">
        <f t="shared" si="380"/>
        <v>0</v>
      </c>
      <c r="I921" s="100">
        <f t="shared" si="380"/>
        <v>0</v>
      </c>
      <c r="J921" s="100">
        <f t="shared" si="380"/>
        <v>0</v>
      </c>
      <c r="K921" s="100">
        <f t="shared" si="380"/>
        <v>0</v>
      </c>
      <c r="L921" s="100">
        <f t="shared" si="380"/>
        <v>0</v>
      </c>
      <c r="M921" s="100">
        <f t="shared" si="380"/>
        <v>0</v>
      </c>
      <c r="N921" s="100">
        <f t="shared" si="380"/>
        <v>0</v>
      </c>
      <c r="O921" s="100">
        <f t="shared" si="380"/>
        <v>0</v>
      </c>
      <c r="P921" s="100">
        <f t="shared" si="380"/>
        <v>0</v>
      </c>
      <c r="Q921" s="100">
        <f t="shared" si="380"/>
        <v>0</v>
      </c>
      <c r="R921" s="100">
        <f t="shared" si="380"/>
        <v>0</v>
      </c>
      <c r="S921" s="100">
        <f t="shared" si="380"/>
        <v>0</v>
      </c>
      <c r="T921" s="100">
        <f t="shared" si="380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1206</v>
      </c>
      <c r="E922" s="97" t="s">
        <v>420</v>
      </c>
      <c r="F922" s="100">
        <f>-F921</f>
        <v>0</v>
      </c>
      <c r="G922" s="100">
        <f t="shared" si="380"/>
        <v>0</v>
      </c>
      <c r="H922" s="100">
        <f t="shared" si="380"/>
        <v>0</v>
      </c>
      <c r="I922" s="100">
        <f t="shared" si="380"/>
        <v>0</v>
      </c>
      <c r="J922" s="100">
        <f t="shared" si="380"/>
        <v>0</v>
      </c>
      <c r="K922" s="100">
        <f t="shared" si="380"/>
        <v>0</v>
      </c>
      <c r="L922" s="100">
        <f t="shared" si="380"/>
        <v>0</v>
      </c>
      <c r="M922" s="100">
        <f t="shared" si="380"/>
        <v>0</v>
      </c>
      <c r="N922" s="100">
        <f t="shared" si="380"/>
        <v>0</v>
      </c>
      <c r="O922" s="100">
        <f t="shared" si="380"/>
        <v>0</v>
      </c>
      <c r="P922" s="100">
        <f t="shared" si="380"/>
        <v>0</v>
      </c>
      <c r="Q922" s="100">
        <f t="shared" si="380"/>
        <v>0</v>
      </c>
      <c r="R922" s="100">
        <f t="shared" si="380"/>
        <v>0</v>
      </c>
      <c r="S922" s="100">
        <f t="shared" si="380"/>
        <v>0</v>
      </c>
      <c r="T922" s="100">
        <f t="shared" si="380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1207</v>
      </c>
      <c r="F923" s="100">
        <f>F921+F922</f>
        <v>0</v>
      </c>
      <c r="G923" s="100">
        <f t="shared" ref="G923:T923" si="381">G921+G922</f>
        <v>0</v>
      </c>
      <c r="H923" s="100">
        <f t="shared" si="381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81"/>
        <v>0</v>
      </c>
      <c r="M923" s="100">
        <f t="shared" si="381"/>
        <v>0</v>
      </c>
      <c r="N923" s="100">
        <f t="shared" si="381"/>
        <v>0</v>
      </c>
      <c r="O923" s="100">
        <f t="shared" si="381"/>
        <v>0</v>
      </c>
      <c r="P923" s="100">
        <f>P921+P922</f>
        <v>0</v>
      </c>
      <c r="Q923" s="100">
        <f t="shared" si="381"/>
        <v>0</v>
      </c>
      <c r="R923" s="100">
        <f t="shared" si="381"/>
        <v>0</v>
      </c>
      <c r="S923" s="100">
        <f t="shared" si="381"/>
        <v>0</v>
      </c>
      <c r="T923" s="100">
        <f t="shared" si="381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1208</v>
      </c>
      <c r="D925" s="97" t="s">
        <v>1209</v>
      </c>
      <c r="F925" s="100">
        <f>F918-F923</f>
        <v>0</v>
      </c>
      <c r="G925" s="100">
        <f t="shared" ref="G925:T925" si="382">G918-G923</f>
        <v>0</v>
      </c>
      <c r="H925" s="100">
        <f t="shared" si="382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2"/>
        <v>0</v>
      </c>
      <c r="M925" s="100">
        <f t="shared" si="382"/>
        <v>0</v>
      </c>
      <c r="N925" s="100">
        <f t="shared" si="382"/>
        <v>0</v>
      </c>
      <c r="O925" s="100">
        <f>O918-O923</f>
        <v>0</v>
      </c>
      <c r="P925" s="100">
        <f>P918-P923</f>
        <v>0</v>
      </c>
      <c r="Q925" s="100">
        <f t="shared" si="382"/>
        <v>0</v>
      </c>
      <c r="R925" s="100">
        <f t="shared" si="382"/>
        <v>0</v>
      </c>
      <c r="S925" s="100">
        <f t="shared" si="382"/>
        <v>0</v>
      </c>
      <c r="T925" s="100">
        <f t="shared" si="382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6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6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3"/>
      <c r="G930" s="263"/>
      <c r="H930" s="263"/>
      <c r="I930" s="263"/>
      <c r="J930" s="263"/>
      <c r="K930" s="263"/>
      <c r="L930" s="263"/>
      <c r="M930" s="263"/>
      <c r="N930" s="263"/>
      <c r="O930" s="263"/>
      <c r="P930" s="263"/>
      <c r="Q930" s="263"/>
      <c r="R930" s="263"/>
      <c r="S930" s="263"/>
      <c r="T930" s="263"/>
      <c r="U930" s="118"/>
      <c r="V930" s="266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6"/>
      <c r="W932" s="98"/>
    </row>
    <row r="933" spans="1:32" ht="12" customHeight="1" x14ac:dyDescent="0.25">
      <c r="AA933" s="249"/>
      <c r="AB933" s="249"/>
      <c r="AC933" s="249"/>
      <c r="AD933" s="249"/>
      <c r="AE933" s="249"/>
      <c r="AF933" s="249"/>
    </row>
    <row r="934" spans="1:32" s="290" customFormat="1" ht="12" customHeight="1" x14ac:dyDescent="0.25">
      <c r="A934" s="289"/>
      <c r="F934" s="224"/>
      <c r="L934" s="112"/>
      <c r="M934" s="112"/>
      <c r="N934" s="112"/>
      <c r="O934" s="268"/>
      <c r="P934" s="112"/>
    </row>
    <row r="935" spans="1:32" s="290" customFormat="1" ht="12" customHeight="1" x14ac:dyDescent="0.25">
      <c r="A935" s="289"/>
      <c r="F935" s="224"/>
      <c r="L935" s="112"/>
      <c r="M935" s="112"/>
      <c r="N935" s="112"/>
      <c r="O935" s="112"/>
      <c r="P935" s="112"/>
    </row>
    <row r="936" spans="1:32" s="290" customFormat="1" ht="12" customHeight="1" x14ac:dyDescent="0.25">
      <c r="A936" s="289"/>
      <c r="F936" s="112"/>
      <c r="G936" s="252"/>
      <c r="H936" s="252"/>
      <c r="I936" s="252"/>
      <c r="J936" s="252"/>
      <c r="K936" s="252"/>
      <c r="L936" s="224"/>
      <c r="M936" s="224"/>
      <c r="N936" s="112"/>
      <c r="O936" s="224"/>
      <c r="P936" s="224"/>
      <c r="Q936" s="252"/>
      <c r="R936" s="252"/>
      <c r="S936" s="252"/>
      <c r="T936" s="252"/>
      <c r="U936" s="252"/>
      <c r="V936" s="252"/>
      <c r="W936" s="291"/>
    </row>
    <row r="937" spans="1:32" s="290" customFormat="1" ht="12" customHeight="1" x14ac:dyDescent="0.25">
      <c r="F937" s="225"/>
      <c r="G937" s="251"/>
      <c r="H937" s="251"/>
      <c r="I937" s="251"/>
      <c r="J937" s="251"/>
      <c r="K937" s="251"/>
      <c r="L937" s="225"/>
      <c r="M937" s="225"/>
      <c r="N937" s="225"/>
      <c r="O937" s="225"/>
      <c r="P937" s="225"/>
      <c r="Q937" s="251"/>
      <c r="R937" s="251"/>
      <c r="S937" s="251"/>
      <c r="T937" s="251"/>
      <c r="U937" s="251"/>
      <c r="V937" s="267"/>
      <c r="W937" s="291"/>
      <c r="X937" s="252"/>
    </row>
    <row r="938" spans="1:32" s="290" customFormat="1" ht="12" customHeight="1" x14ac:dyDescent="0.25">
      <c r="F938" s="225"/>
      <c r="G938" s="251"/>
      <c r="H938" s="251"/>
      <c r="I938" s="251"/>
      <c r="J938" s="251"/>
      <c r="K938" s="251"/>
      <c r="L938" s="225"/>
      <c r="M938" s="225"/>
      <c r="N938" s="225"/>
      <c r="O938" s="225"/>
      <c r="P938" s="225"/>
      <c r="Q938" s="251"/>
      <c r="R938" s="251"/>
      <c r="S938" s="251"/>
      <c r="T938" s="251"/>
      <c r="U938" s="251"/>
      <c r="V938" s="267"/>
      <c r="W938" s="291"/>
      <c r="X938" s="252"/>
    </row>
    <row r="939" spans="1:32" s="290" customFormat="1" ht="12" customHeight="1" x14ac:dyDescent="0.25">
      <c r="F939" s="268"/>
      <c r="G939" s="267"/>
      <c r="H939" s="267"/>
      <c r="I939" s="267"/>
      <c r="J939" s="267"/>
      <c r="K939" s="267"/>
      <c r="L939" s="268"/>
      <c r="M939" s="268"/>
      <c r="N939" s="268"/>
      <c r="O939" s="268"/>
      <c r="P939" s="268"/>
      <c r="Q939" s="267"/>
      <c r="R939" s="267"/>
      <c r="S939" s="267"/>
      <c r="T939" s="267"/>
      <c r="U939" s="267"/>
      <c r="V939" s="267"/>
      <c r="W939" s="291"/>
      <c r="X939" s="252"/>
      <c r="Y939" s="252"/>
    </row>
    <row r="940" spans="1:32" s="290" customFormat="1" ht="12" customHeight="1" x14ac:dyDescent="0.25">
      <c r="F940" s="268"/>
      <c r="G940" s="267"/>
      <c r="H940" s="267"/>
      <c r="I940" s="267"/>
      <c r="J940" s="267"/>
      <c r="K940" s="267"/>
      <c r="L940" s="268"/>
      <c r="M940" s="268"/>
      <c r="N940" s="268"/>
      <c r="O940" s="268"/>
      <c r="P940" s="268"/>
      <c r="Q940" s="267"/>
      <c r="R940" s="267"/>
      <c r="S940" s="267"/>
      <c r="T940" s="267"/>
      <c r="U940" s="267"/>
      <c r="V940" s="267"/>
      <c r="W940" s="291"/>
      <c r="X940" s="252"/>
      <c r="Y940" s="252"/>
    </row>
    <row r="941" spans="1:32" s="290" customFormat="1" ht="12" customHeight="1" x14ac:dyDescent="0.25">
      <c r="F941" s="268"/>
      <c r="G941" s="267"/>
      <c r="H941" s="267"/>
      <c r="I941" s="267"/>
      <c r="J941" s="267"/>
      <c r="K941" s="267"/>
      <c r="L941" s="268"/>
      <c r="M941" s="268"/>
      <c r="N941" s="268"/>
      <c r="O941" s="268"/>
      <c r="P941" s="268"/>
      <c r="Q941" s="267"/>
      <c r="R941" s="267"/>
      <c r="S941" s="267"/>
      <c r="T941" s="267"/>
      <c r="U941" s="267"/>
      <c r="V941" s="267"/>
      <c r="W941" s="291"/>
      <c r="X941" s="252"/>
    </row>
    <row r="942" spans="1:32" s="290" customFormat="1" ht="12" customHeight="1" x14ac:dyDescent="0.25">
      <c r="F942" s="268"/>
      <c r="G942" s="267"/>
      <c r="H942" s="267"/>
      <c r="I942" s="267"/>
      <c r="J942" s="267"/>
      <c r="K942" s="267"/>
      <c r="L942" s="268"/>
      <c r="M942" s="268"/>
      <c r="N942" s="268"/>
      <c r="O942" s="268"/>
      <c r="P942" s="268"/>
      <c r="Q942" s="267"/>
      <c r="R942" s="267"/>
      <c r="S942" s="267"/>
      <c r="T942" s="267"/>
      <c r="U942" s="267"/>
      <c r="V942" s="267"/>
      <c r="W942" s="291"/>
      <c r="X942" s="252"/>
    </row>
    <row r="943" spans="1:32" s="290" customFormat="1" ht="12" customHeight="1" x14ac:dyDescent="0.25">
      <c r="F943" s="268"/>
      <c r="G943" s="267"/>
      <c r="H943" s="267"/>
      <c r="I943" s="267"/>
      <c r="J943" s="267"/>
      <c r="K943" s="267"/>
      <c r="L943" s="268"/>
      <c r="M943" s="268"/>
      <c r="N943" s="268"/>
      <c r="O943" s="268"/>
      <c r="P943" s="268"/>
      <c r="Q943" s="267"/>
      <c r="R943" s="267"/>
      <c r="S943" s="267"/>
      <c r="T943" s="267"/>
      <c r="U943" s="267"/>
      <c r="V943" s="267"/>
      <c r="W943" s="291"/>
      <c r="X943" s="252"/>
    </row>
    <row r="944" spans="1:32" s="290" customFormat="1" ht="12" customHeight="1" x14ac:dyDescent="0.25">
      <c r="F944" s="268"/>
      <c r="G944" s="267"/>
      <c r="H944" s="267"/>
      <c r="I944" s="267"/>
      <c r="J944" s="267"/>
      <c r="K944" s="267"/>
      <c r="L944" s="268"/>
      <c r="M944" s="268"/>
      <c r="N944" s="268"/>
      <c r="O944" s="268"/>
      <c r="P944" s="268"/>
      <c r="Q944" s="267"/>
      <c r="R944" s="267"/>
      <c r="S944" s="267"/>
      <c r="T944" s="267"/>
      <c r="U944" s="267"/>
      <c r="V944" s="267"/>
      <c r="W944" s="291"/>
      <c r="X944" s="252"/>
    </row>
    <row r="945" spans="1:24" s="290" customFormat="1" ht="12" customHeight="1" x14ac:dyDescent="0.25">
      <c r="F945" s="268"/>
      <c r="G945" s="267"/>
      <c r="H945" s="267"/>
      <c r="I945" s="267"/>
      <c r="J945" s="267"/>
      <c r="K945" s="267"/>
      <c r="L945" s="268"/>
      <c r="M945" s="268"/>
      <c r="N945" s="268"/>
      <c r="O945" s="268"/>
      <c r="P945" s="268"/>
      <c r="Q945" s="267"/>
      <c r="R945" s="267"/>
      <c r="S945" s="267"/>
      <c r="T945" s="267"/>
      <c r="U945" s="267"/>
      <c r="V945" s="267"/>
      <c r="W945" s="291"/>
      <c r="X945" s="252"/>
    </row>
    <row r="946" spans="1:24" s="290" customFormat="1" ht="12" customHeight="1" x14ac:dyDescent="0.25">
      <c r="F946" s="224"/>
      <c r="G946" s="252"/>
      <c r="H946" s="252"/>
      <c r="I946" s="252"/>
      <c r="J946" s="252"/>
      <c r="K946" s="252"/>
      <c r="L946" s="224"/>
      <c r="M946" s="224"/>
      <c r="N946" s="224"/>
      <c r="O946" s="224"/>
      <c r="P946" s="224"/>
      <c r="Q946" s="252"/>
      <c r="R946" s="252"/>
      <c r="S946" s="252"/>
      <c r="T946" s="252"/>
      <c r="U946" s="252"/>
      <c r="V946" s="252"/>
      <c r="W946" s="291"/>
      <c r="X946" s="252"/>
    </row>
    <row r="947" spans="1:24" s="290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290" customFormat="1" ht="12" customHeight="1" x14ac:dyDescent="0.25">
      <c r="A948" s="289"/>
      <c r="F948" s="112"/>
      <c r="L948" s="112"/>
      <c r="M948" s="112"/>
      <c r="N948" s="112"/>
      <c r="O948" s="112"/>
      <c r="P948" s="112"/>
    </row>
    <row r="949" spans="1:24" s="290" customFormat="1" ht="12" customHeight="1" x14ac:dyDescent="0.25">
      <c r="F949" s="224"/>
      <c r="G949" s="252"/>
      <c r="H949" s="252"/>
      <c r="I949" s="252"/>
      <c r="J949" s="252"/>
      <c r="K949" s="252"/>
      <c r="L949" s="224"/>
      <c r="M949" s="224"/>
      <c r="N949" s="224"/>
      <c r="O949" s="224"/>
      <c r="P949" s="224"/>
      <c r="Q949" s="252"/>
      <c r="R949" s="252"/>
      <c r="S949" s="252"/>
      <c r="T949" s="252"/>
      <c r="U949" s="252"/>
      <c r="V949" s="267"/>
      <c r="W949" s="291"/>
      <c r="X949" s="252"/>
    </row>
    <row r="950" spans="1:24" s="290" customFormat="1" ht="12" customHeight="1" x14ac:dyDescent="0.25">
      <c r="F950" s="224"/>
      <c r="G950" s="252"/>
      <c r="H950" s="252"/>
      <c r="I950" s="252"/>
      <c r="J950" s="252"/>
      <c r="K950" s="252"/>
      <c r="L950" s="224"/>
      <c r="M950" s="224"/>
      <c r="N950" s="224"/>
      <c r="O950" s="224"/>
      <c r="P950" s="224"/>
      <c r="Q950" s="252"/>
      <c r="R950" s="252"/>
      <c r="S950" s="252"/>
      <c r="T950" s="252"/>
      <c r="U950" s="252"/>
      <c r="V950" s="267"/>
      <c r="W950" s="291"/>
      <c r="X950" s="252"/>
    </row>
    <row r="951" spans="1:24" s="290" customFormat="1" ht="12" customHeight="1" x14ac:dyDescent="0.25">
      <c r="F951" s="224"/>
      <c r="G951" s="252"/>
      <c r="H951" s="252"/>
      <c r="I951" s="252"/>
      <c r="J951" s="252"/>
      <c r="K951" s="252"/>
      <c r="L951" s="224"/>
      <c r="M951" s="224"/>
      <c r="N951" s="224"/>
      <c r="O951" s="224"/>
      <c r="P951" s="224"/>
      <c r="Q951" s="252"/>
      <c r="R951" s="252"/>
      <c r="S951" s="252"/>
      <c r="T951" s="252"/>
      <c r="U951" s="252"/>
      <c r="V951" s="267"/>
      <c r="W951" s="291"/>
      <c r="X951" s="252"/>
    </row>
    <row r="952" spans="1:24" s="290" customFormat="1" ht="12" customHeight="1" x14ac:dyDescent="0.25">
      <c r="F952" s="224"/>
      <c r="G952" s="252"/>
      <c r="H952" s="252"/>
      <c r="I952" s="252"/>
      <c r="J952" s="252"/>
      <c r="K952" s="252"/>
      <c r="L952" s="224"/>
      <c r="M952" s="224"/>
      <c r="N952" s="224"/>
      <c r="O952" s="224"/>
      <c r="P952" s="224"/>
      <c r="Q952" s="252"/>
      <c r="R952" s="252"/>
      <c r="S952" s="252"/>
      <c r="T952" s="252"/>
      <c r="U952" s="252"/>
      <c r="V952" s="267"/>
      <c r="W952" s="291"/>
      <c r="X952" s="252"/>
    </row>
    <row r="953" spans="1:24" s="290" customFormat="1" ht="12" customHeight="1" x14ac:dyDescent="0.25">
      <c r="F953" s="224"/>
      <c r="G953" s="252"/>
      <c r="H953" s="252"/>
      <c r="I953" s="252"/>
      <c r="J953" s="252"/>
      <c r="K953" s="252"/>
      <c r="L953" s="224"/>
      <c r="M953" s="224"/>
      <c r="N953" s="224"/>
      <c r="O953" s="224"/>
      <c r="P953" s="224"/>
      <c r="Q953" s="252"/>
      <c r="R953" s="252"/>
      <c r="S953" s="252"/>
      <c r="T953" s="252"/>
      <c r="U953" s="252"/>
      <c r="V953" s="267"/>
      <c r="W953" s="291"/>
      <c r="X953" s="252"/>
    </row>
    <row r="954" spans="1:24" s="290" customFormat="1" ht="12" customHeight="1" x14ac:dyDescent="0.25">
      <c r="F954" s="224"/>
      <c r="G954" s="252"/>
      <c r="H954" s="252"/>
      <c r="I954" s="252"/>
      <c r="J954" s="252"/>
      <c r="K954" s="252"/>
      <c r="L954" s="224"/>
      <c r="M954" s="224"/>
      <c r="N954" s="224"/>
      <c r="O954" s="224"/>
      <c r="P954" s="224"/>
      <c r="Q954" s="252"/>
      <c r="R954" s="252"/>
      <c r="S954" s="252"/>
      <c r="T954" s="252"/>
      <c r="U954" s="252"/>
      <c r="V954" s="267"/>
      <c r="W954" s="291"/>
      <c r="X954" s="252"/>
    </row>
    <row r="955" spans="1:24" s="290" customFormat="1" ht="12" customHeight="1" x14ac:dyDescent="0.25">
      <c r="F955" s="224"/>
      <c r="G955" s="252"/>
      <c r="H955" s="252"/>
      <c r="I955" s="252"/>
      <c r="J955" s="252"/>
      <c r="K955" s="252"/>
      <c r="L955" s="224"/>
      <c r="M955" s="224"/>
      <c r="N955" s="224"/>
      <c r="O955" s="224"/>
      <c r="P955" s="224"/>
      <c r="Q955" s="252"/>
      <c r="R955" s="252"/>
      <c r="S955" s="252"/>
      <c r="T955" s="252"/>
      <c r="U955" s="252"/>
      <c r="V955" s="267"/>
      <c r="W955" s="291"/>
      <c r="X955" s="252"/>
    </row>
    <row r="956" spans="1:24" s="290" customFormat="1" ht="12" customHeight="1" x14ac:dyDescent="0.25">
      <c r="F956" s="224"/>
      <c r="G956" s="252"/>
      <c r="H956" s="252"/>
      <c r="I956" s="252"/>
      <c r="J956" s="252"/>
      <c r="K956" s="252"/>
      <c r="L956" s="224"/>
      <c r="M956" s="224"/>
      <c r="N956" s="224"/>
      <c r="O956" s="224"/>
      <c r="P956" s="224"/>
      <c r="Q956" s="252"/>
      <c r="R956" s="252"/>
      <c r="S956" s="252"/>
      <c r="T956" s="252"/>
      <c r="U956" s="252"/>
      <c r="V956" s="267"/>
      <c r="W956" s="291"/>
      <c r="X956" s="252"/>
    </row>
    <row r="957" spans="1:24" s="290" customFormat="1" ht="12" customHeight="1" x14ac:dyDescent="0.25">
      <c r="F957" s="224"/>
      <c r="G957" s="252"/>
      <c r="H957" s="252"/>
      <c r="I957" s="252"/>
      <c r="J957" s="252"/>
      <c r="K957" s="252"/>
      <c r="L957" s="224"/>
      <c r="M957" s="224"/>
      <c r="N957" s="224"/>
      <c r="O957" s="224"/>
      <c r="P957" s="224"/>
      <c r="Q957" s="252"/>
      <c r="R957" s="252"/>
      <c r="S957" s="252"/>
      <c r="T957" s="252"/>
      <c r="U957" s="252"/>
      <c r="V957" s="267"/>
      <c r="W957" s="291"/>
      <c r="X957" s="252"/>
    </row>
    <row r="958" spans="1:24" s="290" customFormat="1" ht="12" customHeight="1" x14ac:dyDescent="0.25">
      <c r="F958" s="224"/>
      <c r="G958" s="252"/>
      <c r="H958" s="252"/>
      <c r="I958" s="252"/>
      <c r="J958" s="252"/>
      <c r="K958" s="252"/>
      <c r="L958" s="224"/>
      <c r="M958" s="224"/>
      <c r="N958" s="224"/>
      <c r="O958" s="224"/>
      <c r="P958" s="224"/>
      <c r="Q958" s="252"/>
      <c r="R958" s="252"/>
      <c r="S958" s="252"/>
      <c r="T958" s="252"/>
      <c r="U958" s="252"/>
      <c r="V958" s="267"/>
      <c r="W958" s="291"/>
      <c r="X958" s="252"/>
    </row>
    <row r="959" spans="1:24" s="290" customFormat="1" ht="12" customHeight="1" x14ac:dyDescent="0.25">
      <c r="E959" s="252"/>
      <c r="F959" s="268"/>
      <c r="G959" s="267"/>
      <c r="H959" s="267"/>
      <c r="I959" s="267"/>
      <c r="J959" s="267"/>
      <c r="K959" s="267"/>
      <c r="L959" s="268"/>
      <c r="M959" s="268"/>
      <c r="N959" s="268"/>
      <c r="O959" s="268"/>
      <c r="P959" s="268"/>
      <c r="Q959" s="267"/>
      <c r="R959" s="267"/>
      <c r="S959" s="267"/>
      <c r="T959" s="267"/>
      <c r="U959" s="267"/>
      <c r="V959" s="267"/>
      <c r="W959" s="291"/>
      <c r="X959" s="252"/>
    </row>
    <row r="960" spans="1:24" s="290" customFormat="1" ht="12" customHeight="1" x14ac:dyDescent="0.25">
      <c r="E960" s="292"/>
      <c r="F960" s="112"/>
      <c r="L960" s="112"/>
      <c r="M960" s="112"/>
      <c r="N960" s="112"/>
      <c r="O960" s="112"/>
      <c r="P960" s="112"/>
      <c r="V960" s="292"/>
    </row>
    <row r="961" spans="1:24" s="290" customFormat="1" ht="12" customHeight="1" x14ac:dyDescent="0.25">
      <c r="A961" s="289"/>
      <c r="F961" s="112"/>
      <c r="L961" s="112"/>
      <c r="M961" s="112"/>
      <c r="N961" s="112"/>
      <c r="O961" s="112"/>
      <c r="P961" s="112"/>
    </row>
    <row r="962" spans="1:24" s="290" customFormat="1" ht="12" customHeight="1" x14ac:dyDescent="0.25">
      <c r="F962" s="224"/>
      <c r="G962" s="252"/>
      <c r="H962" s="252"/>
      <c r="I962" s="252"/>
      <c r="J962" s="252"/>
      <c r="K962" s="252"/>
      <c r="L962" s="224"/>
      <c r="M962" s="224"/>
      <c r="N962" s="224"/>
      <c r="O962" s="224"/>
      <c r="P962" s="224"/>
      <c r="Q962" s="252"/>
      <c r="R962" s="252"/>
      <c r="S962" s="252"/>
      <c r="T962" s="252"/>
      <c r="V962" s="267"/>
      <c r="W962" s="291"/>
      <c r="X962" s="252"/>
    </row>
    <row r="963" spans="1:24" s="290" customFormat="1" ht="12" customHeight="1" x14ac:dyDescent="0.25">
      <c r="F963" s="224"/>
      <c r="G963" s="252"/>
      <c r="H963" s="252"/>
      <c r="I963" s="252"/>
      <c r="J963" s="252"/>
      <c r="K963" s="252"/>
      <c r="L963" s="224"/>
      <c r="M963" s="224"/>
      <c r="N963" s="224"/>
      <c r="O963" s="224"/>
      <c r="P963" s="224"/>
      <c r="Q963" s="252"/>
      <c r="R963" s="252"/>
      <c r="S963" s="252"/>
      <c r="T963" s="252"/>
      <c r="U963" s="252"/>
      <c r="V963" s="267"/>
      <c r="W963" s="291"/>
      <c r="X963" s="252"/>
    </row>
    <row r="964" spans="1:24" s="290" customFormat="1" ht="12" customHeight="1" x14ac:dyDescent="0.25">
      <c r="F964" s="224"/>
      <c r="G964" s="252"/>
      <c r="H964" s="252"/>
      <c r="I964" s="252"/>
      <c r="J964" s="252"/>
      <c r="K964" s="252"/>
      <c r="L964" s="224"/>
      <c r="M964" s="224"/>
      <c r="N964" s="224"/>
      <c r="O964" s="224"/>
      <c r="P964" s="224"/>
      <c r="Q964" s="252"/>
      <c r="R964" s="252"/>
      <c r="S964" s="252"/>
      <c r="T964" s="252"/>
      <c r="U964" s="252"/>
      <c r="V964" s="267"/>
      <c r="W964" s="291"/>
      <c r="X964" s="252"/>
    </row>
    <row r="965" spans="1:24" s="290" customFormat="1" ht="12" customHeight="1" x14ac:dyDescent="0.25">
      <c r="F965" s="224"/>
      <c r="G965" s="252"/>
      <c r="H965" s="252"/>
      <c r="I965" s="252"/>
      <c r="J965" s="252"/>
      <c r="K965" s="252"/>
      <c r="L965" s="224"/>
      <c r="M965" s="224"/>
      <c r="N965" s="224"/>
      <c r="O965" s="224"/>
      <c r="P965" s="224"/>
      <c r="Q965" s="252"/>
      <c r="R965" s="252"/>
      <c r="S965" s="252"/>
      <c r="T965" s="252"/>
      <c r="U965" s="252"/>
      <c r="V965" s="267"/>
      <c r="W965" s="291"/>
      <c r="X965" s="252"/>
    </row>
    <row r="966" spans="1:24" s="290" customFormat="1" ht="12" customHeight="1" x14ac:dyDescent="0.25">
      <c r="F966" s="224"/>
      <c r="G966" s="252"/>
      <c r="H966" s="252"/>
      <c r="I966" s="252"/>
      <c r="J966" s="252"/>
      <c r="K966" s="252"/>
      <c r="L966" s="224"/>
      <c r="M966" s="224"/>
      <c r="N966" s="224"/>
      <c r="O966" s="224"/>
      <c r="P966" s="224"/>
      <c r="Q966" s="252"/>
      <c r="R966" s="252"/>
      <c r="S966" s="252"/>
      <c r="T966" s="252"/>
      <c r="U966" s="252"/>
      <c r="V966" s="267"/>
      <c r="W966" s="291"/>
      <c r="X966" s="252"/>
    </row>
    <row r="967" spans="1:24" s="290" customFormat="1" ht="12" customHeight="1" x14ac:dyDescent="0.25">
      <c r="F967" s="224"/>
      <c r="G967" s="252"/>
      <c r="H967" s="252"/>
      <c r="I967" s="252"/>
      <c r="J967" s="252"/>
      <c r="K967" s="252"/>
      <c r="L967" s="224"/>
      <c r="M967" s="224"/>
      <c r="N967" s="224"/>
      <c r="O967" s="224"/>
      <c r="P967" s="224"/>
      <c r="Q967" s="252"/>
      <c r="R967" s="252"/>
      <c r="S967" s="252"/>
      <c r="T967" s="252"/>
      <c r="U967" s="252"/>
      <c r="V967" s="267"/>
      <c r="W967" s="291"/>
      <c r="X967" s="252"/>
    </row>
    <row r="968" spans="1:24" s="290" customFormat="1" ht="12" customHeight="1" x14ac:dyDescent="0.25">
      <c r="F968" s="224"/>
      <c r="G968" s="252"/>
      <c r="H968" s="252"/>
      <c r="I968" s="252"/>
      <c r="J968" s="252"/>
      <c r="K968" s="252"/>
      <c r="L968" s="224"/>
      <c r="M968" s="224"/>
      <c r="N968" s="224"/>
      <c r="O968" s="224"/>
      <c r="P968" s="224"/>
      <c r="Q968" s="252"/>
      <c r="R968" s="252"/>
      <c r="S968" s="252"/>
      <c r="T968" s="252"/>
      <c r="U968" s="252"/>
      <c r="V968" s="267"/>
      <c r="W968" s="291"/>
      <c r="X968" s="252"/>
    </row>
    <row r="969" spans="1:24" s="290" customFormat="1" ht="12" customHeight="1" x14ac:dyDescent="0.25">
      <c r="F969" s="224"/>
      <c r="G969" s="252"/>
      <c r="H969" s="252"/>
      <c r="I969" s="252"/>
      <c r="J969" s="252"/>
      <c r="K969" s="252"/>
      <c r="L969" s="224"/>
      <c r="M969" s="224"/>
      <c r="N969" s="224"/>
      <c r="O969" s="224"/>
      <c r="P969" s="224"/>
      <c r="Q969" s="252"/>
      <c r="R969" s="252"/>
      <c r="S969" s="252"/>
      <c r="T969" s="252"/>
      <c r="U969" s="252"/>
      <c r="V969" s="267"/>
      <c r="W969" s="291"/>
      <c r="X969" s="252"/>
    </row>
    <row r="970" spans="1:24" s="290" customFormat="1" ht="12" customHeight="1" x14ac:dyDescent="0.25">
      <c r="F970" s="224"/>
      <c r="G970" s="252"/>
      <c r="H970" s="252"/>
      <c r="I970" s="252"/>
      <c r="J970" s="252"/>
      <c r="K970" s="252"/>
      <c r="L970" s="224"/>
      <c r="M970" s="224"/>
      <c r="N970" s="224"/>
      <c r="O970" s="224"/>
      <c r="P970" s="224"/>
      <c r="Q970" s="252"/>
      <c r="R970" s="252"/>
      <c r="S970" s="252"/>
      <c r="T970" s="252"/>
      <c r="U970" s="252"/>
      <c r="V970" s="267"/>
      <c r="W970" s="291"/>
      <c r="X970" s="252"/>
    </row>
    <row r="971" spans="1:24" s="290" customFormat="1" ht="12" customHeight="1" x14ac:dyDescent="0.25">
      <c r="F971" s="224"/>
      <c r="G971" s="252"/>
      <c r="H971" s="252"/>
      <c r="I971" s="252"/>
      <c r="J971" s="252"/>
      <c r="K971" s="252"/>
      <c r="L971" s="224"/>
      <c r="M971" s="224"/>
      <c r="N971" s="224"/>
      <c r="O971" s="224"/>
      <c r="P971" s="224"/>
      <c r="Q971" s="252"/>
      <c r="R971" s="252"/>
      <c r="S971" s="252"/>
      <c r="T971" s="252"/>
      <c r="U971" s="252"/>
      <c r="V971" s="252"/>
      <c r="W971" s="291"/>
      <c r="X971" s="252"/>
    </row>
    <row r="972" spans="1:24" s="290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290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290" customFormat="1" ht="12" customHeight="1" x14ac:dyDescent="0.25">
      <c r="A974" s="289"/>
      <c r="F974" s="112"/>
      <c r="L974" s="112"/>
      <c r="M974" s="112"/>
      <c r="N974" s="112"/>
      <c r="O974" s="112"/>
      <c r="P974" s="112"/>
    </row>
    <row r="975" spans="1:24" s="290" customFormat="1" ht="12" customHeight="1" x14ac:dyDescent="0.25">
      <c r="F975" s="112"/>
      <c r="G975" s="271"/>
      <c r="H975" s="271"/>
      <c r="I975" s="271"/>
      <c r="J975" s="271"/>
      <c r="K975" s="271"/>
      <c r="L975" s="293"/>
      <c r="M975" s="293"/>
      <c r="N975" s="293"/>
      <c r="O975" s="293"/>
      <c r="P975" s="293"/>
      <c r="Q975" s="271"/>
      <c r="R975" s="271"/>
      <c r="S975" s="271"/>
      <c r="T975" s="271"/>
      <c r="U975" s="271"/>
    </row>
    <row r="976" spans="1:24" s="290" customFormat="1" ht="12" customHeight="1" x14ac:dyDescent="0.25">
      <c r="F976" s="112"/>
      <c r="G976" s="271"/>
      <c r="H976" s="271"/>
      <c r="I976" s="271"/>
      <c r="J976" s="271"/>
      <c r="K976" s="271"/>
      <c r="L976" s="293"/>
      <c r="M976" s="293"/>
      <c r="N976" s="293"/>
      <c r="O976" s="293"/>
      <c r="P976" s="293"/>
      <c r="Q976" s="271"/>
      <c r="R976" s="271"/>
      <c r="S976" s="271"/>
      <c r="T976" s="271"/>
    </row>
    <row r="977" spans="1:21" s="290" customFormat="1" ht="12" customHeight="1" x14ac:dyDescent="0.25">
      <c r="F977" s="112"/>
      <c r="G977" s="271"/>
      <c r="H977" s="271"/>
      <c r="I977" s="271"/>
      <c r="J977" s="271"/>
      <c r="K977" s="271"/>
      <c r="L977" s="293"/>
      <c r="M977" s="293"/>
      <c r="N977" s="293"/>
      <c r="O977" s="293"/>
      <c r="P977" s="293"/>
      <c r="Q977" s="271"/>
      <c r="R977" s="271"/>
      <c r="S977" s="271"/>
      <c r="T977" s="271"/>
    </row>
    <row r="978" spans="1:21" s="290" customFormat="1" ht="12" customHeight="1" x14ac:dyDescent="0.25">
      <c r="F978" s="112"/>
      <c r="G978" s="271"/>
      <c r="H978" s="271"/>
      <c r="I978" s="271"/>
      <c r="J978" s="271"/>
      <c r="K978" s="271"/>
      <c r="L978" s="293"/>
      <c r="M978" s="293"/>
      <c r="N978" s="293"/>
      <c r="O978" s="293"/>
      <c r="P978" s="293"/>
      <c r="Q978" s="271"/>
      <c r="R978" s="271"/>
      <c r="S978" s="271"/>
      <c r="T978" s="271"/>
    </row>
    <row r="979" spans="1:21" s="290" customFormat="1" ht="12" customHeight="1" x14ac:dyDescent="0.25">
      <c r="F979" s="112"/>
      <c r="G979" s="271"/>
      <c r="H979" s="271"/>
      <c r="I979" s="271"/>
      <c r="J979" s="271"/>
      <c r="K979" s="271"/>
      <c r="L979" s="293"/>
      <c r="M979" s="293"/>
      <c r="N979" s="293"/>
      <c r="O979" s="293"/>
      <c r="P979" s="293"/>
      <c r="Q979" s="271"/>
      <c r="R979" s="271"/>
      <c r="S979" s="271"/>
      <c r="T979" s="271"/>
    </row>
    <row r="980" spans="1:21" s="290" customFormat="1" ht="12" customHeight="1" x14ac:dyDescent="0.25">
      <c r="F980" s="112"/>
      <c r="G980" s="271"/>
      <c r="H980" s="271"/>
      <c r="I980" s="271"/>
      <c r="J980" s="271"/>
      <c r="K980" s="271"/>
      <c r="L980" s="293"/>
      <c r="M980" s="293"/>
      <c r="N980" s="293"/>
      <c r="O980" s="293"/>
      <c r="P980" s="293"/>
      <c r="Q980" s="271"/>
      <c r="R980" s="271"/>
      <c r="S980" s="271"/>
      <c r="T980" s="271"/>
    </row>
    <row r="981" spans="1:21" s="290" customFormat="1" ht="12" customHeight="1" x14ac:dyDescent="0.25">
      <c r="F981" s="112"/>
      <c r="G981" s="271"/>
      <c r="H981" s="271"/>
      <c r="I981" s="271"/>
      <c r="J981" s="271"/>
      <c r="K981" s="271"/>
      <c r="L981" s="272"/>
      <c r="M981" s="272"/>
      <c r="N981" s="272"/>
      <c r="O981" s="272"/>
      <c r="P981" s="272"/>
      <c r="Q981" s="271"/>
      <c r="R981" s="271"/>
      <c r="S981" s="271"/>
      <c r="T981" s="271"/>
    </row>
    <row r="982" spans="1:21" s="290" customFormat="1" ht="12" customHeight="1" x14ac:dyDescent="0.25">
      <c r="F982" s="112"/>
      <c r="G982" s="271"/>
      <c r="H982" s="271"/>
      <c r="I982" s="271"/>
      <c r="J982" s="271"/>
      <c r="K982" s="271"/>
      <c r="L982" s="293"/>
      <c r="M982" s="293"/>
      <c r="N982" s="293"/>
      <c r="O982" s="293"/>
      <c r="P982" s="293"/>
      <c r="Q982" s="271"/>
      <c r="R982" s="271"/>
      <c r="S982" s="271"/>
      <c r="T982" s="271"/>
    </row>
    <row r="983" spans="1:21" s="290" customFormat="1" ht="12" customHeight="1" x14ac:dyDescent="0.25">
      <c r="F983" s="112"/>
      <c r="G983" s="273"/>
      <c r="H983" s="273"/>
      <c r="I983" s="273"/>
      <c r="J983" s="273"/>
      <c r="K983" s="273"/>
      <c r="L983" s="274"/>
      <c r="M983" s="274"/>
      <c r="N983" s="274"/>
      <c r="O983" s="274"/>
      <c r="P983" s="274"/>
      <c r="Q983" s="273"/>
      <c r="R983" s="273"/>
      <c r="S983" s="273"/>
      <c r="T983" s="273"/>
      <c r="U983" s="273"/>
    </row>
    <row r="984" spans="1:21" s="290" customFormat="1" ht="12" customHeight="1" x14ac:dyDescent="0.25">
      <c r="F984" s="112"/>
      <c r="G984" s="273"/>
      <c r="H984" s="273"/>
      <c r="I984" s="273"/>
      <c r="J984" s="273"/>
      <c r="K984" s="273"/>
      <c r="L984" s="274"/>
      <c r="M984" s="274"/>
      <c r="N984" s="274"/>
      <c r="O984" s="274"/>
      <c r="P984" s="274"/>
      <c r="Q984" s="273"/>
      <c r="R984" s="273"/>
      <c r="S984" s="273"/>
      <c r="T984" s="273"/>
      <c r="U984" s="273"/>
    </row>
    <row r="985" spans="1:21" s="290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290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290" customFormat="1" ht="12" customHeight="1" x14ac:dyDescent="0.25">
      <c r="A987" s="289"/>
      <c r="F987" s="112"/>
      <c r="L987" s="112"/>
      <c r="M987" s="112"/>
      <c r="N987" s="112"/>
      <c r="O987" s="112"/>
      <c r="P987" s="112"/>
    </row>
    <row r="988" spans="1:21" s="290" customFormat="1" ht="12" customHeight="1" x14ac:dyDescent="0.25">
      <c r="F988" s="112"/>
      <c r="G988" s="271"/>
      <c r="H988" s="271"/>
      <c r="I988" s="271"/>
      <c r="J988" s="271"/>
      <c r="K988" s="271"/>
      <c r="L988" s="293"/>
      <c r="M988" s="293"/>
      <c r="N988" s="293"/>
      <c r="O988" s="293"/>
      <c r="P988" s="293"/>
      <c r="Q988" s="271"/>
      <c r="R988" s="271"/>
      <c r="S988" s="271"/>
      <c r="T988" s="271"/>
    </row>
    <row r="989" spans="1:21" s="290" customFormat="1" ht="12" customHeight="1" x14ac:dyDescent="0.25">
      <c r="F989" s="112"/>
      <c r="G989" s="271"/>
      <c r="H989" s="271"/>
      <c r="I989" s="271"/>
      <c r="J989" s="271"/>
      <c r="K989" s="271"/>
      <c r="L989" s="293"/>
      <c r="M989" s="293"/>
      <c r="N989" s="293"/>
      <c r="O989" s="293"/>
      <c r="P989" s="293"/>
      <c r="Q989" s="271"/>
      <c r="R989" s="271"/>
      <c r="S989" s="271"/>
      <c r="T989" s="271"/>
      <c r="U989" s="294"/>
    </row>
    <row r="990" spans="1:21" s="290" customFormat="1" ht="12" customHeight="1" x14ac:dyDescent="0.25">
      <c r="F990" s="112"/>
      <c r="G990" s="271"/>
      <c r="H990" s="271"/>
      <c r="I990" s="271"/>
      <c r="J990" s="271"/>
      <c r="K990" s="271"/>
      <c r="L990" s="293"/>
      <c r="M990" s="293"/>
      <c r="N990" s="293"/>
      <c r="O990" s="293"/>
      <c r="P990" s="293"/>
      <c r="Q990" s="271"/>
      <c r="R990" s="271"/>
      <c r="S990" s="271"/>
      <c r="T990" s="271"/>
      <c r="U990" s="294"/>
    </row>
    <row r="991" spans="1:21" s="290" customFormat="1" ht="12" customHeight="1" x14ac:dyDescent="0.25">
      <c r="F991" s="112"/>
      <c r="G991" s="271"/>
      <c r="H991" s="271"/>
      <c r="I991" s="271"/>
      <c r="J991" s="271"/>
      <c r="K991" s="271"/>
      <c r="L991" s="293"/>
      <c r="M991" s="293"/>
      <c r="N991" s="293"/>
      <c r="O991" s="293"/>
      <c r="P991" s="293"/>
      <c r="Q991" s="271"/>
      <c r="R991" s="271"/>
      <c r="S991" s="271"/>
      <c r="T991" s="271"/>
      <c r="U991" s="294"/>
    </row>
    <row r="992" spans="1:21" s="290" customFormat="1" ht="12" customHeight="1" x14ac:dyDescent="0.25">
      <c r="F992" s="112"/>
      <c r="G992" s="271"/>
      <c r="H992" s="271"/>
      <c r="I992" s="271"/>
      <c r="J992" s="271"/>
      <c r="K992" s="271"/>
      <c r="L992" s="293"/>
      <c r="M992" s="293"/>
      <c r="N992" s="293"/>
      <c r="O992" s="293"/>
      <c r="P992" s="293"/>
      <c r="Q992" s="271"/>
      <c r="R992" s="271"/>
      <c r="S992" s="271"/>
      <c r="T992" s="271"/>
    </row>
    <row r="993" spans="1:21" s="290" customFormat="1" ht="12" customHeight="1" x14ac:dyDescent="0.25">
      <c r="F993" s="112"/>
      <c r="G993" s="271"/>
      <c r="H993" s="271"/>
      <c r="I993" s="271"/>
      <c r="J993" s="271"/>
      <c r="K993" s="271"/>
      <c r="L993" s="293"/>
      <c r="M993" s="293"/>
      <c r="N993" s="293"/>
      <c r="O993" s="293"/>
      <c r="P993" s="293"/>
      <c r="Q993" s="271"/>
      <c r="R993" s="271"/>
      <c r="S993" s="271"/>
      <c r="T993" s="271"/>
    </row>
    <row r="994" spans="1:21" s="290" customFormat="1" ht="12" customHeight="1" x14ac:dyDescent="0.25">
      <c r="F994" s="112"/>
      <c r="G994" s="271"/>
      <c r="H994" s="271"/>
      <c r="I994" s="271"/>
      <c r="J994" s="271"/>
      <c r="K994" s="271"/>
      <c r="L994" s="272"/>
      <c r="M994" s="272"/>
      <c r="N994" s="272"/>
      <c r="O994" s="272"/>
      <c r="P994" s="272"/>
      <c r="Q994" s="271"/>
      <c r="R994" s="271"/>
      <c r="S994" s="271"/>
      <c r="T994" s="271"/>
    </row>
    <row r="995" spans="1:21" s="290" customFormat="1" ht="12" customHeight="1" x14ac:dyDescent="0.25">
      <c r="F995" s="112"/>
      <c r="G995" s="271"/>
      <c r="H995" s="271"/>
      <c r="I995" s="271"/>
      <c r="J995" s="271"/>
      <c r="K995" s="271"/>
      <c r="L995" s="293"/>
      <c r="M995" s="293"/>
      <c r="N995" s="293"/>
      <c r="O995" s="293"/>
      <c r="P995" s="293"/>
      <c r="Q995" s="271"/>
      <c r="R995" s="271"/>
      <c r="S995" s="271"/>
      <c r="T995" s="271"/>
    </row>
    <row r="996" spans="1:21" s="290" customFormat="1" ht="12" customHeight="1" x14ac:dyDescent="0.25">
      <c r="F996" s="112"/>
      <c r="G996" s="273"/>
      <c r="H996" s="273"/>
      <c r="I996" s="273"/>
      <c r="J996" s="273"/>
      <c r="K996" s="273"/>
      <c r="L996" s="274"/>
      <c r="M996" s="274"/>
      <c r="N996" s="274"/>
      <c r="O996" s="274"/>
      <c r="P996" s="274"/>
      <c r="Q996" s="273"/>
      <c r="R996" s="273"/>
      <c r="S996" s="273"/>
      <c r="T996" s="273"/>
    </row>
    <row r="997" spans="1:21" s="290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290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290" customFormat="1" ht="12" customHeight="1" x14ac:dyDescent="0.25">
      <c r="A999" s="289"/>
      <c r="F999" s="112"/>
      <c r="L999" s="112"/>
      <c r="M999" s="112"/>
      <c r="N999" s="112"/>
      <c r="O999" s="112"/>
      <c r="P999" s="112"/>
    </row>
    <row r="1000" spans="1:21" s="290" customFormat="1" ht="12" customHeight="1" x14ac:dyDescent="0.25">
      <c r="A1000" s="289"/>
      <c r="F1000" s="112"/>
      <c r="L1000" s="112"/>
      <c r="M1000" s="112"/>
      <c r="N1000" s="112"/>
      <c r="O1000" s="112"/>
      <c r="P1000" s="112"/>
    </row>
    <row r="1001" spans="1:21" s="290" customFormat="1" ht="12" customHeight="1" x14ac:dyDescent="0.25">
      <c r="A1001" s="289"/>
      <c r="F1001" s="112"/>
      <c r="L1001" s="112"/>
      <c r="M1001" s="112"/>
      <c r="N1001" s="112"/>
      <c r="O1001" s="112"/>
      <c r="P1001" s="112"/>
    </row>
    <row r="1002" spans="1:21" s="290" customFormat="1" ht="12" customHeight="1" x14ac:dyDescent="0.25">
      <c r="F1002" s="112"/>
      <c r="G1002" s="271"/>
      <c r="H1002" s="271"/>
      <c r="I1002" s="271"/>
      <c r="J1002" s="271"/>
      <c r="K1002" s="271"/>
      <c r="L1002" s="272"/>
      <c r="M1002" s="272"/>
      <c r="N1002" s="272"/>
      <c r="O1002" s="272"/>
      <c r="P1002" s="272"/>
      <c r="Q1002" s="271"/>
      <c r="R1002" s="271"/>
      <c r="S1002" s="271"/>
      <c r="T1002" s="271"/>
      <c r="U1002" s="271"/>
    </row>
    <row r="1003" spans="1:21" s="290" customFormat="1" ht="12" customHeight="1" x14ac:dyDescent="0.4">
      <c r="F1003" s="112"/>
      <c r="G1003" s="295"/>
      <c r="H1003" s="295"/>
      <c r="I1003" s="295"/>
      <c r="J1003" s="295"/>
      <c r="K1003" s="295"/>
      <c r="L1003" s="296"/>
      <c r="M1003" s="296"/>
      <c r="N1003" s="296"/>
      <c r="O1003" s="296"/>
      <c r="P1003" s="296"/>
      <c r="Q1003" s="295"/>
      <c r="R1003" s="295"/>
      <c r="S1003" s="295"/>
      <c r="T1003" s="295"/>
      <c r="U1003" s="271"/>
    </row>
    <row r="1004" spans="1:21" s="290" customFormat="1" ht="12" customHeight="1" x14ac:dyDescent="0.25">
      <c r="F1004" s="112"/>
      <c r="G1004" s="271"/>
      <c r="H1004" s="271"/>
      <c r="I1004" s="271"/>
      <c r="J1004" s="271"/>
      <c r="K1004" s="271"/>
      <c r="L1004" s="272"/>
      <c r="M1004" s="272"/>
      <c r="N1004" s="272"/>
      <c r="O1004" s="272"/>
      <c r="P1004" s="272"/>
      <c r="Q1004" s="271"/>
      <c r="R1004" s="271"/>
      <c r="S1004" s="271"/>
      <c r="T1004" s="271"/>
      <c r="U1004" s="271"/>
    </row>
    <row r="1005" spans="1:21" s="290" customFormat="1" ht="12" customHeight="1" x14ac:dyDescent="0.25">
      <c r="A1005" s="289"/>
      <c r="F1005" s="112"/>
      <c r="L1005" s="112"/>
      <c r="M1005" s="112"/>
      <c r="N1005" s="112"/>
      <c r="O1005" s="112"/>
      <c r="P1005" s="112"/>
    </row>
    <row r="1006" spans="1:21" s="290" customFormat="1" ht="12" customHeight="1" x14ac:dyDescent="0.25">
      <c r="A1006" s="289"/>
      <c r="F1006" s="112"/>
      <c r="L1006" s="112"/>
      <c r="M1006" s="112"/>
      <c r="N1006" s="112"/>
      <c r="O1006" s="112"/>
      <c r="P1006" s="112"/>
    </row>
    <row r="1007" spans="1:21" s="290" customFormat="1" ht="12" customHeight="1" x14ac:dyDescent="0.25">
      <c r="F1007" s="112"/>
      <c r="G1007" s="271"/>
      <c r="H1007" s="271"/>
      <c r="I1007" s="271"/>
      <c r="J1007" s="271"/>
      <c r="K1007" s="271"/>
      <c r="L1007" s="272"/>
      <c r="M1007" s="272"/>
      <c r="N1007" s="272"/>
      <c r="O1007" s="272"/>
      <c r="P1007" s="272"/>
      <c r="Q1007" s="271"/>
      <c r="R1007" s="271"/>
      <c r="S1007" s="271"/>
      <c r="T1007" s="271"/>
      <c r="U1007" s="271"/>
    </row>
    <row r="1008" spans="1:21" s="290" customFormat="1" ht="12" customHeight="1" x14ac:dyDescent="0.4">
      <c r="F1008" s="112"/>
      <c r="G1008" s="295"/>
      <c r="H1008" s="295"/>
      <c r="I1008" s="295"/>
      <c r="J1008" s="295"/>
      <c r="K1008" s="295"/>
      <c r="L1008" s="296"/>
      <c r="M1008" s="296"/>
      <c r="N1008" s="296"/>
      <c r="O1008" s="296"/>
      <c r="P1008" s="296"/>
      <c r="Q1008" s="295"/>
      <c r="R1008" s="295"/>
      <c r="S1008" s="295"/>
      <c r="T1008" s="295"/>
      <c r="U1008" s="271"/>
    </row>
    <row r="1009" spans="1:21" s="290" customFormat="1" ht="12" customHeight="1" x14ac:dyDescent="0.25">
      <c r="F1009" s="112"/>
      <c r="G1009" s="271"/>
      <c r="H1009" s="271"/>
      <c r="I1009" s="271"/>
      <c r="J1009" s="271"/>
      <c r="K1009" s="271"/>
      <c r="L1009" s="272"/>
      <c r="M1009" s="272"/>
      <c r="N1009" s="272"/>
      <c r="O1009" s="272"/>
      <c r="P1009" s="272"/>
      <c r="Q1009" s="271"/>
      <c r="R1009" s="271"/>
      <c r="S1009" s="271"/>
      <c r="T1009" s="271"/>
      <c r="U1009" s="271"/>
    </row>
    <row r="1010" spans="1:21" s="290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290" customFormat="1" ht="12" customHeight="1" x14ac:dyDescent="0.25">
      <c r="A1011" s="289"/>
      <c r="F1011" s="112"/>
      <c r="L1011" s="112"/>
      <c r="M1011" s="112"/>
      <c r="N1011" s="112"/>
      <c r="O1011" s="112"/>
      <c r="P1011" s="112"/>
    </row>
    <row r="1012" spans="1:21" s="290" customFormat="1" ht="12" customHeight="1" x14ac:dyDescent="0.25">
      <c r="F1012" s="112"/>
      <c r="G1012" s="271"/>
      <c r="H1012" s="271"/>
      <c r="I1012" s="271"/>
      <c r="J1012" s="271"/>
      <c r="K1012" s="271"/>
      <c r="L1012" s="272"/>
      <c r="M1012" s="272"/>
      <c r="N1012" s="272"/>
      <c r="O1012" s="272"/>
      <c r="P1012" s="272"/>
      <c r="Q1012" s="271"/>
      <c r="R1012" s="271"/>
      <c r="S1012" s="271"/>
      <c r="T1012" s="271"/>
      <c r="U1012" s="271"/>
    </row>
    <row r="1013" spans="1:21" s="290" customFormat="1" ht="12" customHeight="1" x14ac:dyDescent="0.4">
      <c r="F1013" s="112"/>
      <c r="G1013" s="295"/>
      <c r="H1013" s="295"/>
      <c r="I1013" s="295"/>
      <c r="J1013" s="295"/>
      <c r="K1013" s="295"/>
      <c r="L1013" s="296"/>
      <c r="M1013" s="296"/>
      <c r="N1013" s="296"/>
      <c r="O1013" s="296"/>
      <c r="P1013" s="296"/>
      <c r="Q1013" s="295"/>
      <c r="R1013" s="295"/>
      <c r="S1013" s="295"/>
      <c r="T1013" s="295"/>
      <c r="U1013" s="271"/>
    </row>
    <row r="1014" spans="1:21" s="290" customFormat="1" ht="12" customHeight="1" x14ac:dyDescent="0.25">
      <c r="F1014" s="112"/>
      <c r="G1014" s="271"/>
      <c r="H1014" s="271"/>
      <c r="I1014" s="271"/>
      <c r="J1014" s="271"/>
      <c r="K1014" s="271"/>
      <c r="L1014" s="272"/>
      <c r="M1014" s="272"/>
      <c r="N1014" s="272"/>
      <c r="O1014" s="272"/>
      <c r="P1014" s="272"/>
      <c r="Q1014" s="271"/>
      <c r="R1014" s="271"/>
      <c r="S1014" s="271"/>
      <c r="T1014" s="271"/>
      <c r="U1014" s="271"/>
    </row>
    <row r="1015" spans="1:21" s="290" customFormat="1" ht="12" customHeight="1" x14ac:dyDescent="0.25">
      <c r="F1015" s="112"/>
      <c r="G1015" s="271"/>
      <c r="H1015" s="271"/>
      <c r="I1015" s="271"/>
      <c r="J1015" s="271"/>
      <c r="K1015" s="271"/>
      <c r="L1015" s="272"/>
      <c r="M1015" s="272"/>
      <c r="N1015" s="272"/>
      <c r="O1015" s="272"/>
      <c r="P1015" s="272"/>
      <c r="Q1015" s="271"/>
      <c r="R1015" s="271"/>
      <c r="S1015" s="271"/>
      <c r="T1015" s="271"/>
      <c r="U1015" s="271"/>
    </row>
    <row r="1016" spans="1:21" s="290" customFormat="1" ht="12" customHeight="1" x14ac:dyDescent="0.25">
      <c r="A1016" s="289"/>
      <c r="F1016" s="112"/>
      <c r="L1016" s="112"/>
      <c r="M1016" s="112"/>
      <c r="N1016" s="112"/>
      <c r="O1016" s="112"/>
      <c r="P1016" s="112"/>
    </row>
    <row r="1017" spans="1:21" s="290" customFormat="1" ht="12" customHeight="1" x14ac:dyDescent="0.25">
      <c r="F1017" s="112"/>
      <c r="G1017" s="271"/>
      <c r="H1017" s="271"/>
      <c r="I1017" s="271"/>
      <c r="J1017" s="271"/>
      <c r="K1017" s="271"/>
      <c r="L1017" s="272"/>
      <c r="M1017" s="272"/>
      <c r="N1017" s="272"/>
      <c r="O1017" s="272"/>
      <c r="P1017" s="272"/>
      <c r="Q1017" s="271"/>
      <c r="R1017" s="271"/>
      <c r="S1017" s="271"/>
      <c r="T1017" s="271"/>
      <c r="U1017" s="271"/>
    </row>
    <row r="1018" spans="1:21" s="290" customFormat="1" ht="12" customHeight="1" x14ac:dyDescent="0.4">
      <c r="F1018" s="112"/>
      <c r="G1018" s="295"/>
      <c r="H1018" s="295"/>
      <c r="I1018" s="295"/>
      <c r="J1018" s="295"/>
      <c r="K1018" s="295"/>
      <c r="L1018" s="296"/>
      <c r="M1018" s="296"/>
      <c r="N1018" s="296"/>
      <c r="O1018" s="296"/>
      <c r="P1018" s="296"/>
      <c r="Q1018" s="295"/>
      <c r="R1018" s="295"/>
      <c r="S1018" s="295"/>
      <c r="T1018" s="295"/>
      <c r="U1018" s="271"/>
    </row>
    <row r="1019" spans="1:21" s="290" customFormat="1" ht="12" customHeight="1" x14ac:dyDescent="0.25">
      <c r="F1019" s="112"/>
      <c r="G1019" s="271"/>
      <c r="H1019" s="271"/>
      <c r="I1019" s="271"/>
      <c r="J1019" s="271"/>
      <c r="K1019" s="271"/>
      <c r="L1019" s="272"/>
      <c r="M1019" s="272"/>
      <c r="N1019" s="272"/>
      <c r="O1019" s="272"/>
      <c r="P1019" s="272"/>
      <c r="Q1019" s="271"/>
      <c r="R1019" s="271"/>
      <c r="S1019" s="271"/>
      <c r="T1019" s="271"/>
      <c r="U1019" s="271"/>
    </row>
    <row r="1020" spans="1:21" s="290" customFormat="1" ht="12" customHeight="1" x14ac:dyDescent="0.25">
      <c r="F1020" s="112"/>
      <c r="G1020" s="271"/>
      <c r="H1020" s="271"/>
      <c r="I1020" s="271"/>
      <c r="J1020" s="271"/>
      <c r="K1020" s="271"/>
      <c r="L1020" s="272"/>
      <c r="M1020" s="272"/>
      <c r="N1020" s="272"/>
      <c r="O1020" s="272"/>
      <c r="P1020" s="272"/>
      <c r="Q1020" s="271"/>
      <c r="R1020" s="271"/>
      <c r="S1020" s="271"/>
      <c r="T1020" s="271"/>
      <c r="U1020" s="271"/>
    </row>
    <row r="1021" spans="1:21" s="290" customFormat="1" ht="12" customHeight="1" x14ac:dyDescent="0.25">
      <c r="A1021" s="289"/>
      <c r="F1021" s="112"/>
      <c r="L1021" s="112"/>
      <c r="M1021" s="112"/>
      <c r="N1021" s="112"/>
      <c r="O1021" s="112"/>
      <c r="P1021" s="112"/>
    </row>
    <row r="1022" spans="1:21" s="290" customFormat="1" ht="12" customHeight="1" x14ac:dyDescent="0.25">
      <c r="F1022" s="112"/>
      <c r="G1022" s="271"/>
      <c r="H1022" s="271"/>
      <c r="I1022" s="271"/>
      <c r="J1022" s="271"/>
      <c r="K1022" s="271"/>
      <c r="L1022" s="272"/>
      <c r="M1022" s="272"/>
      <c r="N1022" s="272"/>
      <c r="O1022" s="272"/>
      <c r="P1022" s="272"/>
      <c r="Q1022" s="271"/>
      <c r="R1022" s="271"/>
      <c r="S1022" s="271"/>
      <c r="T1022" s="271"/>
      <c r="U1022" s="271"/>
    </row>
    <row r="1023" spans="1:21" s="290" customFormat="1" ht="12" customHeight="1" x14ac:dyDescent="0.4">
      <c r="F1023" s="112"/>
      <c r="G1023" s="295"/>
      <c r="H1023" s="295"/>
      <c r="I1023" s="295"/>
      <c r="J1023" s="295"/>
      <c r="K1023" s="295"/>
      <c r="L1023" s="296"/>
      <c r="M1023" s="296"/>
      <c r="N1023" s="296"/>
      <c r="O1023" s="296"/>
      <c r="P1023" s="296"/>
      <c r="Q1023" s="295"/>
      <c r="R1023" s="295"/>
      <c r="S1023" s="295"/>
      <c r="T1023" s="295"/>
      <c r="U1023" s="271"/>
    </row>
    <row r="1024" spans="1:21" s="290" customFormat="1" ht="12" customHeight="1" x14ac:dyDescent="0.25">
      <c r="F1024" s="112"/>
      <c r="G1024" s="271"/>
      <c r="H1024" s="271"/>
      <c r="I1024" s="271"/>
      <c r="J1024" s="271"/>
      <c r="K1024" s="271"/>
      <c r="L1024" s="272"/>
      <c r="M1024" s="272"/>
      <c r="N1024" s="272"/>
      <c r="O1024" s="272"/>
      <c r="P1024" s="272"/>
      <c r="Q1024" s="271"/>
      <c r="R1024" s="271"/>
      <c r="S1024" s="271"/>
      <c r="T1024" s="271"/>
      <c r="U1024" s="271"/>
    </row>
    <row r="1025" spans="1:21" s="290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290" customFormat="1" ht="12" customHeight="1" x14ac:dyDescent="0.25">
      <c r="A1026" s="289"/>
      <c r="F1026" s="112"/>
      <c r="L1026" s="112"/>
      <c r="M1026" s="112"/>
      <c r="N1026" s="112"/>
      <c r="O1026" s="112"/>
      <c r="P1026" s="112"/>
    </row>
    <row r="1027" spans="1:21" s="290" customFormat="1" ht="12" customHeight="1" x14ac:dyDescent="0.25">
      <c r="F1027" s="112"/>
      <c r="G1027" s="271"/>
      <c r="H1027" s="271"/>
      <c r="I1027" s="271"/>
      <c r="J1027" s="271"/>
      <c r="K1027" s="271"/>
      <c r="L1027" s="272"/>
      <c r="M1027" s="272"/>
      <c r="N1027" s="272"/>
      <c r="O1027" s="272"/>
      <c r="P1027" s="272"/>
      <c r="Q1027" s="271"/>
      <c r="R1027" s="271"/>
      <c r="S1027" s="271"/>
      <c r="T1027" s="271"/>
      <c r="U1027" s="271"/>
    </row>
    <row r="1028" spans="1:21" s="290" customFormat="1" ht="12" customHeight="1" x14ac:dyDescent="0.4">
      <c r="F1028" s="112"/>
      <c r="G1028" s="295"/>
      <c r="H1028" s="295"/>
      <c r="I1028" s="295"/>
      <c r="J1028" s="295"/>
      <c r="K1028" s="295"/>
      <c r="L1028" s="296"/>
      <c r="M1028" s="296"/>
      <c r="N1028" s="296"/>
      <c r="O1028" s="296"/>
      <c r="P1028" s="296"/>
      <c r="Q1028" s="295"/>
      <c r="R1028" s="295"/>
      <c r="S1028" s="295"/>
      <c r="T1028" s="295"/>
      <c r="U1028" s="271"/>
    </row>
    <row r="1029" spans="1:21" s="290" customFormat="1" ht="12" customHeight="1" x14ac:dyDescent="0.25">
      <c r="F1029" s="112"/>
      <c r="G1029" s="271"/>
      <c r="H1029" s="271"/>
      <c r="I1029" s="271"/>
      <c r="J1029" s="271"/>
      <c r="K1029" s="271"/>
      <c r="L1029" s="272"/>
      <c r="M1029" s="272"/>
      <c r="N1029" s="272"/>
      <c r="O1029" s="272"/>
      <c r="P1029" s="272"/>
      <c r="Q1029" s="271"/>
      <c r="R1029" s="271"/>
      <c r="S1029" s="271"/>
      <c r="T1029" s="271"/>
      <c r="U1029" s="271"/>
    </row>
    <row r="1030" spans="1:21" s="290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290" customFormat="1" ht="12" customHeight="1" x14ac:dyDescent="0.25">
      <c r="A1031" s="289"/>
      <c r="F1031" s="112"/>
      <c r="L1031" s="112"/>
      <c r="M1031" s="112"/>
      <c r="N1031" s="112"/>
      <c r="O1031" s="112"/>
      <c r="P1031" s="112"/>
    </row>
    <row r="1032" spans="1:21" s="290" customFormat="1" ht="12" customHeight="1" x14ac:dyDescent="0.25">
      <c r="F1032" s="112"/>
      <c r="G1032" s="271"/>
      <c r="H1032" s="271"/>
      <c r="I1032" s="271"/>
      <c r="J1032" s="271"/>
      <c r="K1032" s="271"/>
      <c r="L1032" s="272"/>
      <c r="M1032" s="272"/>
      <c r="N1032" s="272"/>
      <c r="O1032" s="272"/>
      <c r="P1032" s="272"/>
      <c r="Q1032" s="271"/>
      <c r="R1032" s="271"/>
      <c r="S1032" s="271"/>
      <c r="T1032" s="271"/>
      <c r="U1032" s="271"/>
    </row>
    <row r="1033" spans="1:21" s="290" customFormat="1" ht="12" customHeight="1" x14ac:dyDescent="0.4">
      <c r="F1033" s="112"/>
      <c r="G1033" s="295"/>
      <c r="H1033" s="295"/>
      <c r="I1033" s="295"/>
      <c r="J1033" s="295"/>
      <c r="K1033" s="295"/>
      <c r="L1033" s="296"/>
      <c r="M1033" s="296"/>
      <c r="N1033" s="296"/>
      <c r="O1033" s="296"/>
      <c r="P1033" s="296"/>
      <c r="Q1033" s="295"/>
      <c r="R1033" s="295"/>
      <c r="S1033" s="295"/>
      <c r="T1033" s="295"/>
      <c r="U1033" s="271"/>
    </row>
    <row r="1034" spans="1:21" s="290" customFormat="1" ht="12" customHeight="1" x14ac:dyDescent="0.25">
      <c r="F1034" s="112"/>
      <c r="G1034" s="271"/>
      <c r="H1034" s="271"/>
      <c r="I1034" s="271"/>
      <c r="J1034" s="271"/>
      <c r="K1034" s="271"/>
      <c r="L1034" s="272"/>
      <c r="M1034" s="272"/>
      <c r="N1034" s="272"/>
      <c r="O1034" s="272"/>
      <c r="P1034" s="272"/>
      <c r="Q1034" s="271"/>
      <c r="R1034" s="271"/>
      <c r="S1034" s="271"/>
      <c r="T1034" s="271"/>
      <c r="U1034" s="271"/>
    </row>
    <row r="1035" spans="1:21" s="290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290" customFormat="1" ht="12" customHeight="1" x14ac:dyDescent="0.25">
      <c r="A1036" s="289"/>
      <c r="F1036" s="112"/>
      <c r="L1036" s="112"/>
      <c r="M1036" s="112"/>
      <c r="N1036" s="112"/>
      <c r="O1036" s="112"/>
      <c r="P1036" s="112"/>
    </row>
    <row r="1037" spans="1:21" s="290" customFormat="1" ht="12" customHeight="1" x14ac:dyDescent="0.25">
      <c r="F1037" s="112"/>
      <c r="G1037" s="271"/>
      <c r="H1037" s="271"/>
      <c r="I1037" s="271"/>
      <c r="J1037" s="271"/>
      <c r="K1037" s="271"/>
      <c r="L1037" s="272"/>
      <c r="M1037" s="272"/>
      <c r="N1037" s="272"/>
      <c r="O1037" s="272"/>
      <c r="P1037" s="272"/>
      <c r="Q1037" s="271"/>
      <c r="R1037" s="271"/>
      <c r="S1037" s="271"/>
      <c r="T1037" s="271"/>
      <c r="U1037" s="271"/>
    </row>
    <row r="1038" spans="1:21" s="290" customFormat="1" ht="12" customHeight="1" x14ac:dyDescent="0.4">
      <c r="F1038" s="112"/>
      <c r="G1038" s="295"/>
      <c r="H1038" s="295"/>
      <c r="I1038" s="295"/>
      <c r="J1038" s="295"/>
      <c r="K1038" s="295"/>
      <c r="L1038" s="296"/>
      <c r="M1038" s="296"/>
      <c r="N1038" s="296"/>
      <c r="O1038" s="296"/>
      <c r="P1038" s="296"/>
      <c r="Q1038" s="295"/>
      <c r="R1038" s="295"/>
      <c r="S1038" s="295"/>
      <c r="T1038" s="295"/>
      <c r="U1038" s="295"/>
    </row>
    <row r="1039" spans="1:21" s="290" customFormat="1" ht="12" customHeight="1" x14ac:dyDescent="0.25">
      <c r="F1039" s="112"/>
      <c r="G1039" s="271"/>
      <c r="H1039" s="271"/>
      <c r="I1039" s="271"/>
      <c r="J1039" s="271"/>
      <c r="K1039" s="271"/>
      <c r="L1039" s="272"/>
      <c r="M1039" s="272"/>
      <c r="N1039" s="272"/>
      <c r="O1039" s="272"/>
      <c r="P1039" s="272"/>
      <c r="Q1039" s="271"/>
      <c r="R1039" s="271"/>
      <c r="S1039" s="271"/>
      <c r="T1039" s="271"/>
      <c r="U1039" s="271"/>
    </row>
    <row r="1040" spans="1:21" s="290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290" customFormat="1" ht="12" customHeight="1" x14ac:dyDescent="0.25">
      <c r="A1041" s="289"/>
      <c r="F1041" s="112"/>
      <c r="L1041" s="112"/>
      <c r="M1041" s="112"/>
      <c r="N1041" s="112"/>
      <c r="O1041" s="112"/>
      <c r="P1041" s="112"/>
    </row>
    <row r="1042" spans="1:21" s="290" customFormat="1" ht="12" customHeight="1" x14ac:dyDescent="0.25">
      <c r="F1042" s="112"/>
      <c r="G1042" s="297"/>
      <c r="H1042" s="297"/>
      <c r="I1042" s="297"/>
      <c r="J1042" s="297"/>
      <c r="K1042" s="297"/>
      <c r="L1042" s="298"/>
      <c r="M1042" s="298"/>
      <c r="N1042" s="298"/>
      <c r="O1042" s="298"/>
      <c r="P1042" s="298"/>
      <c r="Q1042" s="297"/>
      <c r="R1042" s="297"/>
      <c r="S1042" s="297"/>
      <c r="T1042" s="297"/>
      <c r="U1042" s="297"/>
    </row>
    <row r="1043" spans="1:21" s="290" customFormat="1" ht="12" customHeight="1" x14ac:dyDescent="0.4">
      <c r="F1043" s="112"/>
      <c r="G1043" s="299"/>
      <c r="H1043" s="299"/>
      <c r="I1043" s="299"/>
      <c r="J1043" s="299"/>
      <c r="K1043" s="299"/>
      <c r="L1043" s="300"/>
      <c r="M1043" s="300"/>
      <c r="N1043" s="300"/>
      <c r="O1043" s="300"/>
      <c r="P1043" s="300"/>
      <c r="Q1043" s="299"/>
      <c r="R1043" s="299"/>
      <c r="S1043" s="299"/>
      <c r="T1043" s="299"/>
      <c r="U1043" s="299"/>
    </row>
    <row r="1044" spans="1:21" s="290" customFormat="1" ht="12" customHeight="1" x14ac:dyDescent="0.25">
      <c r="F1044" s="112"/>
      <c r="G1044" s="297"/>
      <c r="H1044" s="297"/>
      <c r="I1044" s="297"/>
      <c r="J1044" s="297"/>
      <c r="K1044" s="297"/>
      <c r="L1044" s="298"/>
      <c r="M1044" s="298"/>
      <c r="N1044" s="298"/>
      <c r="O1044" s="298"/>
      <c r="P1044" s="298"/>
      <c r="Q1044" s="297"/>
      <c r="R1044" s="297"/>
      <c r="S1044" s="297"/>
      <c r="T1044" s="297"/>
      <c r="U1044" s="297"/>
    </row>
    <row r="1045" spans="1:21" s="290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290" customFormat="1" ht="12" customHeight="1" x14ac:dyDescent="0.25">
      <c r="F1046" s="112"/>
      <c r="L1046" s="112"/>
      <c r="M1046" s="112"/>
      <c r="N1046" s="112"/>
      <c r="O1046" s="112"/>
      <c r="P1046" s="112"/>
      <c r="Q1046" s="271"/>
    </row>
    <row r="1047" spans="1:21" s="290" customFormat="1" ht="12" customHeight="1" x14ac:dyDescent="0.25">
      <c r="F1047" s="112"/>
      <c r="G1047" s="273"/>
      <c r="L1047" s="112"/>
      <c r="M1047" s="112"/>
      <c r="N1047" s="112"/>
      <c r="O1047" s="301"/>
      <c r="P1047" s="274"/>
      <c r="Q1047" s="271"/>
      <c r="R1047" s="271"/>
      <c r="S1047" s="271"/>
      <c r="T1047" s="271"/>
    </row>
    <row r="1048" spans="1:21" s="290" customFormat="1" ht="12" customHeight="1" x14ac:dyDescent="0.25">
      <c r="F1048" s="112"/>
      <c r="G1048" s="273"/>
      <c r="L1048" s="112"/>
      <c r="M1048" s="112"/>
      <c r="N1048" s="112"/>
      <c r="O1048" s="301"/>
      <c r="P1048" s="274"/>
    </row>
    <row r="1049" spans="1:21" s="290" customFormat="1" ht="12" customHeight="1" x14ac:dyDescent="0.25">
      <c r="F1049" s="112"/>
      <c r="G1049" s="273"/>
      <c r="L1049" s="112"/>
      <c r="M1049" s="112"/>
      <c r="N1049" s="112"/>
      <c r="O1049" s="301"/>
      <c r="P1049" s="274"/>
    </row>
    <row r="1050" spans="1:21" s="290" customFormat="1" ht="12" customHeight="1" x14ac:dyDescent="0.25">
      <c r="F1050" s="112"/>
      <c r="G1050" s="302"/>
      <c r="L1050" s="112"/>
      <c r="M1050" s="112"/>
      <c r="N1050" s="112"/>
      <c r="O1050" s="112"/>
      <c r="P1050" s="301"/>
    </row>
    <row r="1051" spans="1:21" s="290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290" customFormat="1" ht="12" customHeight="1" x14ac:dyDescent="0.25">
      <c r="F1052" s="112"/>
      <c r="G1052" s="303"/>
      <c r="L1052" s="112"/>
      <c r="M1052" s="112"/>
      <c r="N1052" s="112"/>
      <c r="O1052" s="112"/>
      <c r="P1052" s="233"/>
    </row>
    <row r="1053" spans="1:21" s="290" customFormat="1" ht="12" customHeight="1" x14ac:dyDescent="0.25">
      <c r="F1053" s="112"/>
      <c r="G1053" s="303"/>
      <c r="L1053" s="112"/>
      <c r="M1053" s="112"/>
      <c r="N1053" s="112"/>
      <c r="O1053" s="112"/>
      <c r="P1053" s="233"/>
    </row>
    <row r="1054" spans="1:21" s="290" customFormat="1" ht="12" customHeight="1" x14ac:dyDescent="0.25">
      <c r="F1054" s="112"/>
      <c r="G1054" s="303"/>
      <c r="L1054" s="112"/>
      <c r="M1054" s="112"/>
      <c r="N1054" s="112"/>
      <c r="O1054" s="112"/>
      <c r="P1054" s="233"/>
    </row>
    <row r="1055" spans="1:21" s="290" customFormat="1" ht="12" customHeight="1" x14ac:dyDescent="0.25">
      <c r="F1055" s="112"/>
      <c r="G1055" s="304"/>
      <c r="L1055" s="112"/>
      <c r="M1055" s="112"/>
      <c r="N1055" s="112"/>
      <c r="O1055" s="112"/>
      <c r="P1055" s="305"/>
    </row>
    <row r="1056" spans="1:21" s="290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290" customFormat="1" ht="12" customHeight="1" x14ac:dyDescent="0.25">
      <c r="F1057" s="112"/>
      <c r="L1057" s="112"/>
      <c r="M1057" s="112"/>
      <c r="N1057" s="112"/>
      <c r="O1057" s="112"/>
      <c r="P1057" s="233"/>
    </row>
    <row r="1058" spans="6:32" s="290" customFormat="1" ht="12" customHeight="1" x14ac:dyDescent="0.25">
      <c r="F1058" s="112"/>
      <c r="L1058" s="112"/>
      <c r="M1058" s="112"/>
      <c r="N1058" s="112"/>
      <c r="O1058" s="112"/>
      <c r="P1058" s="233"/>
    </row>
    <row r="1059" spans="6:32" s="290" customFormat="1" ht="12" customHeight="1" x14ac:dyDescent="0.25">
      <c r="F1059" s="112"/>
      <c r="L1059" s="112"/>
      <c r="M1059" s="112"/>
      <c r="N1059" s="112"/>
      <c r="O1059" s="112"/>
      <c r="P1059" s="233"/>
    </row>
    <row r="1060" spans="6:32" s="290" customFormat="1" ht="12" customHeight="1" x14ac:dyDescent="0.25">
      <c r="F1060" s="112"/>
      <c r="L1060" s="112"/>
      <c r="M1060" s="112"/>
      <c r="N1060" s="112"/>
      <c r="O1060" s="112"/>
      <c r="P1060" s="305"/>
      <c r="AA1060" s="112"/>
      <c r="AB1060" s="112"/>
      <c r="AC1060" s="112"/>
      <c r="AD1060" s="112"/>
      <c r="AE1060" s="112"/>
      <c r="AF1060" s="112"/>
    </row>
    <row r="1061" spans="6:32" s="290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69"/>
      <c r="H1065" s="269"/>
      <c r="I1065" s="269"/>
      <c r="J1065" s="269"/>
      <c r="K1065" s="269"/>
      <c r="L1065" s="270"/>
      <c r="M1065" s="270"/>
      <c r="N1065" s="270"/>
      <c r="O1065" s="270"/>
      <c r="P1065" s="270"/>
      <c r="Q1065" s="269"/>
      <c r="R1065" s="269"/>
      <c r="S1065" s="269"/>
      <c r="T1065" s="269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4" priority="13" stopIfTrue="1" operator="notEqual">
      <formula>""</formula>
    </cfRule>
  </conditionalFormatting>
  <conditionalFormatting sqref="X872">
    <cfRule type="cellIs" dxfId="3" priority="4" stopIfTrue="1" operator="notEqual">
      <formula>""</formula>
    </cfRule>
  </conditionalFormatting>
  <conditionalFormatting sqref="X801">
    <cfRule type="cellIs" dxfId="2" priority="3" stopIfTrue="1" operator="notEqual">
      <formula>""</formula>
    </cfRule>
  </conditionalFormatting>
  <conditionalFormatting sqref="X806">
    <cfRule type="cellIs" dxfId="1" priority="2" stopIfTrue="1" operator="notEqual">
      <formula>""</formula>
    </cfRule>
  </conditionalFormatting>
  <conditionalFormatting sqref="X817:X821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LOLP Methodology&amp;RExhibit WSS-19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4"/>
  <sheetViews>
    <sheetView view="pageBreakPreview" topLeftCell="A31" zoomScaleNormal="100" zoomScaleSheetLayoutView="100" workbookViewId="0">
      <selection activeCell="F46" sqref="F46"/>
    </sheetView>
  </sheetViews>
  <sheetFormatPr defaultRowHeight="15" x14ac:dyDescent="0.25"/>
  <cols>
    <col min="1" max="1" width="48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1423</v>
      </c>
    </row>
    <row r="2" spans="1:15" hidden="1" x14ac:dyDescent="0.25">
      <c r="A2" s="3" t="s">
        <v>2181</v>
      </c>
      <c r="B2" s="27"/>
      <c r="C2" s="204"/>
      <c r="D2" s="204"/>
      <c r="E2" s="204"/>
      <c r="F2" s="204"/>
      <c r="H2" s="339"/>
      <c r="I2" s="339"/>
      <c r="J2" s="339"/>
      <c r="L2" s="339"/>
      <c r="M2" s="339"/>
      <c r="N2" s="339"/>
      <c r="O2" s="339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2182</v>
      </c>
      <c r="E4" s="207" t="s">
        <v>2183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457</v>
      </c>
      <c r="D5" s="212" t="s">
        <v>2184</v>
      </c>
      <c r="E5" s="212" t="s">
        <v>2185</v>
      </c>
      <c r="F5" s="213" t="s">
        <v>193</v>
      </c>
      <c r="G5" s="212" t="s">
        <v>2186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2187</v>
      </c>
      <c r="B7" s="205"/>
      <c r="C7" s="214">
        <f>'Allocation ProForma'!G668</f>
        <v>578180361.17596638</v>
      </c>
      <c r="D7" s="214">
        <f>'Allocation ProForma'!G681</f>
        <v>506338435.65036589</v>
      </c>
      <c r="E7" s="214">
        <f>C7-D7</f>
        <v>71841925.525600493</v>
      </c>
      <c r="F7" s="214">
        <f>'Allocation ProForma'!G685</f>
        <v>1638574450.1365099</v>
      </c>
      <c r="G7" s="215">
        <f>E7/F7</f>
        <v>4.3844163150240339E-2</v>
      </c>
      <c r="J7" s="203"/>
      <c r="O7" s="203"/>
    </row>
    <row r="8" spans="1:15" hidden="1" x14ac:dyDescent="0.25">
      <c r="A8" s="43" t="s">
        <v>2259</v>
      </c>
      <c r="B8" s="205"/>
      <c r="C8" s="2">
        <f>'Allocation ProForma'!H668</f>
        <v>199713116.01078057</v>
      </c>
      <c r="D8" s="2">
        <f>'Allocation ProForma'!H681</f>
        <v>160050109.48415953</v>
      </c>
      <c r="E8" s="2">
        <f>C8-D8</f>
        <v>39663006.526621044</v>
      </c>
      <c r="F8" s="2">
        <f>'Allocation ProForma'!H685</f>
        <v>428798509.54641026</v>
      </c>
      <c r="G8" s="215">
        <f>E8/F8</f>
        <v>9.249800464226704E-2</v>
      </c>
      <c r="J8" s="203"/>
      <c r="O8" s="203"/>
    </row>
    <row r="9" spans="1:15" hidden="1" x14ac:dyDescent="0.25">
      <c r="A9" s="42" t="s">
        <v>2192</v>
      </c>
      <c r="B9" s="205"/>
      <c r="C9" s="5">
        <f>'Allocation ProForma'!J668</f>
        <v>12020988.647254961</v>
      </c>
      <c r="D9" s="5">
        <f>'Allocation ProForma'!J681</f>
        <v>10256720.327352308</v>
      </c>
      <c r="E9" s="5">
        <f>C9-D9</f>
        <v>1764268.3199026529</v>
      </c>
      <c r="F9" s="5">
        <f>'Allocation ProForma'!J685</f>
        <v>25836888.185070656</v>
      </c>
      <c r="G9" s="216">
        <f>E9/F9</f>
        <v>6.8284861058542687E-2</v>
      </c>
      <c r="J9" s="203"/>
      <c r="O9" s="203"/>
    </row>
    <row r="10" spans="1:15" hidden="1" x14ac:dyDescent="0.25">
      <c r="A10" s="42" t="s">
        <v>2189</v>
      </c>
      <c r="C10" s="2">
        <f>'Allocation ProForma'!L668</f>
        <v>166544252.97354969</v>
      </c>
      <c r="D10" s="2">
        <f>'Allocation ProForma'!L681</f>
        <v>136314088.56712458</v>
      </c>
      <c r="E10" s="5">
        <f>C10-D10</f>
        <v>30230164.406425118</v>
      </c>
      <c r="F10" s="2">
        <f>'Allocation ProForma'!L685</f>
        <v>331401363.4568665</v>
      </c>
      <c r="G10" s="215">
        <f>E10/F10</f>
        <v>9.1219191409149775E-2</v>
      </c>
    </row>
    <row r="11" spans="1:15" hidden="1" x14ac:dyDescent="0.25">
      <c r="A11" s="42" t="s">
        <v>2188</v>
      </c>
      <c r="C11" s="2">
        <f>'Allocation ProForma'!M668</f>
        <v>13899465.445143159</v>
      </c>
      <c r="D11" s="2">
        <f>'Allocation ProForma'!M681</f>
        <v>11120802.427190097</v>
      </c>
      <c r="E11" s="2">
        <f>C11-D11</f>
        <v>2778663.0179530624</v>
      </c>
      <c r="F11" s="2">
        <f>'Allocation ProForma'!M685</f>
        <v>25951318.344912939</v>
      </c>
      <c r="G11" s="215">
        <f>E11/F11</f>
        <v>0.10707213333143613</v>
      </c>
    </row>
    <row r="12" spans="1:15" hidden="1" x14ac:dyDescent="0.25">
      <c r="A12" s="42" t="s">
        <v>2203</v>
      </c>
      <c r="C12" s="2">
        <f>'Allocation ProForma'!N668</f>
        <v>105834876.91210906</v>
      </c>
      <c r="D12" s="2">
        <f>'Allocation ProForma'!N681</f>
        <v>92712351.264572814</v>
      </c>
      <c r="E12" s="2">
        <f t="shared" ref="E12:E19" si="0">C12-D12</f>
        <v>13122525.647536248</v>
      </c>
      <c r="F12" s="2">
        <f>'Allocation ProForma'!N685</f>
        <v>232614157.91985977</v>
      </c>
      <c r="G12" s="215">
        <f t="shared" ref="G12:G20" si="1">E12/F12</f>
        <v>5.6413271508852961E-2</v>
      </c>
    </row>
    <row r="13" spans="1:15" hidden="1" x14ac:dyDescent="0.25">
      <c r="A13" s="42" t="s">
        <v>2202</v>
      </c>
      <c r="B13" s="205"/>
      <c r="C13" s="2">
        <f>'Allocation ProForma'!O668</f>
        <v>250500126.74339089</v>
      </c>
      <c r="D13" s="2">
        <f>'Allocation ProForma'!O681</f>
        <v>227224262.34618315</v>
      </c>
      <c r="E13" s="2">
        <f t="shared" si="0"/>
        <v>23275864.397207737</v>
      </c>
      <c r="F13" s="2">
        <f>'Allocation ProForma'!O685</f>
        <v>572762731.77029467</v>
      </c>
      <c r="G13" s="215">
        <f t="shared" si="1"/>
        <v>4.0637882156310541E-2</v>
      </c>
    </row>
    <row r="14" spans="1:15" hidden="1" x14ac:dyDescent="0.25">
      <c r="A14" s="42" t="s">
        <v>2195</v>
      </c>
      <c r="B14" s="205"/>
      <c r="C14" s="2">
        <f>'Allocation ProForma'!P668</f>
        <v>86342759.031861603</v>
      </c>
      <c r="D14" s="2">
        <f>'Allocation ProForma'!P681</f>
        <v>78098320.813455299</v>
      </c>
      <c r="E14" s="2">
        <f t="shared" si="0"/>
        <v>8244438.2184063047</v>
      </c>
      <c r="F14" s="2">
        <f>'Allocation ProForma'!P685</f>
        <v>182841242.46943587</v>
      </c>
      <c r="G14" s="215">
        <f t="shared" si="1"/>
        <v>4.5090692379124817E-2</v>
      </c>
    </row>
    <row r="15" spans="1:15" hidden="1" x14ac:dyDescent="0.25">
      <c r="A15" s="43" t="s">
        <v>2196</v>
      </c>
      <c r="B15" s="205"/>
      <c r="C15" s="2">
        <f>'Allocation ProForma'!Q668</f>
        <v>29736129.708491284</v>
      </c>
      <c r="D15" s="2">
        <f>'Allocation ProForma'!Q681</f>
        <v>28747069.128409941</v>
      </c>
      <c r="E15" s="2">
        <f t="shared" si="0"/>
        <v>989060.58008134365</v>
      </c>
      <c r="F15" s="2">
        <f>'Allocation ProForma'!Q685</f>
        <v>79332427.23950915</v>
      </c>
      <c r="G15" s="215">
        <f t="shared" si="1"/>
        <v>1.2467292562413513E-2</v>
      </c>
    </row>
    <row r="16" spans="1:15" hidden="1" x14ac:dyDescent="0.25">
      <c r="A16" s="43" t="s">
        <v>845</v>
      </c>
      <c r="B16" s="205"/>
      <c r="C16" s="218">
        <f>SUM(C17:C19)</f>
        <v>26353602.307791926</v>
      </c>
      <c r="D16" s="218">
        <f>SUM(D17:D19)</f>
        <v>19014155.461838823</v>
      </c>
      <c r="E16" s="218">
        <f>SUM(E17:E19)</f>
        <v>7339446.8459531059</v>
      </c>
      <c r="F16" s="218">
        <f>SUM(F17:F19)</f>
        <v>86577775.459732652</v>
      </c>
      <c r="G16" s="219">
        <f>E16/F16</f>
        <v>8.4772873950390251E-2</v>
      </c>
    </row>
    <row r="17" spans="1:15" hidden="1" x14ac:dyDescent="0.25">
      <c r="A17" s="43" t="s">
        <v>2197</v>
      </c>
      <c r="B17" s="205"/>
      <c r="C17" s="5">
        <f>'Allocation ProForma'!R668</f>
        <v>26167352.129789736</v>
      </c>
      <c r="D17" s="5">
        <f>'Allocation ProForma'!R681</f>
        <v>18865041.172438249</v>
      </c>
      <c r="E17" s="5">
        <f t="shared" si="0"/>
        <v>7302310.9573514871</v>
      </c>
      <c r="F17" s="5">
        <f>'Allocation ProForma'!R685</f>
        <v>86271461.905214444</v>
      </c>
      <c r="G17" s="216">
        <f t="shared" si="1"/>
        <v>8.4643412735655968E-2</v>
      </c>
    </row>
    <row r="18" spans="1:15" hidden="1" x14ac:dyDescent="0.25">
      <c r="A18" s="42" t="s">
        <v>2198</v>
      </c>
      <c r="B18" s="205"/>
      <c r="C18" s="2">
        <f>'Allocation ProForma'!S668</f>
        <v>29695.77090814148</v>
      </c>
      <c r="D18" s="2">
        <f>'Allocation ProForma'!S681</f>
        <v>23792.78997272129</v>
      </c>
      <c r="E18" s="5">
        <f t="shared" si="0"/>
        <v>5902.9809354201898</v>
      </c>
      <c r="F18" s="2">
        <f>'Allocation ProForma'!S685</f>
        <v>31537.192131112493</v>
      </c>
      <c r="G18" s="215">
        <f t="shared" si="1"/>
        <v>0.18717522190558944</v>
      </c>
    </row>
    <row r="19" spans="1:15" hidden="1" x14ac:dyDescent="0.25">
      <c r="A19" s="217" t="s">
        <v>2199</v>
      </c>
      <c r="B19" s="152"/>
      <c r="C19" s="218">
        <f>'Allocation ProForma'!T668</f>
        <v>156554.40709404839</v>
      </c>
      <c r="D19" s="218">
        <f>'Allocation ProForma'!T681</f>
        <v>125321.49942784978</v>
      </c>
      <c r="E19" s="218">
        <f t="shared" si="0"/>
        <v>31232.907666198618</v>
      </c>
      <c r="F19" s="218">
        <f>'Allocation ProForma'!T685</f>
        <v>274776.36238708842</v>
      </c>
      <c r="G19" s="219">
        <f t="shared" si="1"/>
        <v>0.11366664655891898</v>
      </c>
    </row>
    <row r="20" spans="1:15" hidden="1" x14ac:dyDescent="0.25">
      <c r="C20" s="2">
        <f>SUM(C7:C16)</f>
        <v>1469125678.9563394</v>
      </c>
      <c r="D20" s="2">
        <f>SUM(D7:D16)</f>
        <v>1269876315.4706523</v>
      </c>
      <c r="E20" s="2">
        <f>SUM(E7:E16)</f>
        <v>199249363.48568714</v>
      </c>
      <c r="F20" s="2">
        <f>SUM(F7:F16)</f>
        <v>3604690864.5286026</v>
      </c>
      <c r="G20" s="215">
        <f t="shared" si="1"/>
        <v>5.5275021069454075E-2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1423</v>
      </c>
      <c r="B22" s="205"/>
    </row>
    <row r="23" spans="1:15" x14ac:dyDescent="0.25">
      <c r="A23" s="3" t="s">
        <v>2190</v>
      </c>
    </row>
    <row r="25" spans="1:15" x14ac:dyDescent="0.25">
      <c r="A25" s="206"/>
      <c r="B25" s="205"/>
      <c r="D25" s="207" t="s">
        <v>2182</v>
      </c>
      <c r="E25" s="207" t="s">
        <v>2183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457</v>
      </c>
      <c r="D26" s="212" t="s">
        <v>2184</v>
      </c>
      <c r="E26" s="212" t="s">
        <v>2185</v>
      </c>
      <c r="F26" s="213" t="s">
        <v>193</v>
      </c>
      <c r="G26" s="212" t="s">
        <v>2186</v>
      </c>
      <c r="H26" s="281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2187</v>
      </c>
      <c r="B28" s="205"/>
      <c r="C28" s="214">
        <f>'Allocation ProForma'!G729</f>
        <v>577570395.74202704</v>
      </c>
      <c r="D28" s="214">
        <f>'Allocation ProForma'!G768</f>
        <v>505974264.13686681</v>
      </c>
      <c r="E28" s="214">
        <f t="shared" ref="E28:E41" si="2">C28-D28</f>
        <v>71596131.605160236</v>
      </c>
      <c r="F28" s="214">
        <f>'Allocation ProForma'!G776</f>
        <v>1638574450.1365099</v>
      </c>
      <c r="G28" s="215">
        <f t="shared" ref="G28:G42" si="3">E28/F28</f>
        <v>4.369415841873743E-2</v>
      </c>
      <c r="H28" s="282"/>
      <c r="I28" s="282"/>
      <c r="J28" s="203"/>
      <c r="O28" s="203"/>
    </row>
    <row r="29" spans="1:15" x14ac:dyDescent="0.25">
      <c r="A29" s="43" t="s">
        <v>2288</v>
      </c>
      <c r="B29" s="205"/>
      <c r="C29" s="2">
        <f>'Allocation ProForma'!H729</f>
        <v>199344350.44910291</v>
      </c>
      <c r="D29" s="2">
        <f>'Allocation ProForma'!H768</f>
        <v>159895089.4790521</v>
      </c>
      <c r="E29" s="2">
        <f>C29-D29</f>
        <v>39449260.970050812</v>
      </c>
      <c r="F29" s="2">
        <f>'Allocation ProForma'!H776</f>
        <v>428798509.54641026</v>
      </c>
      <c r="G29" s="215">
        <f>E29/F29</f>
        <v>9.1999529130315436E-2</v>
      </c>
      <c r="H29" s="193"/>
      <c r="I29" s="193"/>
      <c r="J29" s="203"/>
      <c r="O29" s="203"/>
    </row>
    <row r="30" spans="1:15" x14ac:dyDescent="0.25">
      <c r="A30" s="321" t="s">
        <v>2381</v>
      </c>
      <c r="B30" s="322"/>
      <c r="C30" s="323">
        <f>'Allocation ProForma'!I729</f>
        <v>17822688.373206045</v>
      </c>
      <c r="D30" s="323">
        <f>'Allocation ProForma'!I768</f>
        <v>13928795.212255644</v>
      </c>
      <c r="E30" s="323">
        <f>C30-D30</f>
        <v>3893893.1609504018</v>
      </c>
      <c r="F30" s="323">
        <f>'Allocation ProForma'!I776</f>
        <v>34388894.817655712</v>
      </c>
      <c r="G30" s="324">
        <f>E30/F30</f>
        <v>0.11323112247710926</v>
      </c>
      <c r="H30" s="193"/>
      <c r="I30" s="193"/>
      <c r="J30" s="203"/>
      <c r="O30" s="203"/>
    </row>
    <row r="31" spans="1:15" x14ac:dyDescent="0.25">
      <c r="A31" s="42" t="s">
        <v>2192</v>
      </c>
      <c r="B31" s="205"/>
      <c r="C31" s="5">
        <f>'Allocation ProForma'!J729</f>
        <v>11997615.862307418</v>
      </c>
      <c r="D31" s="5">
        <f>'Allocation ProForma'!J768</f>
        <v>10248203.690013267</v>
      </c>
      <c r="E31" s="5">
        <f>C31-D31</f>
        <v>1749412.172294151</v>
      </c>
      <c r="F31" s="5">
        <f>'Allocation ProForma'!J776</f>
        <v>25836888.185070656</v>
      </c>
      <c r="G31" s="216">
        <f>E31/F31</f>
        <v>6.7709863500706513E-2</v>
      </c>
      <c r="H31" s="193"/>
      <c r="I31" s="193"/>
      <c r="J31" s="203"/>
      <c r="O31" s="203"/>
    </row>
    <row r="32" spans="1:15" x14ac:dyDescent="0.25">
      <c r="A32" s="42" t="s">
        <v>2189</v>
      </c>
      <c r="C32" s="2">
        <f>'Allocation ProForma'!L729</f>
        <v>166383896.57880813</v>
      </c>
      <c r="D32" s="2">
        <f>'Allocation ProForma'!L768</f>
        <v>136187025.908685</v>
      </c>
      <c r="E32" s="5">
        <f t="shared" si="2"/>
        <v>30196870.67012313</v>
      </c>
      <c r="F32" s="2">
        <f>'Allocation ProForma'!L776</f>
        <v>331401363.4568665</v>
      </c>
      <c r="G32" s="215">
        <f t="shared" si="3"/>
        <v>9.1118727922956777E-2</v>
      </c>
      <c r="H32" s="282"/>
      <c r="I32" s="282"/>
    </row>
    <row r="33" spans="1:15" x14ac:dyDescent="0.25">
      <c r="A33" s="42" t="s">
        <v>2188</v>
      </c>
      <c r="C33" s="2">
        <f>'Allocation ProForma'!M729</f>
        <v>13885812.196080169</v>
      </c>
      <c r="D33" s="2">
        <f>'Allocation ProForma'!M768</f>
        <v>11109781.035591103</v>
      </c>
      <c r="E33" s="2">
        <f t="shared" si="2"/>
        <v>2776031.1604890656</v>
      </c>
      <c r="F33" s="2">
        <f>'Allocation ProForma'!M776</f>
        <v>25951318.344912939</v>
      </c>
      <c r="G33" s="215">
        <f t="shared" si="3"/>
        <v>0.10697071815749323</v>
      </c>
      <c r="H33" s="282"/>
      <c r="I33" s="282"/>
    </row>
    <row r="34" spans="1:15" x14ac:dyDescent="0.25">
      <c r="A34" s="42" t="s">
        <v>2203</v>
      </c>
      <c r="C34" s="2">
        <f>'Allocation ProForma'!N729</f>
        <v>105735126.43383047</v>
      </c>
      <c r="D34" s="2">
        <f>'Allocation ProForma'!N768</f>
        <v>92640882.018637165</v>
      </c>
      <c r="E34" s="2">
        <f t="shared" si="2"/>
        <v>13094244.415193304</v>
      </c>
      <c r="F34" s="2">
        <f>'Allocation ProForma'!N776</f>
        <v>232614157.91985977</v>
      </c>
      <c r="G34" s="215">
        <f t="shared" si="3"/>
        <v>5.6291691495856985E-2</v>
      </c>
      <c r="H34" s="282"/>
      <c r="I34" s="282"/>
    </row>
    <row r="35" spans="1:15" x14ac:dyDescent="0.25">
      <c r="A35" s="42" t="s">
        <v>2202</v>
      </c>
      <c r="B35" s="205"/>
      <c r="C35" s="2">
        <f>'Allocation ProForma'!O729</f>
        <v>250289848.02854276</v>
      </c>
      <c r="D35" s="2">
        <f>'Allocation ProForma'!O768</f>
        <v>227066779.53952888</v>
      </c>
      <c r="E35" s="2">
        <f t="shared" si="2"/>
        <v>23223068.48901388</v>
      </c>
      <c r="F35" s="2">
        <f>'Allocation ProForma'!O776</f>
        <v>572762731.77029467</v>
      </c>
      <c r="G35" s="215">
        <f t="shared" si="3"/>
        <v>4.0545704531501268E-2</v>
      </c>
      <c r="H35" s="282"/>
      <c r="I35" s="282"/>
    </row>
    <row r="36" spans="1:15" x14ac:dyDescent="0.25">
      <c r="A36" s="42" t="s">
        <v>2195</v>
      </c>
      <c r="B36" s="205"/>
      <c r="C36" s="2">
        <f>'Allocation ProForma'!P729</f>
        <v>86274144.900125459</v>
      </c>
      <c r="D36" s="2">
        <f>'Allocation ProForma'!P768</f>
        <v>78043243.07007587</v>
      </c>
      <c r="E36" s="2">
        <f t="shared" si="2"/>
        <v>8230901.8300495893</v>
      </c>
      <c r="F36" s="2">
        <f>'Allocation ProForma'!P776</f>
        <v>182841242.46943587</v>
      </c>
      <c r="G36" s="215">
        <f t="shared" si="3"/>
        <v>4.5016658817692533E-2</v>
      </c>
      <c r="H36" s="282"/>
      <c r="I36" s="282"/>
    </row>
    <row r="37" spans="1:15" x14ac:dyDescent="0.25">
      <c r="A37" s="43" t="s">
        <v>2196</v>
      </c>
      <c r="B37" s="205"/>
      <c r="C37" s="2">
        <f>'Allocation ProForma'!Q729</f>
        <v>29712410.844162896</v>
      </c>
      <c r="D37" s="2">
        <f>'Allocation ProForma'!Q768</f>
        <v>28731221.252839979</v>
      </c>
      <c r="E37" s="2">
        <f t="shared" si="2"/>
        <v>981189.59132291749</v>
      </c>
      <c r="F37" s="2">
        <f>'Allocation ProForma'!Q776</f>
        <v>79332427.23950915</v>
      </c>
      <c r="G37" s="215">
        <f t="shared" si="3"/>
        <v>1.236807728522726E-2</v>
      </c>
      <c r="H37" s="282"/>
      <c r="I37" s="282"/>
    </row>
    <row r="38" spans="1:15" hidden="1" x14ac:dyDescent="0.25">
      <c r="A38" s="43" t="s">
        <v>845</v>
      </c>
      <c r="B38" s="205"/>
      <c r="C38" s="218">
        <f>SUM(C39:C41)</f>
        <v>26311150.532793336</v>
      </c>
      <c r="D38" s="218">
        <f>SUM(D39:D41)</f>
        <v>18991615.374217588</v>
      </c>
      <c r="E38" s="218">
        <f>SUM(E39:E41)</f>
        <v>7319535.1585757518</v>
      </c>
      <c r="F38" s="218">
        <f>SUM(F39:F41)</f>
        <v>86577775.459732652</v>
      </c>
      <c r="G38" s="219">
        <f>E38/F38</f>
        <v>8.4542887822060861E-2</v>
      </c>
      <c r="H38" s="282"/>
      <c r="I38" s="282"/>
    </row>
    <row r="39" spans="1:15" x14ac:dyDescent="0.25">
      <c r="A39" s="43" t="s">
        <v>2197</v>
      </c>
      <c r="B39" s="205"/>
      <c r="C39" s="2">
        <f>'Allocation ProForma'!R729</f>
        <v>26125158.396590929</v>
      </c>
      <c r="D39" s="2">
        <f>'Allocation ProForma'!R768</f>
        <v>18842649.874683559</v>
      </c>
      <c r="E39" s="2">
        <f t="shared" si="2"/>
        <v>7282508.5219073705</v>
      </c>
      <c r="F39" s="2">
        <f>'Allocation ProForma'!R776</f>
        <v>86271461.905214444</v>
      </c>
      <c r="G39" s="215">
        <f t="shared" si="3"/>
        <v>8.4413876397603962E-2</v>
      </c>
      <c r="H39" s="282"/>
      <c r="I39" s="282"/>
    </row>
    <row r="40" spans="1:15" x14ac:dyDescent="0.25">
      <c r="A40" s="42" t="s">
        <v>2198</v>
      </c>
      <c r="B40" s="205"/>
      <c r="C40" s="5">
        <f>'Allocation ProForma'!S729</f>
        <v>29629.836189948062</v>
      </c>
      <c r="D40" s="5">
        <f>'Allocation ProForma'!S768</f>
        <v>23768.570354698459</v>
      </c>
      <c r="E40" s="5">
        <f t="shared" si="2"/>
        <v>5861.2658352496037</v>
      </c>
      <c r="F40" s="5">
        <f>'Allocation ProForma'!S776</f>
        <v>31537.192131112493</v>
      </c>
      <c r="G40" s="216">
        <f t="shared" si="3"/>
        <v>0.18585249475863355</v>
      </c>
      <c r="H40" s="193"/>
      <c r="I40" s="282"/>
    </row>
    <row r="41" spans="1:15" x14ac:dyDescent="0.25">
      <c r="A41" s="217" t="s">
        <v>2199</v>
      </c>
      <c r="B41" s="223"/>
      <c r="C41" s="218">
        <f>'Allocation ProForma'!T729</f>
        <v>156362.30001245908</v>
      </c>
      <c r="D41" s="218">
        <f>'Allocation ProForma'!T768</f>
        <v>125196.92917932758</v>
      </c>
      <c r="E41" s="218">
        <f t="shared" si="2"/>
        <v>31165.370833131499</v>
      </c>
      <c r="F41" s="218">
        <f>'Allocation ProForma'!T776</f>
        <v>274776.36238708842</v>
      </c>
      <c r="G41" s="219">
        <f t="shared" si="3"/>
        <v>0.11342085819313526</v>
      </c>
      <c r="H41" s="193"/>
      <c r="I41" s="282"/>
    </row>
    <row r="42" spans="1:15" x14ac:dyDescent="0.25">
      <c r="C42" s="2">
        <f>SUM(C28:C38)</f>
        <v>1485327439.9409866</v>
      </c>
      <c r="D42" s="2">
        <f>SUM(D28:D38)</f>
        <v>1282816900.7177634</v>
      </c>
      <c r="E42" s="2">
        <f>SUM(E28:E38)</f>
        <v>202510539.22322327</v>
      </c>
      <c r="F42" s="2">
        <f>SUM(F28:F38)</f>
        <v>3639079759.3462582</v>
      </c>
      <c r="G42" s="215">
        <f t="shared" si="3"/>
        <v>5.5648832291492076E-2</v>
      </c>
      <c r="H42" s="282"/>
      <c r="I42" s="282"/>
    </row>
    <row r="43" spans="1:15" x14ac:dyDescent="0.25">
      <c r="H43" s="193"/>
      <c r="I43" s="282"/>
    </row>
    <row r="44" spans="1:15" ht="18.75" x14ac:dyDescent="0.3">
      <c r="A44" s="284" t="s">
        <v>1423</v>
      </c>
      <c r="B44" s="125"/>
      <c r="I44" s="215"/>
    </row>
    <row r="45" spans="1:15" x14ac:dyDescent="0.25">
      <c r="A45" s="24" t="s">
        <v>2191</v>
      </c>
      <c r="B45" s="132"/>
    </row>
    <row r="46" spans="1:15" x14ac:dyDescent="0.25">
      <c r="A46" s="132"/>
      <c r="B46" s="132"/>
    </row>
    <row r="47" spans="1:15" x14ac:dyDescent="0.25">
      <c r="A47" s="206"/>
      <c r="B47" s="205"/>
      <c r="D47" s="207" t="s">
        <v>2182</v>
      </c>
      <c r="E47" s="207" t="s">
        <v>2183</v>
      </c>
      <c r="F47" s="208"/>
      <c r="G47" s="209"/>
      <c r="J47" s="203"/>
      <c r="O47" s="203"/>
    </row>
    <row r="48" spans="1:15" ht="15.75" thickBot="1" x14ac:dyDescent="0.3">
      <c r="A48" s="210"/>
      <c r="B48" s="211"/>
      <c r="C48" s="212" t="s">
        <v>457</v>
      </c>
      <c r="D48" s="212" t="s">
        <v>2184</v>
      </c>
      <c r="E48" s="212" t="s">
        <v>2185</v>
      </c>
      <c r="F48" s="213" t="s">
        <v>193</v>
      </c>
      <c r="G48" s="212" t="s">
        <v>2186</v>
      </c>
      <c r="J48" s="203"/>
      <c r="O48" s="203"/>
    </row>
    <row r="49" spans="1:15" x14ac:dyDescent="0.25">
      <c r="A49" s="206"/>
      <c r="B49" s="205"/>
      <c r="J49" s="203"/>
      <c r="O49" s="203"/>
    </row>
    <row r="50" spans="1:15" x14ac:dyDescent="0.25">
      <c r="A50" s="43" t="s">
        <v>2187</v>
      </c>
      <c r="B50" s="205"/>
      <c r="C50" s="214">
        <f>'Allocation ProForma'!G806</f>
        <v>577570395.74202704</v>
      </c>
      <c r="D50" s="214">
        <f>'Allocation ProForma'!G819</f>
        <v>505974264.13686675</v>
      </c>
      <c r="E50" s="214">
        <f t="shared" ref="E50:E63" si="4">C50-D50</f>
        <v>71596131.605160296</v>
      </c>
      <c r="F50" s="214">
        <f>'Allocation ProForma'!G823</f>
        <v>1638574450.1365099</v>
      </c>
      <c r="G50" s="215">
        <f t="shared" ref="G50:G64" si="5">E50/F50</f>
        <v>4.3694158418737465E-2</v>
      </c>
      <c r="J50" s="203"/>
      <c r="O50" s="203"/>
    </row>
    <row r="51" spans="1:15" x14ac:dyDescent="0.25">
      <c r="A51" s="43" t="s">
        <v>2288</v>
      </c>
      <c r="B51" s="205"/>
      <c r="C51" s="2">
        <f>'Allocation ProForma'!H806</f>
        <v>199344350.44910291</v>
      </c>
      <c r="D51" s="2">
        <f>'Allocation ProForma'!H819</f>
        <v>159895089.4790521</v>
      </c>
      <c r="E51" s="2">
        <f t="shared" si="4"/>
        <v>39449260.970050812</v>
      </c>
      <c r="F51" s="2">
        <f>'Allocation ProForma'!H823</f>
        <v>428798509.54641026</v>
      </c>
      <c r="G51" s="215">
        <f t="shared" si="5"/>
        <v>9.1999529130315436E-2</v>
      </c>
      <c r="J51" s="203"/>
      <c r="O51" s="203"/>
    </row>
    <row r="52" spans="1:15" x14ac:dyDescent="0.25">
      <c r="A52" s="321" t="s">
        <v>2381</v>
      </c>
      <c r="B52" s="322"/>
      <c r="C52" s="323">
        <f>'Allocation ProForma'!I806</f>
        <v>14622688.373206045</v>
      </c>
      <c r="D52" s="323">
        <f>'Allocation ProForma'!I819</f>
        <v>12694956.393055646</v>
      </c>
      <c r="E52" s="323">
        <f t="shared" ref="E52" si="6">C52-D52</f>
        <v>1927731.9801503997</v>
      </c>
      <c r="F52" s="323">
        <f>'Allocation ProForma'!I823</f>
        <v>34388894.817655712</v>
      </c>
      <c r="G52" s="324">
        <f t="shared" ref="G52" si="7">E52/F52</f>
        <v>5.6056816898944851E-2</v>
      </c>
      <c r="J52" s="203"/>
      <c r="O52" s="203"/>
    </row>
    <row r="53" spans="1:15" x14ac:dyDescent="0.25">
      <c r="A53" s="42" t="s">
        <v>2192</v>
      </c>
      <c r="B53" s="205"/>
      <c r="C53" s="5">
        <f>'Allocation ProForma'!J806</f>
        <v>11997615.862307418</v>
      </c>
      <c r="D53" s="5">
        <f>'Allocation ProForma'!J819</f>
        <v>10248203.690013267</v>
      </c>
      <c r="E53" s="5">
        <f t="shared" si="4"/>
        <v>1749412.172294151</v>
      </c>
      <c r="F53" s="5">
        <f>'Allocation ProForma'!J823</f>
        <v>25836888.185070656</v>
      </c>
      <c r="G53" s="216">
        <f t="shared" si="5"/>
        <v>6.7709863500706513E-2</v>
      </c>
      <c r="J53" s="203"/>
      <c r="O53" s="203"/>
    </row>
    <row r="54" spans="1:15" x14ac:dyDescent="0.25">
      <c r="A54" s="42" t="s">
        <v>2189</v>
      </c>
      <c r="C54" s="2">
        <f>'Allocation ProForma'!L806</f>
        <v>166383896.57880813</v>
      </c>
      <c r="D54" s="2">
        <f>'Allocation ProForma'!L819</f>
        <v>136187025.908685</v>
      </c>
      <c r="E54" s="5">
        <f t="shared" si="4"/>
        <v>30196870.67012313</v>
      </c>
      <c r="F54" s="2">
        <f>'Allocation ProForma'!L823</f>
        <v>331401363.4568665</v>
      </c>
      <c r="G54" s="215">
        <f t="shared" si="5"/>
        <v>9.1118727922956777E-2</v>
      </c>
    </row>
    <row r="55" spans="1:15" x14ac:dyDescent="0.25">
      <c r="A55" s="42" t="s">
        <v>2188</v>
      </c>
      <c r="C55" s="2">
        <f>'Allocation ProForma'!M806</f>
        <v>13885812.196080169</v>
      </c>
      <c r="D55" s="2">
        <f>'Allocation ProForma'!M819</f>
        <v>11109781.035591103</v>
      </c>
      <c r="E55" s="2">
        <f t="shared" si="4"/>
        <v>2776031.1604890656</v>
      </c>
      <c r="F55" s="2">
        <f>'Allocation ProForma'!M823</f>
        <v>25951318.344912939</v>
      </c>
      <c r="G55" s="215">
        <f t="shared" si="5"/>
        <v>0.10697071815749323</v>
      </c>
    </row>
    <row r="56" spans="1:15" x14ac:dyDescent="0.25">
      <c r="A56" s="42" t="s">
        <v>2193</v>
      </c>
      <c r="C56" s="2">
        <f>'Allocation ProForma'!N806</f>
        <v>105735126.43383047</v>
      </c>
      <c r="D56" s="2">
        <f>'Allocation ProForma'!N819</f>
        <v>92640882.018637165</v>
      </c>
      <c r="E56" s="2">
        <f t="shared" si="4"/>
        <v>13094244.415193304</v>
      </c>
      <c r="F56" s="2">
        <f>'Allocation ProForma'!N823</f>
        <v>232614157.91985977</v>
      </c>
      <c r="G56" s="215">
        <f t="shared" si="5"/>
        <v>5.6291691495856985E-2</v>
      </c>
    </row>
    <row r="57" spans="1:15" x14ac:dyDescent="0.25">
      <c r="A57" s="42" t="s">
        <v>2194</v>
      </c>
      <c r="B57" s="205"/>
      <c r="C57" s="2">
        <f>'Allocation ProForma'!O806</f>
        <v>250289848.02854276</v>
      </c>
      <c r="D57" s="2">
        <f>'Allocation ProForma'!O819</f>
        <v>227066779.53952888</v>
      </c>
      <c r="E57" s="2">
        <f t="shared" si="4"/>
        <v>23223068.48901388</v>
      </c>
      <c r="F57" s="2">
        <f>'Allocation ProForma'!O823</f>
        <v>572762731.77029467</v>
      </c>
      <c r="G57" s="215">
        <f t="shared" si="5"/>
        <v>4.0545704531501268E-2</v>
      </c>
    </row>
    <row r="58" spans="1:15" x14ac:dyDescent="0.25">
      <c r="A58" s="42" t="s">
        <v>2195</v>
      </c>
      <c r="B58" s="205"/>
      <c r="C58" s="222">
        <f>'Allocation ProForma'!P806</f>
        <v>86274144.900125459</v>
      </c>
      <c r="D58" s="2">
        <f>'Allocation ProForma'!P819</f>
        <v>78043243.07007587</v>
      </c>
      <c r="E58" s="2">
        <f t="shared" si="4"/>
        <v>8230901.8300495893</v>
      </c>
      <c r="F58" s="2">
        <f>'Allocation ProForma'!P823</f>
        <v>182841242.46943587</v>
      </c>
      <c r="G58" s="215">
        <f t="shared" si="5"/>
        <v>4.5016658817692533E-2</v>
      </c>
    </row>
    <row r="59" spans="1:15" x14ac:dyDescent="0.25">
      <c r="A59" s="43" t="s">
        <v>2196</v>
      </c>
      <c r="B59" s="205"/>
      <c r="C59" s="2">
        <f>'Allocation ProForma'!Q806</f>
        <v>29712410.844162896</v>
      </c>
      <c r="D59" s="2">
        <f>'Allocation ProForma'!Q819</f>
        <v>28731221.252839983</v>
      </c>
      <c r="E59" s="2">
        <f t="shared" si="4"/>
        <v>981189.59132291377</v>
      </c>
      <c r="F59" s="2">
        <f>'Allocation ProForma'!Q823</f>
        <v>79332427.23950915</v>
      </c>
      <c r="G59" s="215">
        <f t="shared" si="5"/>
        <v>1.2368077285227213E-2</v>
      </c>
    </row>
    <row r="60" spans="1:15" hidden="1" x14ac:dyDescent="0.25">
      <c r="A60" s="43" t="s">
        <v>845</v>
      </c>
      <c r="B60" s="205"/>
      <c r="C60" s="218">
        <f>SUM(C61:C63)</f>
        <v>26311150.532793336</v>
      </c>
      <c r="D60" s="218">
        <f>SUM(D61:D63)</f>
        <v>18991615.374217585</v>
      </c>
      <c r="E60" s="218">
        <f>SUM(E61:E63)</f>
        <v>7319535.1585757555</v>
      </c>
      <c r="F60" s="218">
        <f>SUM(F61:F63)</f>
        <v>86577775.459732652</v>
      </c>
      <c r="G60" s="219">
        <f t="shared" si="5"/>
        <v>8.4542887822060916E-2</v>
      </c>
    </row>
    <row r="61" spans="1:15" x14ac:dyDescent="0.25">
      <c r="A61" s="43" t="s">
        <v>2197</v>
      </c>
      <c r="B61" s="205"/>
      <c r="C61" s="2">
        <f>'Allocation ProForma'!R806</f>
        <v>26125158.396590929</v>
      </c>
      <c r="D61" s="2">
        <f>'Allocation ProForma'!R819</f>
        <v>18842649.874683555</v>
      </c>
      <c r="E61" s="2">
        <f t="shared" si="4"/>
        <v>7282508.5219073743</v>
      </c>
      <c r="F61" s="2">
        <f>'Allocation ProForma'!R823</f>
        <v>86271461.905214444</v>
      </c>
      <c r="G61" s="215">
        <f t="shared" si="5"/>
        <v>8.4413876397604004E-2</v>
      </c>
    </row>
    <row r="62" spans="1:15" x14ac:dyDescent="0.25">
      <c r="A62" s="42" t="s">
        <v>2198</v>
      </c>
      <c r="B62" s="205"/>
      <c r="C62" s="5">
        <f>'Allocation ProForma'!S806</f>
        <v>29629.836189948062</v>
      </c>
      <c r="D62" s="5">
        <f>'Allocation ProForma'!S819</f>
        <v>23768.570354698459</v>
      </c>
      <c r="E62" s="5">
        <f t="shared" si="4"/>
        <v>5861.2658352496037</v>
      </c>
      <c r="F62" s="5">
        <f>'Allocation ProForma'!S823</f>
        <v>31537.192131112493</v>
      </c>
      <c r="G62" s="216">
        <f t="shared" si="5"/>
        <v>0.18585249475863355</v>
      </c>
    </row>
    <row r="63" spans="1:15" x14ac:dyDescent="0.25">
      <c r="A63" s="217" t="s">
        <v>2199</v>
      </c>
      <c r="B63" s="223"/>
      <c r="C63" s="218">
        <f>'Allocation ProForma'!T806</f>
        <v>156362.30001245908</v>
      </c>
      <c r="D63" s="218">
        <f>'Allocation ProForma'!T819</f>
        <v>125196.92917932758</v>
      </c>
      <c r="E63" s="218">
        <f t="shared" si="4"/>
        <v>31165.370833131499</v>
      </c>
      <c r="F63" s="218">
        <f>'Allocation ProForma'!T823</f>
        <v>274776.36238708842</v>
      </c>
      <c r="G63" s="219">
        <f t="shared" si="5"/>
        <v>0.11342085819313526</v>
      </c>
    </row>
    <row r="64" spans="1:15" x14ac:dyDescent="0.25">
      <c r="C64" s="2">
        <f>SUM(C50:C60)</f>
        <v>1482127439.9409866</v>
      </c>
      <c r="D64" s="2">
        <f>SUM(D50:D60)</f>
        <v>1281583061.8985634</v>
      </c>
      <c r="E64" s="2">
        <f>SUM(E50:E60)</f>
        <v>200544378.04242328</v>
      </c>
      <c r="F64" s="2">
        <f>SUM(F50:F60)</f>
        <v>3639079759.3462582</v>
      </c>
      <c r="G64" s="215">
        <f t="shared" si="5"/>
        <v>5.5108541528215926E-2</v>
      </c>
    </row>
  </sheetData>
  <mergeCells count="2">
    <mergeCell ref="H2:J2"/>
    <mergeCell ref="L2:O2"/>
  </mergeCells>
  <pageMargins left="0.7" right="0.7" top="0.75" bottom="0.75" header="0.3" footer="0.3"/>
  <pageSetup scale="83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6"/>
  <sheetViews>
    <sheetView topLeftCell="A4" zoomScale="75" zoomScaleNormal="75" workbookViewId="0">
      <pane xSplit="1" topLeftCell="B1" activePane="topRight" state="frozen"/>
      <selection pane="topRight" activeCell="I25" sqref="I25"/>
    </sheetView>
  </sheetViews>
  <sheetFormatPr defaultColWidth="9.140625" defaultRowHeight="15" x14ac:dyDescent="0.2"/>
  <cols>
    <col min="1" max="1" width="39.140625" style="6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5" width="19.42578125" style="6" customWidth="1"/>
    <col min="6" max="7" width="19.42578125" style="6" hidden="1" customWidth="1"/>
    <col min="8" max="8" width="20.42578125" style="6" hidden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1808</v>
      </c>
    </row>
    <row r="2" spans="1:22" x14ac:dyDescent="0.2">
      <c r="A2" s="6" t="s">
        <v>965</v>
      </c>
    </row>
    <row r="3" spans="1:22" x14ac:dyDescent="0.2">
      <c r="B3" s="278" t="s">
        <v>2265</v>
      </c>
      <c r="H3" s="9"/>
      <c r="Q3" s="9"/>
    </row>
    <row r="4" spans="1:22" x14ac:dyDescent="0.2">
      <c r="A4" s="9"/>
      <c r="B4" s="278" t="s">
        <v>2266</v>
      </c>
      <c r="C4" s="186"/>
      <c r="D4" s="187"/>
      <c r="E4" s="185" t="s">
        <v>971</v>
      </c>
      <c r="F4" s="185"/>
      <c r="G4" s="185" t="s">
        <v>2164</v>
      </c>
      <c r="H4" s="185" t="s">
        <v>2165</v>
      </c>
      <c r="I4" s="185"/>
      <c r="N4" s="9"/>
      <c r="O4" s="9"/>
      <c r="P4" s="9"/>
      <c r="Q4" s="9"/>
      <c r="S4" s="9"/>
    </row>
    <row r="5" spans="1:22" x14ac:dyDescent="0.2">
      <c r="A5" s="9"/>
      <c r="B5" s="278" t="s">
        <v>2161</v>
      </c>
      <c r="C5" s="185"/>
      <c r="D5" s="188" t="s">
        <v>2162</v>
      </c>
      <c r="E5" s="185" t="s">
        <v>889</v>
      </c>
      <c r="F5" s="185" t="s">
        <v>912</v>
      </c>
      <c r="G5" s="185" t="s">
        <v>2166</v>
      </c>
      <c r="H5" s="185" t="s">
        <v>1691</v>
      </c>
      <c r="I5" s="185" t="s">
        <v>550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279">
        <v>43281</v>
      </c>
      <c r="C6" s="22" t="s">
        <v>525</v>
      </c>
      <c r="D6" s="189" t="s">
        <v>2163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551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1546</v>
      </c>
      <c r="B8" s="168">
        <f>(5167850+290)/12</f>
        <v>430678.33333333331</v>
      </c>
      <c r="C8" s="19">
        <f>6091631444+308532+31075</f>
        <v>6091971051</v>
      </c>
      <c r="D8" s="19">
        <f>554516070+27119</f>
        <v>554543189</v>
      </c>
      <c r="E8" s="19">
        <v>2135687.8449148498</v>
      </c>
      <c r="F8" s="19">
        <f>C8/8760</f>
        <v>695430.48527397262</v>
      </c>
      <c r="G8" s="19">
        <v>1652086.1569239504</v>
      </c>
      <c r="H8" s="19">
        <v>1347050.5740374937</v>
      </c>
      <c r="I8" s="19">
        <v>4481644.9312789971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2259</v>
      </c>
      <c r="B10" s="168">
        <f>763878/12</f>
        <v>63656.5</v>
      </c>
      <c r="C10" s="19">
        <v>775940502.84031558</v>
      </c>
      <c r="D10" s="19">
        <v>198233994</v>
      </c>
      <c r="E10" s="19">
        <v>540692.33310545434</v>
      </c>
      <c r="F10" s="19">
        <f>C10/8760</f>
        <v>88577.682972638766</v>
      </c>
      <c r="G10" s="19">
        <v>444102.55669366958</v>
      </c>
      <c r="H10" s="19">
        <v>403388.93807460426</v>
      </c>
      <c r="I10" s="19">
        <v>807121.76613810693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2261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2381</v>
      </c>
      <c r="B14" s="325">
        <v>206</v>
      </c>
      <c r="C14" s="327">
        <v>192301850</v>
      </c>
      <c r="D14" s="327">
        <v>17900822</v>
      </c>
      <c r="E14" s="326">
        <v>62129</v>
      </c>
      <c r="F14" s="327">
        <f>C14/8760</f>
        <v>21952.26598173516</v>
      </c>
      <c r="G14" s="169"/>
      <c r="H14" s="169"/>
      <c r="I14" s="326">
        <v>67481</v>
      </c>
      <c r="J14" s="169">
        <f>B14</f>
        <v>206</v>
      </c>
      <c r="M14" s="318"/>
      <c r="N14" s="320"/>
      <c r="O14" s="181"/>
    </row>
    <row r="15" spans="1:22" s="16" customFormat="1" x14ac:dyDescent="0.2">
      <c r="A15" s="25"/>
      <c r="B15" s="168"/>
      <c r="C15" s="19"/>
      <c r="D15" s="19"/>
      <c r="E15" s="169"/>
      <c r="F15" s="169"/>
      <c r="G15" s="169"/>
      <c r="H15" s="169"/>
      <c r="I15" s="169"/>
      <c r="M15" s="319"/>
    </row>
    <row r="16" spans="1:22" s="16" customFormat="1" x14ac:dyDescent="0.2">
      <c r="A16" s="25" t="s">
        <v>2286</v>
      </c>
      <c r="B16" s="168">
        <f>4058/12</f>
        <v>338.16666666666669</v>
      </c>
      <c r="C16" s="19">
        <v>7122000</v>
      </c>
      <c r="D16" s="19">
        <f>12037991</f>
        <v>12037991</v>
      </c>
      <c r="E16" s="19">
        <v>52198.244923035149</v>
      </c>
      <c r="F16" s="19">
        <f>C16/8760</f>
        <v>813.01369863013701</v>
      </c>
      <c r="G16" s="19">
        <v>36654.848112793101</v>
      </c>
      <c r="H16" s="19">
        <v>27081.461893934735</v>
      </c>
      <c r="I16" s="19">
        <v>56694.218386680899</v>
      </c>
      <c r="M16" s="319"/>
      <c r="P16" s="19"/>
    </row>
    <row r="17" spans="1:22" s="16" customFormat="1" x14ac:dyDescent="0.2">
      <c r="A17" s="25"/>
      <c r="B17" s="168"/>
      <c r="C17" s="19"/>
      <c r="D17" s="19"/>
      <c r="E17" s="19"/>
      <c r="F17" s="19"/>
      <c r="G17" s="19"/>
      <c r="H17" s="19"/>
      <c r="I17" s="19"/>
      <c r="M17" s="319"/>
      <c r="P17" s="19"/>
    </row>
    <row r="18" spans="1:22" s="16" customFormat="1" x14ac:dyDescent="0.2">
      <c r="A18" s="25" t="s">
        <v>2263</v>
      </c>
      <c r="B18" s="168">
        <f>3060/12</f>
        <v>255</v>
      </c>
      <c r="C18" s="19">
        <v>144739000</v>
      </c>
      <c r="D18" s="19"/>
      <c r="E18" s="19"/>
      <c r="F18" s="19">
        <f>C18/8760</f>
        <v>16522.716894977169</v>
      </c>
      <c r="G18" s="19"/>
      <c r="H18" s="19"/>
      <c r="I18" s="19"/>
      <c r="K18" s="16" t="s">
        <v>2382</v>
      </c>
      <c r="M18" s="318"/>
      <c r="P18" s="19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P19" s="169"/>
    </row>
    <row r="20" spans="1:22" s="16" customFormat="1" x14ac:dyDescent="0.2">
      <c r="A20" s="25" t="s">
        <v>2151</v>
      </c>
      <c r="B20" s="325">
        <f>54034/12-J20</f>
        <v>4379.833333333333</v>
      </c>
      <c r="C20" s="327">
        <f>2146594132.29924-71429693</f>
        <v>2075164439.2992401</v>
      </c>
      <c r="D20" s="327">
        <f>174459441-7288948</f>
        <v>167170493</v>
      </c>
      <c r="E20" s="327">
        <f>476672.373575506-25582</f>
        <v>451090.37357550598</v>
      </c>
      <c r="F20" s="19">
        <f>C20/8760</f>
        <v>236890.91772822375</v>
      </c>
      <c r="G20" s="19">
        <v>416731.40000960778</v>
      </c>
      <c r="H20" s="19">
        <v>425406.22111581214</v>
      </c>
      <c r="I20" s="327">
        <f>633728.803217756-27786</f>
        <v>605942.80321775598</v>
      </c>
      <c r="J20" s="16">
        <v>123</v>
      </c>
      <c r="K20" s="16">
        <f>J20*5</f>
        <v>615</v>
      </c>
      <c r="P20" s="26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P21" s="190"/>
      <c r="T21" s="181"/>
      <c r="V21" s="181"/>
    </row>
    <row r="22" spans="1:22" s="16" customFormat="1" x14ac:dyDescent="0.2">
      <c r="A22" s="201" t="s">
        <v>2152</v>
      </c>
      <c r="B22" s="168">
        <f>2070/12</f>
        <v>172.5</v>
      </c>
      <c r="C22" s="19">
        <v>169814470.8207581</v>
      </c>
      <c r="D22" s="19">
        <v>13950651</v>
      </c>
      <c r="E22" s="19">
        <v>37486.089382678438</v>
      </c>
      <c r="F22" s="19">
        <f>C22/8760</f>
        <v>19385.213564013484</v>
      </c>
      <c r="G22" s="19">
        <v>26376.083859958886</v>
      </c>
      <c r="H22" s="19">
        <v>31910.024924672041</v>
      </c>
      <c r="I22" s="19">
        <v>51194.288178314026</v>
      </c>
      <c r="P22" s="190"/>
      <c r="T22" s="181"/>
      <c r="V22" s="181"/>
    </row>
    <row r="23" spans="1:22" s="16" customFormat="1" x14ac:dyDescent="0.2">
      <c r="B23" s="168"/>
      <c r="C23" s="19"/>
      <c r="D23" s="19"/>
      <c r="E23" s="19"/>
      <c r="F23" s="19"/>
      <c r="G23" s="19"/>
      <c r="H23" s="19"/>
      <c r="I23" s="19"/>
      <c r="N23" s="19"/>
      <c r="O23" s="19"/>
      <c r="P23" s="190"/>
      <c r="T23" s="181"/>
      <c r="V23" s="181"/>
    </row>
    <row r="24" spans="1:22" s="16" customFormat="1" x14ac:dyDescent="0.2">
      <c r="A24" s="25" t="s">
        <v>2153</v>
      </c>
      <c r="B24" s="325">
        <f>7419/12-J24</f>
        <v>535.25</v>
      </c>
      <c r="C24" s="327">
        <f>1671130914.563-120872157</f>
        <v>1550258757.563</v>
      </c>
      <c r="D24" s="327">
        <f>116879945-10611874</f>
        <v>106268071</v>
      </c>
      <c r="E24" s="327">
        <f>368420.029079936-36547</f>
        <v>331873.02907993598</v>
      </c>
      <c r="F24" s="19">
        <f>C24/8760</f>
        <v>176970.17780399544</v>
      </c>
      <c r="G24" s="19">
        <v>278979.26600196835</v>
      </c>
      <c r="H24" s="19">
        <v>313580.28246406495</v>
      </c>
      <c r="I24" s="327">
        <f>445943.747742987-39695</f>
        <v>406248.74774298701</v>
      </c>
      <c r="J24" s="16">
        <v>83</v>
      </c>
      <c r="K24" s="16">
        <f>J24*25</f>
        <v>2075</v>
      </c>
      <c r="N24" s="26"/>
      <c r="O24" s="26"/>
      <c r="P24" s="26"/>
    </row>
    <row r="25" spans="1:22" s="16" customFormat="1" x14ac:dyDescent="0.2">
      <c r="B25" s="19"/>
      <c r="C25" s="306"/>
      <c r="D25" s="19"/>
      <c r="E25" s="169"/>
      <c r="F25" s="169"/>
      <c r="G25" s="169"/>
      <c r="H25" s="169"/>
      <c r="I25" s="169"/>
    </row>
    <row r="26" spans="1:22" s="16" customFormat="1" x14ac:dyDescent="0.2">
      <c r="A26" s="201" t="s">
        <v>2264</v>
      </c>
      <c r="B26" s="168">
        <f>3318/12</f>
        <v>276.5</v>
      </c>
      <c r="C26" s="19">
        <v>4118000917.4033823</v>
      </c>
      <c r="D26" s="19">
        <v>251561897</v>
      </c>
      <c r="E26" s="19">
        <v>853586.39616194565</v>
      </c>
      <c r="F26" s="19">
        <f>C26/8760</f>
        <v>470091.42892732675</v>
      </c>
      <c r="G26" s="19">
        <v>645717.38000572659</v>
      </c>
      <c r="H26" s="19">
        <v>686212.73737168289</v>
      </c>
      <c r="I26" s="19">
        <v>1036603.6756960294</v>
      </c>
      <c r="K26" s="16">
        <f>SUM(K20:K25)</f>
        <v>2690</v>
      </c>
      <c r="P26" s="19"/>
    </row>
    <row r="27" spans="1:22" s="16" customFormat="1" x14ac:dyDescent="0.2">
      <c r="B27" s="19"/>
      <c r="C27" s="19"/>
      <c r="D27" s="19"/>
      <c r="E27" s="169"/>
      <c r="F27" s="169"/>
      <c r="G27" s="169"/>
      <c r="H27" s="169"/>
      <c r="I27" s="169"/>
      <c r="N27" s="19"/>
      <c r="O27" s="19"/>
      <c r="P27" s="169"/>
    </row>
    <row r="28" spans="1:22" s="16" customFormat="1" x14ac:dyDescent="0.2">
      <c r="A28" s="25" t="s">
        <v>1879</v>
      </c>
      <c r="B28" s="168"/>
      <c r="C28" s="19"/>
      <c r="D28" s="19"/>
      <c r="E28" s="19"/>
      <c r="F28" s="19">
        <f>C28/8760</f>
        <v>0</v>
      </c>
      <c r="G28" s="19"/>
      <c r="H28" s="19"/>
      <c r="I28" s="19"/>
      <c r="N28" s="26"/>
      <c r="O28" s="26"/>
      <c r="P28" s="26"/>
    </row>
    <row r="29" spans="1:22" s="16" customFormat="1" x14ac:dyDescent="0.2">
      <c r="B29" s="19"/>
      <c r="C29" s="306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1880</v>
      </c>
      <c r="B30" s="168">
        <f>360/12</f>
        <v>30</v>
      </c>
      <c r="C30" s="19">
        <v>1497714279.3066747</v>
      </c>
      <c r="D30" s="19">
        <v>86711460</v>
      </c>
      <c r="E30" s="19">
        <v>312397.10555786057</v>
      </c>
      <c r="F30" s="19">
        <f>C30/8760</f>
        <v>170971.94969254278</v>
      </c>
      <c r="G30" s="19">
        <v>223270.71843515692</v>
      </c>
      <c r="H30" s="19">
        <v>255097.03350807569</v>
      </c>
      <c r="I30" s="19">
        <v>361586.95100241003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2150</v>
      </c>
      <c r="B32" s="168">
        <f>12/12</f>
        <v>1</v>
      </c>
      <c r="C32" s="19">
        <v>552917597.55256987</v>
      </c>
      <c r="D32" s="19">
        <v>29892107</v>
      </c>
      <c r="E32" s="19">
        <v>206553.78467062348</v>
      </c>
      <c r="F32" s="19">
        <f>C32/8760</f>
        <v>63118.447209197475</v>
      </c>
      <c r="G32" s="19">
        <v>83946.076476104485</v>
      </c>
      <c r="H32" s="19">
        <v>96437.834269837171</v>
      </c>
      <c r="I32" s="19">
        <v>199555.38839526643</v>
      </c>
      <c r="N32" s="26"/>
      <c r="O32" s="26"/>
      <c r="P32" s="26"/>
    </row>
    <row r="33" spans="1:24" s="16" customFormat="1" x14ac:dyDescent="0.2">
      <c r="B33" s="19"/>
      <c r="C33" s="175"/>
      <c r="D33" s="19"/>
      <c r="E33" s="19"/>
      <c r="F33" s="19"/>
      <c r="G33" s="19"/>
      <c r="H33" s="19"/>
      <c r="I33" s="19"/>
      <c r="N33" s="26"/>
      <c r="O33" s="26"/>
      <c r="P33" s="26"/>
    </row>
    <row r="34" spans="1:24" s="16" customFormat="1" x14ac:dyDescent="0.2">
      <c r="A34" s="25" t="s">
        <v>2169</v>
      </c>
      <c r="B34" s="168">
        <f>2021809/12</f>
        <v>168484.08333333334</v>
      </c>
      <c r="C34" s="19">
        <v>123634652.94376437</v>
      </c>
      <c r="D34" s="19">
        <f>26053380-20984</f>
        <v>26032396</v>
      </c>
      <c r="E34" s="169">
        <v>37045.605860196258</v>
      </c>
      <c r="F34" s="19">
        <f>C34/8760</f>
        <v>14113.544856594106</v>
      </c>
      <c r="G34" s="169">
        <v>0</v>
      </c>
      <c r="H34" s="169">
        <v>0</v>
      </c>
      <c r="I34" s="169">
        <v>34172.535127711366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2170</v>
      </c>
      <c r="B36" s="168">
        <f>48/12</f>
        <v>4</v>
      </c>
      <c r="C36" s="19">
        <f>446721</f>
        <v>446721</v>
      </c>
      <c r="D36" s="19">
        <v>29470</v>
      </c>
      <c r="E36" s="169">
        <v>155.17110297018576</v>
      </c>
      <c r="F36" s="19">
        <f>C36/8760</f>
        <v>50.99554794520548</v>
      </c>
      <c r="G36" s="169">
        <v>0</v>
      </c>
      <c r="H36" s="169">
        <v>0</v>
      </c>
      <c r="I36" s="169">
        <v>143.13681323138437</v>
      </c>
      <c r="N36" s="26"/>
      <c r="O36" s="26"/>
      <c r="P36" s="26"/>
    </row>
    <row r="37" spans="1:24" s="16" customFormat="1" x14ac:dyDescent="0.2">
      <c r="A37" s="25"/>
      <c r="B37" s="168"/>
      <c r="C37" s="19"/>
      <c r="D37" s="19"/>
      <c r="E37" s="169"/>
      <c r="F37" s="19"/>
      <c r="G37" s="169"/>
      <c r="H37" s="169"/>
      <c r="I37" s="169"/>
      <c r="N37" s="26"/>
      <c r="O37" s="26"/>
      <c r="P37" s="26"/>
    </row>
    <row r="38" spans="1:24" s="16" customFormat="1" x14ac:dyDescent="0.2">
      <c r="A38" s="25" t="s">
        <v>2171</v>
      </c>
      <c r="B38" s="168">
        <f>9312/12</f>
        <v>776</v>
      </c>
      <c r="C38" s="19">
        <v>1489131.4121127534</v>
      </c>
      <c r="D38" s="19">
        <v>156512</v>
      </c>
      <c r="E38" s="169">
        <v>240.31952198731273</v>
      </c>
      <c r="F38" s="19">
        <f>C38/8760</f>
        <v>169.99217033250611</v>
      </c>
      <c r="G38" s="169">
        <v>201.18079460248609</v>
      </c>
      <c r="H38" s="169">
        <v>170.38040821966985</v>
      </c>
      <c r="I38" s="169">
        <v>221.43371877082163</v>
      </c>
      <c r="N38" s="26"/>
      <c r="O38" s="26"/>
      <c r="P38" s="26"/>
    </row>
    <row r="39" spans="1:24" s="16" customFormat="1" x14ac:dyDescent="0.2">
      <c r="A39" s="192"/>
      <c r="B39" s="307"/>
      <c r="C39" s="308"/>
      <c r="D39" s="308"/>
      <c r="E39" s="308"/>
      <c r="F39" s="308"/>
      <c r="G39" s="308"/>
      <c r="H39" s="308"/>
      <c r="I39" s="308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>
        <f t="shared" ref="B40:I40" si="0">SUM(B8:B39)</f>
        <v>689465.66666666663</v>
      </c>
      <c r="C40" s="19">
        <f t="shared" si="0"/>
        <v>18343080486.869022</v>
      </c>
      <c r="D40" s="175">
        <f t="shared" si="0"/>
        <v>1464489053</v>
      </c>
      <c r="E40" s="175">
        <f t="shared" si="0"/>
        <v>5021135.2978570424</v>
      </c>
      <c r="F40" s="175">
        <f t="shared" si="0"/>
        <v>2093958.9596882451</v>
      </c>
      <c r="G40" s="175">
        <f t="shared" si="0"/>
        <v>3808065.6673135385</v>
      </c>
      <c r="H40" s="175">
        <f t="shared" si="0"/>
        <v>3586335.4880683976</v>
      </c>
      <c r="I40" s="175">
        <f t="shared" si="0"/>
        <v>8108610.8756962614</v>
      </c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75"/>
      <c r="E41" s="175"/>
      <c r="F41" s="175"/>
      <c r="G41" s="175"/>
      <c r="H41" s="177"/>
      <c r="I41" s="175"/>
      <c r="J41" s="178"/>
      <c r="K41" s="179"/>
      <c r="L41" s="179"/>
      <c r="M41" s="175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s="16" customFormat="1" x14ac:dyDescent="0.2">
      <c r="B42" s="19"/>
      <c r="C42" s="19"/>
      <c r="D42" s="19"/>
      <c r="E42" s="19"/>
      <c r="F42" s="19"/>
      <c r="G42" s="19"/>
      <c r="H42" s="172"/>
      <c r="I42" s="19"/>
      <c r="J42" s="173"/>
      <c r="K42" s="19"/>
      <c r="L42" s="174"/>
      <c r="M42" s="19"/>
      <c r="N42" s="26"/>
      <c r="O42" s="26"/>
      <c r="P42" s="26"/>
      <c r="R42" s="184"/>
      <c r="S42" s="184"/>
      <c r="T42" s="184"/>
      <c r="U42" s="184"/>
      <c r="V42" s="184"/>
      <c r="W42" s="184"/>
      <c r="X42" s="184"/>
    </row>
    <row r="43" spans="1:24" s="16" customFormat="1" x14ac:dyDescent="0.2">
      <c r="B43" s="19"/>
      <c r="C43" s="19"/>
      <c r="D43" s="19"/>
      <c r="E43" s="19"/>
      <c r="F43" s="19"/>
      <c r="G43" s="19"/>
      <c r="H43" s="172"/>
      <c r="I43" s="169">
        <f>SUM(I8:I16)+I34+I36+I38</f>
        <v>5447479.0214634985</v>
      </c>
      <c r="J43" s="173"/>
      <c r="K43" s="19"/>
      <c r="L43" s="174"/>
      <c r="M43" s="19"/>
      <c r="N43" s="26"/>
      <c r="O43" s="26"/>
      <c r="P43" s="26"/>
      <c r="R43" s="184"/>
      <c r="S43" s="184"/>
      <c r="T43" s="184"/>
      <c r="U43" s="184"/>
      <c r="V43" s="184"/>
      <c r="W43" s="184"/>
      <c r="X43" s="184"/>
    </row>
    <row r="44" spans="1:24" x14ac:dyDescent="0.2">
      <c r="D44" s="10"/>
      <c r="E44" s="10"/>
      <c r="F44" s="10"/>
      <c r="G44" s="10"/>
      <c r="H44" s="10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D45" s="10"/>
      <c r="E45" s="10"/>
      <c r="F45" s="10"/>
      <c r="G45" s="1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D46" s="10"/>
      <c r="E46" s="10"/>
      <c r="F46" s="10"/>
      <c r="G46" s="10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9"/>
      <c r="D47" s="200"/>
      <c r="E47" s="200"/>
      <c r="F47" s="200"/>
      <c r="G47" s="200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  <c r="R48" s="38"/>
      <c r="S48" s="38"/>
      <c r="T48" s="38"/>
      <c r="U48" s="38"/>
      <c r="V48" s="38"/>
      <c r="W48" s="38"/>
      <c r="X48" s="38"/>
    </row>
    <row r="49" spans="1:24" x14ac:dyDescent="0.2">
      <c r="C49" s="198"/>
      <c r="D49" s="41"/>
      <c r="E49" s="41"/>
      <c r="F49" s="41"/>
      <c r="G49" s="41"/>
      <c r="H49" s="13"/>
      <c r="I49" s="10"/>
      <c r="J49" s="14"/>
      <c r="K49" s="10"/>
      <c r="L49" s="11"/>
      <c r="M49" s="10"/>
      <c r="N49" s="12"/>
      <c r="O49" s="12"/>
      <c r="P49" s="12"/>
      <c r="R49" s="38"/>
      <c r="S49" s="38"/>
      <c r="T49" s="38"/>
      <c r="U49" s="38"/>
      <c r="V49" s="38"/>
      <c r="W49" s="38"/>
      <c r="X49" s="38"/>
    </row>
    <row r="50" spans="1:24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24" x14ac:dyDescent="0.2">
      <c r="C51" s="198"/>
      <c r="D51" s="122"/>
      <c r="E51" s="122"/>
      <c r="F51" s="122"/>
      <c r="G51" s="122"/>
      <c r="H51" s="13"/>
      <c r="I51" s="10"/>
      <c r="J51" s="14"/>
      <c r="K51" s="10"/>
      <c r="L51" s="11"/>
      <c r="M51" s="10"/>
      <c r="N51" s="12"/>
      <c r="O51" s="12"/>
      <c r="P51" s="12"/>
    </row>
    <row r="52" spans="1:24" x14ac:dyDescent="0.2">
      <c r="C52" s="198"/>
      <c r="D52" s="122"/>
      <c r="E52" s="122"/>
      <c r="F52" s="122"/>
      <c r="G52" s="122"/>
      <c r="H52" s="13"/>
      <c r="I52" s="10"/>
      <c r="J52" s="14"/>
      <c r="K52" s="10"/>
      <c r="L52" s="11"/>
      <c r="M52" s="10"/>
      <c r="N52" s="12"/>
      <c r="O52" s="12"/>
      <c r="P52" s="12"/>
    </row>
    <row r="53" spans="1:24" x14ac:dyDescent="0.2">
      <c r="A53" s="196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24" x14ac:dyDescent="0.2">
      <c r="A54" s="197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24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24" x14ac:dyDescent="0.2">
      <c r="C56" s="198"/>
      <c r="D56" s="10"/>
      <c r="E56" s="10"/>
      <c r="F56" s="10"/>
      <c r="G56" s="10"/>
      <c r="H56" s="13"/>
      <c r="I56" s="184"/>
      <c r="J56" s="183"/>
      <c r="K56" s="184"/>
      <c r="L56" s="183"/>
      <c r="M56" s="10"/>
      <c r="N56" s="12"/>
      <c r="O56" s="12"/>
      <c r="P56" s="12"/>
    </row>
    <row r="57" spans="1:24" x14ac:dyDescent="0.2">
      <c r="C57" s="198"/>
      <c r="D57" s="10"/>
      <c r="E57" s="10"/>
      <c r="F57" s="10"/>
      <c r="G57" s="10"/>
      <c r="H57" s="13"/>
      <c r="I57" s="184"/>
      <c r="J57" s="183"/>
      <c r="K57" s="184"/>
      <c r="L57" s="183"/>
      <c r="M57" s="10"/>
      <c r="N57" s="12"/>
      <c r="O57" s="12"/>
      <c r="P57" s="12"/>
    </row>
    <row r="58" spans="1:24" x14ac:dyDescent="0.2">
      <c r="A58" s="196"/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24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24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24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24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24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24" x14ac:dyDescent="0.2">
      <c r="D64" s="10"/>
      <c r="E64" s="10"/>
      <c r="F64" s="10"/>
      <c r="G64" s="10"/>
      <c r="H64" s="13"/>
      <c r="I64" s="184"/>
      <c r="J64" s="184"/>
      <c r="K64" s="184"/>
      <c r="L64" s="184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84"/>
      <c r="J65" s="184"/>
      <c r="K65" s="184"/>
      <c r="L65" s="184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D72" s="10"/>
      <c r="E72" s="10"/>
      <c r="F72" s="10"/>
      <c r="G72" s="10"/>
      <c r="H72" s="13"/>
      <c r="I72" s="10"/>
      <c r="J72" s="14"/>
      <c r="K72" s="10"/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L74" s="11"/>
      <c r="M74" s="10"/>
      <c r="N74" s="12"/>
      <c r="O74" s="12"/>
      <c r="P74" s="12"/>
    </row>
    <row r="75" spans="1:22" x14ac:dyDescent="0.2">
      <c r="D75" s="10"/>
      <c r="E75" s="10"/>
      <c r="F75" s="10"/>
      <c r="G75" s="10"/>
      <c r="H75" s="13"/>
      <c r="I75" s="10"/>
      <c r="J75" s="14"/>
      <c r="K75" s="10"/>
      <c r="L75" s="11"/>
      <c r="M75" s="10"/>
      <c r="N75" s="12"/>
      <c r="O75" s="12"/>
      <c r="P75" s="12"/>
    </row>
    <row r="76" spans="1:22" x14ac:dyDescent="0.2">
      <c r="D76" s="10"/>
      <c r="E76" s="10"/>
      <c r="F76" s="10"/>
      <c r="G76" s="10"/>
      <c r="H76" s="13"/>
      <c r="I76" s="10"/>
      <c r="J76" s="14"/>
      <c r="K76" s="10"/>
      <c r="L76" s="11"/>
      <c r="M76" s="10"/>
      <c r="N76" s="12"/>
      <c r="O76" s="12"/>
      <c r="P76" s="12"/>
    </row>
    <row r="77" spans="1:22" s="16" customFormat="1" x14ac:dyDescent="0.2">
      <c r="A77" s="166"/>
      <c r="B77" s="167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U77" s="168"/>
      <c r="V77" s="168"/>
    </row>
    <row r="78" spans="1:22" s="16" customFormat="1" x14ac:dyDescent="0.2">
      <c r="A78" s="166"/>
      <c r="B78" s="167"/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A79" s="15"/>
      <c r="B79" s="18"/>
      <c r="C79" s="1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9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P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Q84" s="169"/>
      <c r="R84" s="169"/>
      <c r="S84" s="169"/>
    </row>
    <row r="85" spans="1:19" s="16" customFormat="1" x14ac:dyDescent="0.2">
      <c r="B85" s="19"/>
      <c r="C85" s="19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68"/>
      <c r="O85" s="169"/>
    </row>
    <row r="86" spans="1:19" s="16" customFormat="1" x14ac:dyDescent="0.2">
      <c r="B86" s="19"/>
      <c r="C86" s="1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  <c r="P86" s="169"/>
    </row>
    <row r="87" spans="1:19" s="16" customFormat="1" x14ac:dyDescent="0.2">
      <c r="A87" s="166"/>
      <c r="B87" s="167"/>
      <c r="C87" s="167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A88" s="15"/>
      <c r="B88" s="18"/>
      <c r="C88" s="1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9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P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Q93" s="169"/>
      <c r="R93" s="169"/>
    </row>
    <row r="94" spans="1:19" s="16" customFormat="1" x14ac:dyDescent="0.2">
      <c r="B94" s="19"/>
      <c r="C94" s="19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68"/>
      <c r="O94" s="169"/>
    </row>
    <row r="95" spans="1:19" s="16" customFormat="1" x14ac:dyDescent="0.2">
      <c r="B95" s="19"/>
      <c r="C95" s="1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9"/>
      <c r="P95" s="169"/>
    </row>
    <row r="96" spans="1:19" s="16" customFormat="1" x14ac:dyDescent="0.2">
      <c r="A96" s="166"/>
      <c r="B96" s="167"/>
      <c r="C96" s="167"/>
      <c r="D96" s="19"/>
      <c r="E96" s="19"/>
      <c r="F96" s="19"/>
      <c r="G96" s="19"/>
      <c r="H96" s="172"/>
      <c r="I96" s="19"/>
      <c r="J96" s="173"/>
      <c r="K96" s="19"/>
      <c r="L96" s="174"/>
      <c r="M96" s="19"/>
      <c r="P96" s="169"/>
    </row>
    <row r="97" spans="1:18" s="16" customFormat="1" x14ac:dyDescent="0.2">
      <c r="A97" s="15"/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68"/>
      <c r="O97" s="16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68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9"/>
      <c r="P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  <c r="Q102" s="169"/>
      <c r="R102" s="169"/>
    </row>
    <row r="103" spans="1:18" s="16" customFormat="1" x14ac:dyDescent="0.2">
      <c r="B103" s="19"/>
      <c r="C103" s="1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68"/>
      <c r="O103" s="169"/>
    </row>
    <row r="104" spans="1:18" s="16" customFormat="1" x14ac:dyDescent="0.2">
      <c r="B104" s="19"/>
      <c r="C104" s="1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9"/>
      <c r="P104" s="169"/>
    </row>
    <row r="105" spans="1:18" s="16" customFormat="1" x14ac:dyDescent="0.2">
      <c r="A105" s="166"/>
      <c r="B105" s="167"/>
      <c r="C105" s="167"/>
      <c r="D105" s="176"/>
      <c r="E105" s="176"/>
      <c r="F105" s="176"/>
      <c r="G105" s="176"/>
      <c r="H105" s="177"/>
      <c r="I105" s="175"/>
      <c r="J105" s="178"/>
      <c r="K105" s="175"/>
      <c r="L105" s="179"/>
      <c r="M105" s="175"/>
      <c r="N105" s="26"/>
      <c r="O105" s="26"/>
      <c r="P105" s="26"/>
    </row>
    <row r="106" spans="1:18" s="16" customFormat="1" x14ac:dyDescent="0.2">
      <c r="A106" s="15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68"/>
      <c r="O106" s="169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68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P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  <c r="Q111" s="169"/>
      <c r="R111" s="169"/>
    </row>
    <row r="112" spans="1:18" s="16" customFormat="1" x14ac:dyDescent="0.2">
      <c r="B112" s="19"/>
      <c r="C112" s="19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68"/>
      <c r="O112" s="169"/>
    </row>
    <row r="113" spans="1:22" s="16" customFormat="1" x14ac:dyDescent="0.2">
      <c r="B113" s="19"/>
      <c r="C113" s="1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9"/>
      <c r="P113" s="169"/>
    </row>
    <row r="114" spans="1:22" s="16" customFormat="1" x14ac:dyDescent="0.2">
      <c r="A114" s="166"/>
      <c r="B114" s="167"/>
      <c r="C114" s="16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69"/>
    </row>
    <row r="115" spans="1:22" s="16" customFormat="1" x14ac:dyDescent="0.2">
      <c r="A115" s="15"/>
      <c r="B115" s="18"/>
      <c r="C115" s="18"/>
      <c r="D115" s="19"/>
      <c r="E115" s="19"/>
      <c r="F115" s="19"/>
      <c r="G115" s="19"/>
      <c r="H115" s="175"/>
      <c r="I115" s="19"/>
      <c r="J115" s="19"/>
      <c r="K115" s="19"/>
      <c r="L115" s="19"/>
      <c r="M115" s="19"/>
      <c r="N115" s="169"/>
      <c r="O115" s="169"/>
      <c r="P115" s="26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P116" s="26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68"/>
      <c r="P117" s="169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26"/>
      <c r="P119" s="26"/>
      <c r="T119" s="181"/>
      <c r="V119" s="181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9"/>
      <c r="O120" s="169"/>
      <c r="P120" s="26"/>
      <c r="Q120" s="169"/>
      <c r="R120" s="169"/>
      <c r="T120" s="181"/>
      <c r="V120" s="181"/>
    </row>
    <row r="121" spans="1:22" s="16" customFormat="1" x14ac:dyDescent="0.2">
      <c r="B121" s="19"/>
      <c r="C121" s="19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68"/>
      <c r="O121" s="169"/>
    </row>
    <row r="122" spans="1:22" s="16" customFormat="1" x14ac:dyDescent="0.2">
      <c r="B122" s="19"/>
      <c r="C122" s="1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9"/>
      <c r="P122" s="169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9"/>
    </row>
    <row r="124" spans="1:22" s="16" customFormat="1" x14ac:dyDescent="0.2">
      <c r="A124" s="15"/>
      <c r="B124" s="18"/>
      <c r="C124" s="18"/>
      <c r="D124" s="19"/>
      <c r="E124" s="19"/>
      <c r="F124" s="19"/>
      <c r="G124" s="19"/>
      <c r="H124" s="175"/>
      <c r="I124" s="19"/>
      <c r="J124" s="19"/>
      <c r="K124" s="19"/>
      <c r="L124" s="19"/>
      <c r="M124" s="19"/>
      <c r="N124" s="169"/>
      <c r="O124" s="169"/>
      <c r="P124" s="26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P125" s="26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68"/>
      <c r="P126" s="169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26"/>
      <c r="P128" s="26"/>
      <c r="T128" s="181"/>
      <c r="V128" s="181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9"/>
      <c r="O129" s="169"/>
      <c r="P129" s="26"/>
      <c r="Q129" s="169"/>
      <c r="R129" s="169"/>
      <c r="T129" s="181"/>
      <c r="V129" s="181"/>
    </row>
    <row r="130" spans="1:22" s="16" customFormat="1" x14ac:dyDescent="0.2">
      <c r="B130" s="19"/>
      <c r="C130" s="19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68"/>
      <c r="O130" s="169"/>
    </row>
    <row r="131" spans="1:22" s="16" customFormat="1" x14ac:dyDescent="0.2">
      <c r="B131" s="19"/>
      <c r="C131" s="1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9"/>
      <c r="P131" s="169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9"/>
    </row>
    <row r="133" spans="1:22" s="16" customFormat="1" x14ac:dyDescent="0.2">
      <c r="A133" s="15"/>
      <c r="B133" s="18"/>
      <c r="C133" s="1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9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26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69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P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26"/>
      <c r="P137" s="26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Q138" s="169"/>
      <c r="R138" s="169"/>
    </row>
    <row r="139" spans="1:22" s="16" customFormat="1" x14ac:dyDescent="0.2">
      <c r="B139" s="19"/>
      <c r="C139" s="1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69"/>
      <c r="P139" s="169"/>
      <c r="Q139" s="169"/>
      <c r="R139" s="169"/>
    </row>
    <row r="140" spans="1:22" s="16" customFormat="1" x14ac:dyDescent="0.2">
      <c r="B140" s="19"/>
      <c r="C140" s="1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9"/>
      <c r="O140" s="169"/>
      <c r="P140" s="169"/>
      <c r="Q140" s="169"/>
      <c r="R140" s="169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9"/>
      <c r="O141" s="169"/>
      <c r="P141" s="26"/>
      <c r="Q141" s="169"/>
      <c r="R141" s="169"/>
    </row>
    <row r="142" spans="1:22" s="16" customFormat="1" x14ac:dyDescent="0.2">
      <c r="A142" s="15"/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69"/>
      <c r="O142" s="19"/>
      <c r="P142" s="26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P143" s="26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68"/>
      <c r="P144" s="169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26"/>
      <c r="P146" s="26"/>
      <c r="T146" s="181"/>
      <c r="V146" s="181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9"/>
      <c r="O147" s="169"/>
      <c r="P147" s="26"/>
      <c r="Q147" s="169"/>
      <c r="R147" s="169"/>
      <c r="T147" s="181"/>
      <c r="V147" s="181"/>
    </row>
    <row r="148" spans="1:22" s="16" customFormat="1" x14ac:dyDescent="0.2">
      <c r="B148" s="19"/>
      <c r="C148" s="19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68"/>
      <c r="O148" s="169"/>
    </row>
    <row r="149" spans="1:22" s="16" customFormat="1" x14ac:dyDescent="0.2">
      <c r="B149" s="19"/>
      <c r="C149" s="1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9"/>
      <c r="P149" s="169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9"/>
      <c r="O150" s="169"/>
      <c r="P150" s="26"/>
      <c r="Q150" s="169"/>
      <c r="R150" s="169"/>
    </row>
    <row r="151" spans="1:22" s="16" customFormat="1" x14ac:dyDescent="0.2">
      <c r="A151" s="15"/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69"/>
      <c r="O151" s="26"/>
      <c r="P151" s="26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P152" s="26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68"/>
      <c r="P153" s="169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26"/>
      <c r="P155" s="26"/>
      <c r="T155" s="181"/>
      <c r="V155" s="181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9"/>
      <c r="O156" s="169"/>
      <c r="P156" s="26"/>
      <c r="Q156" s="169"/>
      <c r="R156" s="169"/>
      <c r="T156" s="181"/>
      <c r="V156" s="181"/>
    </row>
    <row r="157" spans="1:22" s="16" customFormat="1" x14ac:dyDescent="0.2">
      <c r="B157" s="19"/>
      <c r="C157" s="19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68"/>
      <c r="O157" s="169"/>
    </row>
    <row r="158" spans="1:22" s="16" customFormat="1" x14ac:dyDescent="0.2">
      <c r="B158" s="19"/>
      <c r="C158" s="1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9"/>
      <c r="P158" s="169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9"/>
    </row>
    <row r="160" spans="1:22" s="16" customFormat="1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69"/>
      <c r="O160" s="26"/>
      <c r="P160" s="26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P161" s="26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68"/>
      <c r="P162" s="169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26"/>
      <c r="P164" s="26"/>
      <c r="T164" s="181"/>
      <c r="V164" s="181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9"/>
      <c r="O165" s="169"/>
      <c r="P165" s="26"/>
      <c r="Q165" s="169"/>
      <c r="R165" s="169"/>
      <c r="T165" s="181"/>
      <c r="V165" s="181"/>
    </row>
    <row r="166" spans="2:22" s="16" customFormat="1" x14ac:dyDescent="0.2">
      <c r="B166" s="19"/>
      <c r="C166" s="19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68"/>
      <c r="O166" s="169"/>
    </row>
    <row r="167" spans="2:22" s="16" customFormat="1" x14ac:dyDescent="0.2">
      <c r="B167" s="19"/>
      <c r="C167" s="1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9"/>
      <c r="P167" s="169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9"/>
    </row>
    <row r="169" spans="2:22" s="16" customFormat="1" x14ac:dyDescent="0.2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69"/>
      <c r="O169" s="26"/>
      <c r="P169" s="26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P170" s="26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68"/>
      <c r="P171" s="169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26"/>
      <c r="P173" s="26"/>
      <c r="T173" s="181"/>
      <c r="V173" s="181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9"/>
      <c r="O174" s="169"/>
      <c r="P174" s="26"/>
      <c r="Q174" s="169"/>
      <c r="R174" s="169"/>
      <c r="T174" s="181"/>
      <c r="V174" s="181"/>
    </row>
    <row r="175" spans="2:22" s="16" customFormat="1" x14ac:dyDescent="0.2">
      <c r="B175" s="19"/>
      <c r="C175" s="19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68"/>
      <c r="O175" s="169"/>
    </row>
    <row r="176" spans="2:22" s="16" customFormat="1" x14ac:dyDescent="0.2">
      <c r="B176" s="19"/>
      <c r="C176" s="1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9"/>
      <c r="P176" s="169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9"/>
    </row>
    <row r="178" spans="2:22" s="16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69"/>
      <c r="O178" s="26"/>
      <c r="P178" s="26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P179" s="26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68"/>
      <c r="P180" s="169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26"/>
      <c r="P182" s="26"/>
      <c r="T182" s="181"/>
      <c r="V182" s="181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9"/>
      <c r="O183" s="169"/>
      <c r="P183" s="26"/>
      <c r="Q183" s="169"/>
      <c r="R183" s="169"/>
      <c r="T183" s="181"/>
      <c r="V183" s="181"/>
    </row>
    <row r="184" spans="2:22" s="16" customFormat="1" x14ac:dyDescent="0.2">
      <c r="B184" s="19"/>
      <c r="C184" s="1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68"/>
      <c r="O184" s="169"/>
    </row>
    <row r="185" spans="2:22" s="16" customFormat="1" x14ac:dyDescent="0.2">
      <c r="B185" s="19"/>
      <c r="C185" s="1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9"/>
      <c r="P185" s="169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9"/>
    </row>
    <row r="187" spans="2:22" s="16" customFormat="1" x14ac:dyDescent="0.2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69"/>
      <c r="O187" s="26"/>
      <c r="P187" s="26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P188" s="26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68"/>
      <c r="P189" s="169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82"/>
      <c r="M190" s="168"/>
      <c r="N190" s="169"/>
      <c r="O190" s="169"/>
      <c r="P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26"/>
      <c r="P191" s="26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9"/>
      <c r="O192" s="169"/>
      <c r="P192" s="26"/>
      <c r="Q192" s="169"/>
      <c r="R192" s="169"/>
    </row>
    <row r="193" spans="2:22" s="16" customFormat="1" x14ac:dyDescent="0.2">
      <c r="B193" s="19"/>
      <c r="C193" s="19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68"/>
      <c r="O193" s="169"/>
    </row>
    <row r="194" spans="2:22" s="16" customFormat="1" x14ac:dyDescent="0.2">
      <c r="B194" s="19"/>
      <c r="C194" s="1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9"/>
      <c r="P194" s="169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9"/>
    </row>
    <row r="196" spans="2:22" s="16" customFormat="1" x14ac:dyDescent="0.2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69"/>
      <c r="O196" s="26"/>
      <c r="P196" s="26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P197" s="26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68"/>
      <c r="P198" s="169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26"/>
      <c r="P200" s="26"/>
      <c r="T200" s="181"/>
      <c r="V200" s="181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9"/>
      <c r="O201" s="169"/>
      <c r="P201" s="26"/>
      <c r="Q201" s="169"/>
      <c r="R201" s="169"/>
      <c r="T201" s="181"/>
      <c r="V201" s="181"/>
    </row>
    <row r="202" spans="2:22" s="16" customFormat="1" x14ac:dyDescent="0.2">
      <c r="B202" s="19"/>
      <c r="C202" s="19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68"/>
      <c r="O202" s="169"/>
    </row>
    <row r="203" spans="2:22" s="16" customFormat="1" x14ac:dyDescent="0.2">
      <c r="B203" s="19"/>
      <c r="C203" s="1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9"/>
      <c r="P203" s="169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9"/>
    </row>
    <row r="205" spans="2:22" s="16" customFormat="1" x14ac:dyDescent="0.2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69"/>
      <c r="O205" s="26"/>
      <c r="P205" s="26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P206" s="26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68"/>
      <c r="P207" s="169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26"/>
      <c r="P209" s="26"/>
      <c r="T209" s="181"/>
      <c r="V209" s="181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9"/>
      <c r="O210" s="169"/>
      <c r="P210" s="26"/>
      <c r="Q210" s="169"/>
      <c r="R210" s="169"/>
      <c r="T210" s="181"/>
      <c r="V210" s="181"/>
    </row>
    <row r="211" spans="1:22" s="16" customFormat="1" x14ac:dyDescent="0.2">
      <c r="B211" s="19"/>
      <c r="C211" s="19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68"/>
      <c r="O211" s="169"/>
    </row>
    <row r="212" spans="1:22" s="16" customFormat="1" x14ac:dyDescent="0.2">
      <c r="B212" s="19"/>
      <c r="C212" s="19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9"/>
      <c r="P212" s="169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9"/>
    </row>
    <row r="214" spans="1:22" s="16" customFormat="1" x14ac:dyDescent="0.2">
      <c r="A214" s="15"/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69"/>
      <c r="O214" s="26"/>
      <c r="P214" s="26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P215" s="26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68"/>
      <c r="P216" s="169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26"/>
      <c r="P218" s="26"/>
      <c r="T218" s="181"/>
      <c r="V218" s="181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9"/>
      <c r="O219" s="169"/>
      <c r="P219" s="26"/>
      <c r="Q219" s="169"/>
      <c r="R219" s="169"/>
      <c r="T219" s="181"/>
      <c r="V219" s="181"/>
    </row>
    <row r="220" spans="1:22" s="16" customFormat="1" x14ac:dyDescent="0.2">
      <c r="B220" s="19"/>
      <c r="C220" s="19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69"/>
    </row>
    <row r="221" spans="1:22" s="16" customFormat="1" x14ac:dyDescent="0.2">
      <c r="B221" s="19"/>
      <c r="C221" s="19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9"/>
      <c r="P221" s="169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9"/>
    </row>
    <row r="223" spans="1:22" s="16" customFormat="1" x14ac:dyDescent="0.2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69"/>
      <c r="O223" s="26"/>
      <c r="P223" s="26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P224" s="26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68"/>
      <c r="P225" s="169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26"/>
      <c r="P227" s="26"/>
      <c r="T227" s="181"/>
      <c r="V227" s="181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9"/>
      <c r="O228" s="169"/>
      <c r="P228" s="26"/>
      <c r="Q228" s="169"/>
      <c r="R228" s="169"/>
      <c r="T228" s="181"/>
      <c r="V228" s="181"/>
    </row>
    <row r="229" spans="2:22" s="16" customFormat="1" x14ac:dyDescent="0.2">
      <c r="B229" s="19"/>
      <c r="C229" s="19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69"/>
    </row>
    <row r="230" spans="2:22" s="16" customFormat="1" x14ac:dyDescent="0.2">
      <c r="B230" s="19"/>
      <c r="C230" s="19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9"/>
      <c r="P230" s="169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9"/>
    </row>
    <row r="232" spans="2:22" s="16" customFormat="1" x14ac:dyDescent="0.2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69"/>
      <c r="O232" s="26"/>
      <c r="P232" s="26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P233" s="26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68"/>
      <c r="P234" s="169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26"/>
      <c r="P236" s="26"/>
      <c r="T236" s="181"/>
      <c r="V236" s="181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9"/>
      <c r="O237" s="169"/>
      <c r="P237" s="26"/>
      <c r="Q237" s="169"/>
      <c r="R237" s="169"/>
      <c r="T237" s="181"/>
      <c r="V237" s="181"/>
    </row>
    <row r="238" spans="2:22" s="16" customFormat="1" x14ac:dyDescent="0.2">
      <c r="B238" s="19"/>
      <c r="C238" s="19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69"/>
    </row>
    <row r="239" spans="2:22" s="16" customFormat="1" x14ac:dyDescent="0.2">
      <c r="B239" s="19"/>
      <c r="C239" s="19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9"/>
      <c r="P239" s="169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9"/>
    </row>
    <row r="241" spans="1:22" s="16" customFormat="1" x14ac:dyDescent="0.2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69"/>
      <c r="O241" s="26"/>
      <c r="P241" s="26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P242" s="26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68"/>
      <c r="P243" s="169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26"/>
      <c r="P245" s="26"/>
      <c r="T245" s="181"/>
      <c r="V245" s="181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9"/>
      <c r="O246" s="169"/>
      <c r="P246" s="26"/>
      <c r="Q246" s="169"/>
      <c r="R246" s="169"/>
      <c r="T246" s="181"/>
      <c r="V246" s="181"/>
    </row>
    <row r="247" spans="1:22" s="16" customFormat="1" x14ac:dyDescent="0.2">
      <c r="B247" s="19"/>
      <c r="C247" s="19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69"/>
    </row>
    <row r="248" spans="1:22" s="16" customFormat="1" x14ac:dyDescent="0.2">
      <c r="B248" s="19"/>
      <c r="C248" s="19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9"/>
      <c r="P248" s="169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9"/>
    </row>
    <row r="250" spans="1:22" s="16" customFormat="1" x14ac:dyDescent="0.2">
      <c r="A250" s="15"/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69"/>
      <c r="O250" s="26"/>
      <c r="P250" s="26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P251" s="26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68"/>
      <c r="P252" s="169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26"/>
      <c r="P254" s="26"/>
      <c r="T254" s="181"/>
      <c r="V254" s="181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9"/>
      <c r="O255" s="169"/>
      <c r="P255" s="26"/>
      <c r="Q255" s="169"/>
      <c r="R255" s="169"/>
      <c r="T255" s="181"/>
      <c r="V255" s="181"/>
    </row>
    <row r="256" spans="1:22" s="16" customFormat="1" x14ac:dyDescent="0.2">
      <c r="B256" s="19"/>
      <c r="C256" s="19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69"/>
    </row>
    <row r="257" spans="1:22" s="16" customFormat="1" x14ac:dyDescent="0.2">
      <c r="B257" s="19"/>
      <c r="C257" s="19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9"/>
      <c r="P257" s="169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9"/>
    </row>
    <row r="259" spans="1:22" s="16" customFormat="1" x14ac:dyDescent="0.2">
      <c r="A259" s="15"/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69"/>
      <c r="O259" s="26"/>
      <c r="P259" s="26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P260" s="26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68"/>
      <c r="P261" s="169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26"/>
      <c r="P263" s="26"/>
      <c r="T263" s="181"/>
      <c r="V263" s="181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9"/>
      <c r="O264" s="169"/>
      <c r="P264" s="26"/>
      <c r="Q264" s="169"/>
      <c r="R264" s="169"/>
      <c r="T264" s="181"/>
      <c r="V264" s="181"/>
    </row>
    <row r="265" spans="1:22" s="16" customFormat="1" x14ac:dyDescent="0.2">
      <c r="B265" s="19"/>
      <c r="C265" s="19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69"/>
    </row>
    <row r="266" spans="1:22" s="16" customFormat="1" x14ac:dyDescent="0.2">
      <c r="B266" s="19"/>
      <c r="C266" s="19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9"/>
      <c r="P266" s="169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9"/>
    </row>
    <row r="268" spans="1:22" s="16" customFormat="1" x14ac:dyDescent="0.2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69"/>
      <c r="O268" s="26"/>
      <c r="P268" s="26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P269" s="26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68"/>
      <c r="P270" s="169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26"/>
      <c r="P272" s="26"/>
      <c r="T272" s="181"/>
      <c r="V272" s="181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9"/>
      <c r="O273" s="169"/>
      <c r="P273" s="26"/>
      <c r="Q273" s="169"/>
      <c r="R273" s="169"/>
      <c r="T273" s="181"/>
      <c r="V273" s="181"/>
    </row>
    <row r="274" spans="1:22" s="16" customFormat="1" x14ac:dyDescent="0.2">
      <c r="B274" s="19"/>
      <c r="C274" s="19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69"/>
    </row>
    <row r="275" spans="1:22" s="16" customFormat="1" x14ac:dyDescent="0.2">
      <c r="B275" s="19"/>
      <c r="C275" s="19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9"/>
      <c r="P275" s="169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9"/>
    </row>
    <row r="277" spans="1:22" s="16" customFormat="1" x14ac:dyDescent="0.2">
      <c r="A277" s="15"/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69"/>
      <c r="O277" s="26"/>
      <c r="P277" s="26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P278" s="26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68"/>
      <c r="P279" s="169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26"/>
      <c r="P281" s="26"/>
      <c r="T281" s="181"/>
      <c r="V281" s="181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9"/>
      <c r="O282" s="169"/>
      <c r="P282" s="26"/>
      <c r="Q282" s="169"/>
      <c r="R282" s="169"/>
      <c r="T282" s="181"/>
      <c r="V282" s="181"/>
    </row>
    <row r="283" spans="1:22" s="16" customFormat="1" x14ac:dyDescent="0.2">
      <c r="B283" s="19"/>
      <c r="C283" s="19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69"/>
    </row>
    <row r="284" spans="1:22" s="16" customFormat="1" x14ac:dyDescent="0.2">
      <c r="B284" s="19"/>
      <c r="C284" s="19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9"/>
      <c r="P284" s="169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9"/>
      <c r="P285" s="169"/>
    </row>
    <row r="286" spans="1:22" s="16" customFormat="1" x14ac:dyDescent="0.2">
      <c r="A286" s="15"/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69"/>
      <c r="O286" s="26"/>
      <c r="P286" s="26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P287" s="26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P288" s="169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26"/>
      <c r="P290" s="26"/>
      <c r="T290" s="181"/>
      <c r="V290" s="181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9"/>
      <c r="O291" s="169"/>
      <c r="P291" s="26"/>
      <c r="Q291" s="169"/>
      <c r="R291" s="169"/>
      <c r="T291" s="181"/>
      <c r="V291" s="181"/>
    </row>
    <row r="292" spans="1:22" s="16" customFormat="1" x14ac:dyDescent="0.2">
      <c r="B292" s="19"/>
      <c r="C292" s="19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69"/>
    </row>
    <row r="293" spans="1:22" s="16" customFormat="1" x14ac:dyDescent="0.2">
      <c r="B293" s="19"/>
      <c r="C293" s="19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9"/>
      <c r="P293" s="169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9"/>
    </row>
    <row r="295" spans="1:22" s="16" customFormat="1" x14ac:dyDescent="0.2">
      <c r="A295" s="15"/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69"/>
      <c r="O295" s="26"/>
      <c r="P295" s="26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P296" s="26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P297" s="169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26"/>
      <c r="P299" s="26"/>
      <c r="T299" s="181"/>
      <c r="V299" s="181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9"/>
      <c r="O300" s="169"/>
      <c r="P300" s="26"/>
      <c r="Q300" s="169"/>
      <c r="R300" s="169"/>
      <c r="T300" s="181"/>
      <c r="V300" s="181"/>
    </row>
    <row r="301" spans="1:22" s="16" customFormat="1" x14ac:dyDescent="0.2">
      <c r="B301" s="19"/>
      <c r="C301" s="19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  <c r="P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9"/>
      <c r="L303" s="19"/>
      <c r="M303" s="19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9"/>
    </row>
    <row r="306" spans="2:22" s="16" customFormat="1" x14ac:dyDescent="0.2">
      <c r="B306" s="19"/>
      <c r="C306" s="19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68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80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69"/>
    </row>
    <row r="314" spans="2:22" s="16" customForma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69"/>
    </row>
    <row r="315" spans="2:22" s="16" customForma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6"/>
      <c r="P315" s="26"/>
      <c r="T315" s="181"/>
      <c r="V315" s="181"/>
    </row>
    <row r="316" spans="2:22" ht="17.25" x14ac:dyDescent="0.35">
      <c r="D316" s="10"/>
      <c r="E316" s="10"/>
      <c r="F316" s="10"/>
      <c r="G316" s="10"/>
      <c r="H316" s="10"/>
      <c r="I316" s="10"/>
      <c r="J316" s="10"/>
      <c r="K316" s="10"/>
      <c r="L316" s="10"/>
      <c r="M316" s="17"/>
      <c r="N316" s="10"/>
      <c r="O316" s="10"/>
      <c r="P316" s="10"/>
    </row>
  </sheetData>
  <phoneticPr fontId="0" type="noConversion"/>
  <printOptions horizontalCentered="1" verticalCentered="1"/>
  <pageMargins left="0.75" right="0.75" top="1" bottom="1" header="0.5" footer="0.5"/>
  <pageSetup scale="70" orientation="landscape" horizontalDpi="4294967293" verticalDpi="200" r:id="rId1"/>
  <headerFooter alignWithMargins="0"/>
  <rowBreaks count="1" manualBreakCount="1">
    <brk id="11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11"/>
  <sheetViews>
    <sheetView topLeftCell="A43" zoomScale="75" zoomScaleNormal="75" workbookViewId="0">
      <selection activeCell="E63" sqref="E63"/>
    </sheetView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1423</v>
      </c>
    </row>
    <row r="2" spans="1:19" ht="15.75" x14ac:dyDescent="0.25">
      <c r="A2" s="28" t="s">
        <v>929</v>
      </c>
    </row>
    <row r="3" spans="1:19" ht="15.75" x14ac:dyDescent="0.25">
      <c r="A3" s="28" t="s">
        <v>2157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2154</v>
      </c>
      <c r="D6" s="67" t="s">
        <v>2265</v>
      </c>
      <c r="E6" s="66" t="s">
        <v>68</v>
      </c>
      <c r="F6" s="131"/>
    </row>
    <row r="7" spans="1:19" x14ac:dyDescent="0.25">
      <c r="C7" s="51" t="s">
        <v>2155</v>
      </c>
      <c r="D7" s="51" t="s">
        <v>848</v>
      </c>
      <c r="E7" s="66" t="s">
        <v>2154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1425</v>
      </c>
      <c r="B8" s="20"/>
      <c r="C8" s="52" t="s">
        <v>529</v>
      </c>
      <c r="D8" s="52" t="s">
        <v>528</v>
      </c>
      <c r="E8" s="78" t="s">
        <v>529</v>
      </c>
      <c r="F8" s="78" t="s">
        <v>2156</v>
      </c>
      <c r="G8" s="124"/>
      <c r="H8" s="124"/>
      <c r="I8" s="124"/>
      <c r="J8" s="47"/>
      <c r="K8" s="27"/>
      <c r="L8" s="134"/>
      <c r="M8" s="134"/>
      <c r="N8" s="340"/>
      <c r="O8" s="340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1546</v>
      </c>
      <c r="C10" s="148">
        <v>64.615170020000008</v>
      </c>
      <c r="D10" s="149">
        <f>'Billing Det'!B8/12</f>
        <v>35889.861111111109</v>
      </c>
      <c r="E10" s="148">
        <f>C10*D10</f>
        <v>2319029.4776886306</v>
      </c>
      <c r="F10" s="59">
        <f>E10/$E$40</f>
        <v>0.62152926285909604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2260</v>
      </c>
      <c r="C12" s="148">
        <v>74.863008603212378</v>
      </c>
      <c r="D12" s="149">
        <f>'Billing Det'!B10/12</f>
        <v>5304.708333333333</v>
      </c>
      <c r="E12" s="148">
        <f>C12*D12</f>
        <v>397126.4255958657</v>
      </c>
      <c r="F12" s="59">
        <f>E12/$E$40</f>
        <v>0.10643491035244471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2261</v>
      </c>
      <c r="C14" s="148">
        <v>284.96870416553941</v>
      </c>
      <c r="D14" s="149">
        <f>'Billing Det'!B12/12</f>
        <v>1639.375</v>
      </c>
      <c r="E14" s="148">
        <f>C14*D14</f>
        <v>467170.56939138117</v>
      </c>
      <c r="F14" s="59">
        <f>E14/$E$40</f>
        <v>0.12520762776706504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A15" s="7"/>
      <c r="C15" s="148"/>
      <c r="D15" s="149"/>
      <c r="E15" s="148"/>
      <c r="F15" s="59"/>
      <c r="G15" s="27"/>
      <c r="H15" s="27"/>
      <c r="I15" s="27"/>
      <c r="J15" s="126"/>
      <c r="K15" s="144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315" t="s">
        <v>2380</v>
      </c>
      <c r="C16" s="283">
        <v>689.2078980766637</v>
      </c>
      <c r="D16" s="149">
        <f>'Billing Det'!B14/12</f>
        <v>17.166666666666668</v>
      </c>
      <c r="E16" s="148">
        <f>C16*D16</f>
        <v>11831.402250316061</v>
      </c>
      <c r="F16" s="59">
        <f>E16/$E$40</f>
        <v>3.1709656086638732E-3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C17" s="148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2262</v>
      </c>
      <c r="C18" s="148">
        <v>130.85112881554832</v>
      </c>
      <c r="D18" s="149">
        <f>'Billing Det'!B16/12</f>
        <v>28.180555555555557</v>
      </c>
      <c r="E18" s="148">
        <f>C18*D18</f>
        <v>3687.457505093716</v>
      </c>
      <c r="F18" s="59">
        <f>E18/$E$40</f>
        <v>9.8828530081878523E-4</v>
      </c>
      <c r="G18" s="27"/>
      <c r="H18" s="27"/>
      <c r="I18" s="27"/>
      <c r="J18" s="126"/>
      <c r="K18" s="144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A19" s="7"/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2263</v>
      </c>
      <c r="C20" s="283">
        <v>689.2078980766637</v>
      </c>
      <c r="D20" s="149">
        <f>'Billing Det'!B18/12</f>
        <v>21.25</v>
      </c>
      <c r="E20" s="148">
        <f>C20*D20</f>
        <v>14645.667834129104</v>
      </c>
      <c r="F20" s="59">
        <f>E20/$E$40</f>
        <v>3.9252244184916872E-3</v>
      </c>
      <c r="G20" s="27"/>
      <c r="H20" s="27"/>
      <c r="I20" s="27"/>
      <c r="J20" s="27"/>
      <c r="K20" s="27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32"/>
      <c r="D21" s="149"/>
      <c r="E21" s="148"/>
      <c r="F21" s="149"/>
      <c r="G21" s="27"/>
      <c r="H21" s="27"/>
      <c r="I21" s="27"/>
      <c r="J21" s="27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7" t="s">
        <v>2151</v>
      </c>
      <c r="C22" s="148">
        <v>624.31984907026822</v>
      </c>
      <c r="D22" s="149">
        <f>'Billing Det'!B20/12</f>
        <v>364.98611111111109</v>
      </c>
      <c r="E22" s="148">
        <f>C22*D22</f>
        <v>227868.07380163303</v>
      </c>
      <c r="F22" s="59">
        <f>E22/$E$40</f>
        <v>6.1071528974357817E-2</v>
      </c>
      <c r="G22" s="27"/>
      <c r="H22" s="27"/>
      <c r="I22" s="27"/>
      <c r="J22" s="126"/>
      <c r="K22" s="144"/>
      <c r="L22" s="137"/>
      <c r="M22" s="134"/>
      <c r="N22" s="79"/>
      <c r="O22" s="138"/>
      <c r="P22" s="134"/>
      <c r="Q22" s="139"/>
      <c r="R22" s="140"/>
      <c r="S22" s="50"/>
    </row>
    <row r="23" spans="1:19" x14ac:dyDescent="0.25">
      <c r="C23" s="150"/>
      <c r="D23" s="149"/>
      <c r="E23" s="150"/>
      <c r="F23" s="149"/>
      <c r="G23" s="27"/>
      <c r="H23" s="145"/>
      <c r="I23" s="145"/>
      <c r="J23" s="145"/>
      <c r="K23" s="27"/>
      <c r="L23" s="137"/>
      <c r="M23" s="134"/>
      <c r="N23" s="79"/>
      <c r="O23" s="138"/>
      <c r="P23" s="134"/>
      <c r="Q23" s="139"/>
      <c r="R23" s="140"/>
      <c r="S23" s="50"/>
    </row>
    <row r="24" spans="1:19" x14ac:dyDescent="0.25">
      <c r="A24" s="3" t="s">
        <v>2152</v>
      </c>
      <c r="C24" s="148">
        <v>3593.1145861549589</v>
      </c>
      <c r="D24" s="149">
        <f>'Billing Det'!B22/12</f>
        <v>14.375</v>
      </c>
      <c r="E24" s="148">
        <f>C24*D24</f>
        <v>51651.022175977538</v>
      </c>
      <c r="F24" s="59">
        <f>E24/$E$40</f>
        <v>1.3843127932530952E-2</v>
      </c>
      <c r="G24" s="146"/>
      <c r="H24" s="27"/>
      <c r="I24" s="27"/>
      <c r="J24" s="126"/>
      <c r="K24" s="144"/>
      <c r="L24" s="133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F25" s="149"/>
      <c r="G25" s="27"/>
      <c r="H25" s="27"/>
      <c r="I25" s="27"/>
      <c r="J25" s="27"/>
      <c r="K25" s="27"/>
      <c r="L25" s="133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2153</v>
      </c>
      <c r="C26" s="148">
        <v>843.261651095258</v>
      </c>
      <c r="D26" s="149">
        <f>'Billing Det'!B24/12</f>
        <v>44.604166666666664</v>
      </c>
      <c r="E26" s="148">
        <f>C26*D26</f>
        <v>37612.983229061399</v>
      </c>
      <c r="F26" s="59">
        <f>E26/$E$40</f>
        <v>1.0080755749422568E-2</v>
      </c>
      <c r="G26" s="27"/>
      <c r="H26" s="27"/>
      <c r="I26" s="27"/>
      <c r="J26" s="126"/>
      <c r="K26" s="144"/>
      <c r="L26" s="137"/>
      <c r="M26" s="134"/>
      <c r="N26" s="79"/>
      <c r="O26" s="138"/>
      <c r="P26" s="134"/>
      <c r="Q26" s="139"/>
      <c r="R26" s="140"/>
      <c r="S26" s="50"/>
    </row>
    <row r="27" spans="1:19" x14ac:dyDescent="0.25">
      <c r="C27" s="132"/>
      <c r="D27" s="149"/>
      <c r="E27" s="148"/>
      <c r="F27" s="149"/>
      <c r="G27" s="27"/>
      <c r="H27" s="27"/>
      <c r="I27" s="27"/>
      <c r="J27" s="27"/>
      <c r="K27" s="27"/>
      <c r="L27" s="137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2264</v>
      </c>
      <c r="C28" s="148">
        <v>4980.6354922085629</v>
      </c>
      <c r="D28" s="149">
        <f>'Billing Det'!B26/12</f>
        <v>23.041666666666668</v>
      </c>
      <c r="E28" s="148">
        <f>C28*D28</f>
        <v>114762.14279963898</v>
      </c>
      <c r="F28" s="59">
        <f>E28/$E$40</f>
        <v>3.0757707353285722E-2</v>
      </c>
      <c r="G28" s="27"/>
      <c r="H28" s="27"/>
      <c r="I28" s="27"/>
      <c r="J28" s="126"/>
      <c r="K28" s="144"/>
      <c r="L28" s="133"/>
      <c r="M28" s="134"/>
      <c r="N28" s="79"/>
      <c r="O28" s="138"/>
      <c r="P28" s="134"/>
      <c r="Q28" s="139"/>
      <c r="R28" s="140"/>
      <c r="S28" s="50"/>
    </row>
    <row r="29" spans="1:19" x14ac:dyDescent="0.25">
      <c r="C29" s="150"/>
      <c r="D29" s="149"/>
      <c r="E29" s="150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1880</v>
      </c>
      <c r="C30" s="148">
        <v>31307.641454630324</v>
      </c>
      <c r="D30" s="149">
        <f>'Billing Det'!B30/12</f>
        <v>2.5</v>
      </c>
      <c r="E30" s="148">
        <f>C30*D30</f>
        <v>78269.103636575805</v>
      </c>
      <c r="F30" s="59">
        <f>E30/$E$40</f>
        <v>2.0977110793938252E-2</v>
      </c>
      <c r="G30" s="27"/>
      <c r="H30" s="27"/>
      <c r="I30" s="27"/>
      <c r="J30" s="126"/>
      <c r="K30" s="144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32"/>
      <c r="D31" s="149"/>
      <c r="F31" s="149"/>
      <c r="G31" s="27"/>
      <c r="H31" s="27"/>
      <c r="I31" s="27"/>
      <c r="J31" s="27"/>
      <c r="K31" s="27"/>
      <c r="L31" s="133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2150</v>
      </c>
      <c r="C32" s="148">
        <v>39752.30619014</v>
      </c>
      <c r="D32" s="149">
        <f>'Billing Det'!B32/12</f>
        <v>8.3333333333333329E-2</v>
      </c>
      <c r="E32" s="148">
        <f>C32*D32</f>
        <v>3312.6921825116665</v>
      </c>
      <c r="F32" s="59">
        <f>E32/$E$40</f>
        <v>8.8784344920345745E-4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2169</v>
      </c>
      <c r="C34" s="148">
        <v>0</v>
      </c>
      <c r="D34" s="149">
        <f>'Billing Det'!B34/12</f>
        <v>14040.340277777779</v>
      </c>
      <c r="E34" s="148">
        <f>C34*D34</f>
        <v>0</v>
      </c>
      <c r="F34" s="59">
        <f>E34/$E$40</f>
        <v>0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14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2170</v>
      </c>
      <c r="C36" s="148">
        <f>C10</f>
        <v>64.615170020000008</v>
      </c>
      <c r="D36" s="149">
        <f>'Billing Det'!B36/12</f>
        <v>0.33333333333333331</v>
      </c>
      <c r="E36" s="148">
        <f>C36*D36</f>
        <v>21.538390006666667</v>
      </c>
      <c r="F36" s="59">
        <f>E36/$E$40</f>
        <v>5.7725612342615741E-6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7"/>
      <c r="C37" s="148"/>
      <c r="D37" s="149"/>
      <c r="E37" s="148"/>
      <c r="F37" s="59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7" t="s">
        <v>2171</v>
      </c>
      <c r="C38" s="148">
        <f>C10</f>
        <v>64.615170020000008</v>
      </c>
      <c r="D38" s="149">
        <f>'Billing Det'!B38/12</f>
        <v>64.666666666666671</v>
      </c>
      <c r="E38" s="148">
        <f>C38*D38</f>
        <v>4178.447661293334</v>
      </c>
      <c r="F38" s="59">
        <f>E38/$E$40</f>
        <v>1.1198768794467456E-3</v>
      </c>
      <c r="G38" s="27"/>
      <c r="H38" s="27"/>
      <c r="I38" s="27"/>
      <c r="J38" s="126"/>
      <c r="K38" s="27"/>
      <c r="L38" s="137"/>
      <c r="M38" s="134"/>
      <c r="N38" s="79"/>
      <c r="O38" s="138"/>
      <c r="P38" s="134"/>
      <c r="Q38" s="139"/>
      <c r="R38" s="140"/>
      <c r="S38" s="50"/>
    </row>
    <row r="39" spans="1:19" x14ac:dyDescent="0.25">
      <c r="A39" s="21"/>
      <c r="B39" s="152"/>
      <c r="C39" s="153"/>
      <c r="D39" s="154"/>
      <c r="E39" s="153"/>
      <c r="F39" s="195"/>
      <c r="G39" s="27"/>
      <c r="H39" s="27"/>
      <c r="I39" s="27"/>
      <c r="J39" s="126"/>
      <c r="K39" s="27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A40" s="3" t="s">
        <v>68</v>
      </c>
      <c r="C40" s="148"/>
      <c r="D40" s="155">
        <f>SUM(D4:D39)</f>
        <v>57455.472222222219</v>
      </c>
      <c r="E40" s="102">
        <f>SUM(E4:E39)</f>
        <v>3731167.0041421149</v>
      </c>
      <c r="F40" s="59">
        <f>SUM(F10:F39)</f>
        <v>0.99999999999999989</v>
      </c>
      <c r="G40" s="5"/>
      <c r="H40" s="5"/>
      <c r="I40" s="5"/>
      <c r="J40" s="147"/>
      <c r="K40" s="27"/>
      <c r="L40" s="133"/>
      <c r="M40" s="134"/>
      <c r="N40" s="79"/>
      <c r="O40" s="138"/>
      <c r="P40" s="134"/>
      <c r="Q40" s="139"/>
      <c r="R40" s="140"/>
      <c r="S40" s="50"/>
    </row>
    <row r="41" spans="1:19" x14ac:dyDescent="0.25">
      <c r="F41" s="193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F42" s="194"/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7"/>
      <c r="M43" s="134"/>
      <c r="N43" s="79"/>
      <c r="O43" s="138"/>
      <c r="P43" s="134"/>
      <c r="Q43" s="139"/>
      <c r="R43" s="140"/>
      <c r="S43" s="50"/>
    </row>
    <row r="44" spans="1:19" x14ac:dyDescent="0.25">
      <c r="C44" s="58" t="s">
        <v>2158</v>
      </c>
      <c r="D44" s="58"/>
      <c r="E44" s="65">
        <f>'Functional Assignment'!F41</f>
        <v>82987729.264615372</v>
      </c>
      <c r="L44" s="137"/>
      <c r="M44" s="134"/>
      <c r="N44" s="79"/>
      <c r="O44" s="138"/>
      <c r="P44" s="134"/>
      <c r="Q44" s="139"/>
      <c r="R44" s="140"/>
      <c r="S44" s="50"/>
    </row>
    <row r="45" spans="1:19" x14ac:dyDescent="0.25">
      <c r="C45" s="123"/>
      <c r="E45" s="148"/>
      <c r="F45" s="2"/>
      <c r="L45" s="134"/>
      <c r="M45" s="134"/>
      <c r="N45" s="79"/>
      <c r="O45" s="141"/>
      <c r="P45" s="134"/>
      <c r="Q45" s="139"/>
      <c r="R45" s="141"/>
      <c r="S45" s="50"/>
    </row>
    <row r="46" spans="1:19" x14ac:dyDescent="0.25">
      <c r="C46" s="123"/>
      <c r="E46" s="151"/>
      <c r="F46" s="2"/>
      <c r="L46" s="134"/>
      <c r="M46" s="134"/>
      <c r="N46" s="134"/>
      <c r="O46" s="134"/>
      <c r="P46" s="134"/>
      <c r="Q46" s="142"/>
      <c r="R46" s="134"/>
      <c r="S46" s="50"/>
    </row>
    <row r="47" spans="1:19" x14ac:dyDescent="0.25">
      <c r="A47" s="7"/>
      <c r="C47" s="123"/>
      <c r="E47" s="148"/>
      <c r="F47" s="2"/>
      <c r="L47" s="134"/>
      <c r="M47" s="134"/>
      <c r="N47" s="134"/>
      <c r="O47" s="134"/>
      <c r="P47" s="134"/>
      <c r="Q47" s="135"/>
      <c r="R47" s="134"/>
      <c r="S47" s="50"/>
    </row>
    <row r="48" spans="1:19" x14ac:dyDescent="0.25">
      <c r="C48" s="123"/>
      <c r="F48" s="2"/>
      <c r="L48" s="134"/>
      <c r="M48" s="134"/>
      <c r="N48" s="134"/>
      <c r="O48" s="134"/>
      <c r="P48" s="134"/>
      <c r="Q48" s="79"/>
      <c r="R48" s="134"/>
      <c r="S48" s="50"/>
    </row>
    <row r="49" spans="1:18" x14ac:dyDescent="0.25">
      <c r="A49" s="7"/>
      <c r="C49" s="123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  <c r="L50" s="143"/>
      <c r="M50" s="143"/>
      <c r="N50" s="143"/>
      <c r="O50" s="143"/>
      <c r="P50" s="143"/>
      <c r="Q50" s="143"/>
      <c r="R50" s="143"/>
    </row>
    <row r="51" spans="1:18" x14ac:dyDescent="0.25">
      <c r="A51" s="7"/>
      <c r="D51" s="48"/>
      <c r="E51" s="148"/>
      <c r="F51" s="2"/>
      <c r="L51" s="143"/>
      <c r="M51" s="143"/>
      <c r="N51" s="143"/>
      <c r="O51" s="143"/>
      <c r="P51" s="143"/>
      <c r="Q51" s="143"/>
      <c r="R51" s="143"/>
    </row>
    <row r="52" spans="1:18" x14ac:dyDescent="0.25">
      <c r="A52" s="7"/>
      <c r="C52" s="127"/>
      <c r="F52" s="2"/>
    </row>
    <row r="53" spans="1:18" x14ac:dyDescent="0.25">
      <c r="A53" s="7"/>
      <c r="C53" s="123"/>
      <c r="D53" s="48"/>
      <c r="E53" s="148"/>
      <c r="F53" s="2"/>
    </row>
    <row r="54" spans="1:18" x14ac:dyDescent="0.25">
      <c r="A54" s="125"/>
      <c r="B54" s="27"/>
      <c r="C54" s="128"/>
      <c r="F54" s="2"/>
    </row>
    <row r="55" spans="1:18" x14ac:dyDescent="0.25">
      <c r="C55" s="127"/>
      <c r="D55" s="126"/>
      <c r="E55" s="148"/>
      <c r="F55" s="2"/>
    </row>
    <row r="56" spans="1:18" x14ac:dyDescent="0.25">
      <c r="C56" s="127"/>
      <c r="D56" s="48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C61" s="127"/>
      <c r="E61" s="148"/>
      <c r="F61" s="2"/>
    </row>
    <row r="62" spans="1:18" x14ac:dyDescent="0.25">
      <c r="C62" s="127"/>
      <c r="F62" s="2"/>
    </row>
    <row r="63" spans="1:18" x14ac:dyDescent="0.25">
      <c r="E63" s="148">
        <f>SUM(E10:E62)</f>
        <v>90450063.272899598</v>
      </c>
      <c r="F63" s="2">
        <f>SUM(F10:F62)</f>
        <v>1.9999999999999998</v>
      </c>
    </row>
    <row r="64" spans="1:18" x14ac:dyDescent="0.25">
      <c r="C64" s="1"/>
    </row>
    <row r="76" spans="4:11" x14ac:dyDescent="0.25">
      <c r="D76" s="50"/>
      <c r="E76" s="58"/>
      <c r="F76" s="50"/>
      <c r="G76" s="50"/>
      <c r="H76" s="50"/>
      <c r="I76" s="50"/>
      <c r="J76" s="50"/>
      <c r="K76" s="58"/>
    </row>
    <row r="105" spans="12:19" x14ac:dyDescent="0.25">
      <c r="L105" s="50"/>
      <c r="M105" s="50"/>
      <c r="N105" s="50"/>
      <c r="O105" s="50"/>
      <c r="P105" s="50"/>
      <c r="Q105" s="58"/>
      <c r="R105" s="50"/>
      <c r="S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  <row r="110" spans="12:19" x14ac:dyDescent="0.25">
      <c r="N110" s="50"/>
    </row>
    <row r="111" spans="12:19" x14ac:dyDescent="0.25">
      <c r="N111" s="50"/>
    </row>
  </sheetData>
  <mergeCells count="1">
    <mergeCell ref="N8:O8"/>
  </mergeCells>
  <phoneticPr fontId="0" type="noConversion"/>
  <pageMargins left="1" right="0.25" top="0.75" bottom="0.62" header="0.5" footer="0.2"/>
  <pageSetup scale="78" orientation="portrait" horizontalDpi="200" verticalDpi="200" r:id="rId1"/>
  <headerFooter alignWithMargins="0">
    <oddFooter>&amp;C&amp;12Meters&amp;R&amp;12Exhibit 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4"/>
  <sheetViews>
    <sheetView topLeftCell="A22" zoomScale="75" zoomScaleNormal="75" workbookViewId="0">
      <selection activeCell="A17" sqref="A17"/>
    </sheetView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1423</v>
      </c>
      <c r="B1"/>
      <c r="C1"/>
      <c r="D1" s="45"/>
      <c r="E1" s="132"/>
      <c r="F1"/>
    </row>
    <row r="2" spans="1:22" ht="15.75" x14ac:dyDescent="0.25">
      <c r="A2" s="28" t="s">
        <v>1424</v>
      </c>
      <c r="B2"/>
      <c r="C2"/>
      <c r="D2" s="45"/>
      <c r="E2" s="132"/>
      <c r="F2"/>
    </row>
    <row r="3" spans="1:22" ht="15.75" x14ac:dyDescent="0.25">
      <c r="A3" s="28" t="s">
        <v>2159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2160</v>
      </c>
      <c r="D6" s="67" t="s">
        <v>2265</v>
      </c>
      <c r="E6" s="66" t="s">
        <v>68</v>
      </c>
      <c r="F6" s="131"/>
      <c r="J6" s="49" t="s">
        <v>677</v>
      </c>
      <c r="N6" s="57"/>
      <c r="O6" s="135"/>
      <c r="P6" s="340"/>
      <c r="Q6" s="340"/>
      <c r="R6" s="134"/>
      <c r="S6" s="135"/>
      <c r="T6" s="134"/>
    </row>
    <row r="7" spans="1:22" ht="15" x14ac:dyDescent="0.25">
      <c r="A7"/>
      <c r="B7"/>
      <c r="C7" s="51" t="s">
        <v>2155</v>
      </c>
      <c r="D7" s="51" t="s">
        <v>848</v>
      </c>
      <c r="E7" s="66" t="s">
        <v>2160</v>
      </c>
      <c r="F7" s="66" t="s">
        <v>403</v>
      </c>
      <c r="J7" s="75" t="s">
        <v>678</v>
      </c>
      <c r="K7" s="70" t="s">
        <v>407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1425</v>
      </c>
      <c r="B8" s="20"/>
      <c r="C8" s="52" t="s">
        <v>529</v>
      </c>
      <c r="D8" s="52" t="s">
        <v>528</v>
      </c>
      <c r="E8" s="78" t="s">
        <v>529</v>
      </c>
      <c r="F8" s="78" t="s">
        <v>2156</v>
      </c>
      <c r="J8" s="71" t="s">
        <v>679</v>
      </c>
      <c r="K8" s="72" t="s">
        <v>873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1546</v>
      </c>
      <c r="B10"/>
      <c r="C10" s="162">
        <v>437.26180915600003</v>
      </c>
      <c r="D10" s="149">
        <f>Meters!D10</f>
        <v>35889.861111111109</v>
      </c>
      <c r="E10" s="148">
        <f>C10*D10</f>
        <v>15693265.599802013</v>
      </c>
      <c r="F10" s="59">
        <f>E10/$E$40</f>
        <v>0.7012953994338833</v>
      </c>
      <c r="G10" s="68"/>
      <c r="H10" s="68"/>
      <c r="I10" s="7" t="s">
        <v>215</v>
      </c>
      <c r="J10" s="55">
        <v>225746</v>
      </c>
      <c r="K10" s="74">
        <f>J10/$J$67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2260</v>
      </c>
      <c r="B12"/>
      <c r="C12" s="162">
        <v>766.90722222222223</v>
      </c>
      <c r="D12" s="149">
        <f>Meters!D12</f>
        <v>5304.708333333333</v>
      </c>
      <c r="E12" s="148">
        <f>C12*D12</f>
        <v>4068219.1326157404</v>
      </c>
      <c r="F12" s="59">
        <f>E12/$E$40</f>
        <v>0.18179921466621426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2261</v>
      </c>
      <c r="B14"/>
      <c r="C14" s="163">
        <v>1268.0802559444444</v>
      </c>
      <c r="D14" s="149">
        <f>Meters!D14</f>
        <v>1639.375</v>
      </c>
      <c r="E14" s="148">
        <f>C14*D14</f>
        <v>2078859.0695889236</v>
      </c>
      <c r="F14" s="59">
        <f>E14/$E$40</f>
        <v>9.2899358154781245E-2</v>
      </c>
      <c r="G14" s="68"/>
      <c r="H14" s="68"/>
      <c r="I14" s="7" t="s">
        <v>216</v>
      </c>
      <c r="J14" s="55">
        <v>165290</v>
      </c>
      <c r="K14" s="74">
        <f>J14/$J$67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 s="7"/>
      <c r="B15"/>
      <c r="C15" s="163"/>
      <c r="D15" s="149"/>
      <c r="E15" s="148"/>
      <c r="F15" s="59"/>
      <c r="G15" s="68"/>
      <c r="H15" s="68"/>
      <c r="I15" s="7"/>
      <c r="J15" s="55"/>
      <c r="K15" s="74"/>
      <c r="L15" s="74"/>
      <c r="M15" s="74"/>
      <c r="N15" s="57"/>
      <c r="O15" s="139"/>
      <c r="P15" s="158"/>
      <c r="Q15" s="159"/>
      <c r="R15" s="133"/>
      <c r="S15" s="160"/>
      <c r="T15" s="161"/>
    </row>
    <row r="16" spans="1:22" ht="15" x14ac:dyDescent="0.25">
      <c r="A16" s="315" t="s">
        <v>2384</v>
      </c>
      <c r="B16"/>
      <c r="C16" s="163">
        <v>1177.7252303999999</v>
      </c>
      <c r="D16" s="149">
        <f>Meters!D16</f>
        <v>17.166666666666668</v>
      </c>
      <c r="E16" s="148">
        <f>C16*D16</f>
        <v>20217.616455200001</v>
      </c>
      <c r="F16" s="59">
        <f>E16/$E$40</f>
        <v>9.0347807582695939E-4</v>
      </c>
      <c r="G16" s="68"/>
      <c r="H16" s="68"/>
      <c r="I16" s="7"/>
      <c r="J16" s="55"/>
      <c r="K16" s="74"/>
      <c r="L16" s="74"/>
      <c r="M16" s="74"/>
      <c r="N16" s="57"/>
      <c r="O16" s="139"/>
      <c r="P16" s="158"/>
      <c r="Q16" s="159"/>
      <c r="R16" s="133"/>
      <c r="S16" s="160"/>
      <c r="T16" s="161"/>
    </row>
    <row r="17" spans="1:20" ht="15" x14ac:dyDescent="0.25">
      <c r="A1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2262</v>
      </c>
      <c r="B18"/>
      <c r="C18" s="163">
        <v>1177.7252303999999</v>
      </c>
      <c r="D18" s="149">
        <f>Meters!D18</f>
        <v>28.180555555555557</v>
      </c>
      <c r="E18" s="148">
        <f>C18*D18</f>
        <v>33188.951284466668</v>
      </c>
      <c r="F18" s="59">
        <f>E18/$E$40</f>
        <v>1.4831367442175571E-3</v>
      </c>
      <c r="G18" s="68"/>
      <c r="H18" s="68"/>
      <c r="I18" s="7"/>
      <c r="J18" s="55"/>
      <c r="N18" s="57"/>
      <c r="O18" s="139"/>
      <c r="P18" s="79"/>
      <c r="Q18" s="138"/>
      <c r="R18" s="134"/>
      <c r="S18" s="139"/>
      <c r="T18" s="140"/>
    </row>
    <row r="19" spans="1:20" ht="15" x14ac:dyDescent="0.25">
      <c r="A19" s="7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2263</v>
      </c>
      <c r="B20"/>
      <c r="C20" s="163">
        <v>1177.7252303999999</v>
      </c>
      <c r="D20" s="149">
        <f>Meters!D20</f>
        <v>21.25</v>
      </c>
      <c r="E20" s="148">
        <f>C20*D20</f>
        <v>25026.661145999999</v>
      </c>
      <c r="F20" s="59">
        <f>E20/$E$40</f>
        <v>1.1183830550285175E-3</v>
      </c>
      <c r="G20" s="68"/>
      <c r="H20" s="68"/>
      <c r="I20" s="7" t="s">
        <v>213</v>
      </c>
      <c r="J20" s="55">
        <v>68565</v>
      </c>
      <c r="K20" s="74">
        <f>J20/$J$67</f>
        <v>0.14507089039864079</v>
      </c>
      <c r="L20" s="74"/>
      <c r="M20" s="74"/>
      <c r="N20" s="57"/>
      <c r="O20" s="139"/>
      <c r="P20" s="158"/>
      <c r="Q20" s="159"/>
      <c r="R20" s="133"/>
      <c r="S20" s="160"/>
      <c r="T20" s="161"/>
    </row>
    <row r="21" spans="1:20" ht="15" x14ac:dyDescent="0.25">
      <c r="A21"/>
      <c r="B21"/>
      <c r="C21" s="163"/>
      <c r="D21" s="149"/>
      <c r="E21" s="148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7" t="s">
        <v>2151</v>
      </c>
      <c r="B22"/>
      <c r="C22" s="163">
        <v>1113.0044232800001</v>
      </c>
      <c r="D22" s="149">
        <f>Meters!D22</f>
        <v>364.98611111111109</v>
      </c>
      <c r="E22" s="148">
        <f>C22*D22</f>
        <v>406231.15610243223</v>
      </c>
      <c r="F22" s="59">
        <f>E22/$E$40</f>
        <v>1.8153521908463564E-2</v>
      </c>
      <c r="G22" s="68"/>
      <c r="H22" s="68"/>
      <c r="I22" s="7" t="s">
        <v>214</v>
      </c>
      <c r="J22" s="55">
        <v>0</v>
      </c>
      <c r="K22" s="74">
        <f>J22/$J$67</f>
        <v>0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50"/>
      <c r="F23" s="149"/>
      <c r="G23" s="68"/>
      <c r="H23" s="68"/>
      <c r="I23" s="7"/>
      <c r="J23" s="55"/>
      <c r="N23" s="57"/>
      <c r="O23" s="139"/>
      <c r="P23" s="79"/>
      <c r="Q23" s="138"/>
      <c r="R23" s="134"/>
      <c r="S23" s="139"/>
      <c r="T23" s="140"/>
    </row>
    <row r="24" spans="1:20" ht="15" x14ac:dyDescent="0.25">
      <c r="A24" s="3" t="s">
        <v>2152</v>
      </c>
      <c r="B24"/>
      <c r="C24" s="163">
        <v>0</v>
      </c>
      <c r="D24" s="149">
        <f>Meters!D24</f>
        <v>14.375</v>
      </c>
      <c r="E24" s="148">
        <f>C24*D24</f>
        <v>0</v>
      </c>
      <c r="F24" s="59">
        <f>E24/$E$40</f>
        <v>0</v>
      </c>
      <c r="G24" s="68"/>
      <c r="H24" s="68"/>
      <c r="I24" s="7" t="s">
        <v>211</v>
      </c>
      <c r="J24" s="76">
        <v>12893</v>
      </c>
      <c r="K24" s="74">
        <f>J24/$J$67</f>
        <v>2.7279209362060467E-2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32"/>
      <c r="F25" s="149"/>
      <c r="G25" s="68"/>
      <c r="H25" s="68"/>
      <c r="I25" s="7"/>
      <c r="J25" s="55"/>
      <c r="N25" s="57"/>
      <c r="O25" s="139"/>
      <c r="P25" s="158"/>
      <c r="Q25" s="159"/>
      <c r="R25" s="133"/>
      <c r="S25" s="160"/>
      <c r="T25" s="161"/>
    </row>
    <row r="26" spans="1:20" ht="15" x14ac:dyDescent="0.25">
      <c r="A26" s="7" t="s">
        <v>2153</v>
      </c>
      <c r="B26"/>
      <c r="C26" s="163">
        <v>1177.7252303999999</v>
      </c>
      <c r="D26" s="149">
        <f>Meters!D26</f>
        <v>44.604166666666664</v>
      </c>
      <c r="E26" s="148">
        <f>C26*D26</f>
        <v>52531.45246429999</v>
      </c>
      <c r="F26" s="59">
        <f>E26/$E$40</f>
        <v>2.3475079615843685E-3</v>
      </c>
      <c r="G26" s="68"/>
      <c r="H26" s="68"/>
      <c r="I26" s="7" t="s">
        <v>212</v>
      </c>
      <c r="J26" s="55">
        <v>0</v>
      </c>
      <c r="K26" s="74">
        <f>J26/$J$67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 s="7"/>
      <c r="J27" s="55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2264</v>
      </c>
      <c r="B28"/>
      <c r="C28" s="163">
        <v>0</v>
      </c>
      <c r="D28" s="149">
        <f>Meters!D28</f>
        <v>23.041666666666668</v>
      </c>
      <c r="E28" s="148">
        <f>C28*D28</f>
        <v>0</v>
      </c>
      <c r="F28" s="59">
        <f>E28/$E$40</f>
        <v>0</v>
      </c>
      <c r="G28" s="68"/>
      <c r="H28" s="68"/>
      <c r="I28" s="7" t="s">
        <v>218</v>
      </c>
      <c r="J28" s="55">
        <v>0</v>
      </c>
      <c r="K28" s="74">
        <f>J28/$J$67</f>
        <v>0</v>
      </c>
      <c r="L28" s="74"/>
      <c r="M28" s="74"/>
      <c r="N28" s="57"/>
      <c r="O28" s="139"/>
      <c r="P28" s="79"/>
      <c r="Q28" s="138"/>
      <c r="R28" s="134"/>
      <c r="S28" s="139"/>
      <c r="T28" s="140"/>
    </row>
    <row r="29" spans="1:20" ht="15" x14ac:dyDescent="0.25">
      <c r="A29"/>
      <c r="B29"/>
      <c r="C29" s="163"/>
      <c r="D29" s="149"/>
      <c r="E29" s="150"/>
      <c r="F29" s="149"/>
      <c r="G29" s="68"/>
      <c r="H29" s="68"/>
      <c r="I29"/>
      <c r="J29" s="77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1880</v>
      </c>
      <c r="B30"/>
      <c r="C30" s="163">
        <v>0</v>
      </c>
      <c r="D30" s="149">
        <f>Meters!D30</f>
        <v>2.5</v>
      </c>
      <c r="E30" s="148">
        <f>C30*D30</f>
        <v>0</v>
      </c>
      <c r="F30" s="59">
        <f>E30/$E$40</f>
        <v>0</v>
      </c>
      <c r="G30" s="68"/>
      <c r="H30" s="68"/>
      <c r="I30" s="7" t="s">
        <v>209</v>
      </c>
      <c r="J30" s="55">
        <v>41</v>
      </c>
      <c r="K30" s="74">
        <f>J30/$J$67</f>
        <v>8.6748435883384715E-5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32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2150</v>
      </c>
      <c r="B32"/>
      <c r="C32" s="163">
        <v>0</v>
      </c>
      <c r="D32" s="149">
        <f>Meters!D32</f>
        <v>8.3333333333333329E-2</v>
      </c>
      <c r="E32" s="148">
        <f>C32*D32</f>
        <v>0</v>
      </c>
      <c r="F32" s="59">
        <f>E32/$E$40</f>
        <v>0</v>
      </c>
      <c r="G32" s="68"/>
      <c r="H32" s="68"/>
      <c r="I32" s="7" t="s">
        <v>210</v>
      </c>
      <c r="J32" s="55">
        <v>0</v>
      </c>
      <c r="K32" s="74">
        <f>J32/$J$67</f>
        <v>0</v>
      </c>
      <c r="L32" s="74"/>
      <c r="M32" s="74"/>
      <c r="N32" s="57"/>
      <c r="O32" s="139"/>
      <c r="P32" s="158"/>
      <c r="Q32" s="159"/>
      <c r="R32" s="133"/>
      <c r="S32" s="160"/>
      <c r="T32" s="161"/>
    </row>
    <row r="33" spans="1:20" ht="15" x14ac:dyDescent="0.25">
      <c r="A33" s="7"/>
      <c r="B33"/>
      <c r="C33" s="163"/>
      <c r="D33" s="149"/>
      <c r="E33" s="148"/>
      <c r="F33" s="149"/>
      <c r="G33" s="68"/>
      <c r="H33" s="68"/>
      <c r="I33" s="7"/>
      <c r="J33" s="55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2169</v>
      </c>
      <c r="B34"/>
      <c r="C34" s="163">
        <v>0</v>
      </c>
      <c r="D34" s="149">
        <f>Meters!D34</f>
        <v>14040.340277777779</v>
      </c>
      <c r="E34" s="148">
        <f>C34*D34</f>
        <v>0</v>
      </c>
      <c r="F34" s="59">
        <f>E34/$E$40</f>
        <v>0</v>
      </c>
      <c r="G34" s="68"/>
      <c r="H34" s="68"/>
      <c r="I34" s="3" t="s">
        <v>221</v>
      </c>
      <c r="J34" s="55">
        <v>0</v>
      </c>
      <c r="K34" s="74">
        <f>J34/$J$67</f>
        <v>0</v>
      </c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2170</v>
      </c>
      <c r="B36"/>
      <c r="C36" s="163">
        <v>0</v>
      </c>
      <c r="D36" s="149">
        <f>Meters!D36</f>
        <v>0.33333333333333331</v>
      </c>
      <c r="E36" s="148">
        <f>C36*D36</f>
        <v>0</v>
      </c>
      <c r="F36" s="59">
        <f>E36/$E$40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7"/>
      <c r="B37"/>
      <c r="C37" s="163"/>
      <c r="D37" s="149"/>
      <c r="E37" s="148"/>
      <c r="F37" s="59"/>
      <c r="G37" s="68"/>
      <c r="H37" s="68"/>
      <c r="I37" s="3"/>
      <c r="J37" s="55"/>
      <c r="K37" s="74"/>
      <c r="L37" s="74"/>
      <c r="M37" s="74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7" t="s">
        <v>2171</v>
      </c>
      <c r="B38"/>
      <c r="C38" s="163">
        <v>0</v>
      </c>
      <c r="D38" s="149">
        <f>Meters!D38</f>
        <v>64.666666666666671</v>
      </c>
      <c r="E38" s="148">
        <f>C38*D38</f>
        <v>0</v>
      </c>
      <c r="F38" s="59">
        <f>E38/$E$40</f>
        <v>0</v>
      </c>
      <c r="G38" s="68"/>
      <c r="H38" s="68"/>
      <c r="I38" s="3"/>
      <c r="J38" s="55"/>
      <c r="K38" s="74"/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5" x14ac:dyDescent="0.25">
      <c r="A39" s="152"/>
      <c r="B39" s="152"/>
      <c r="C39" s="164"/>
      <c r="D39" s="154"/>
      <c r="E39" s="153"/>
      <c r="F39" s="154"/>
      <c r="G39" s="68"/>
      <c r="H39" s="68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5" x14ac:dyDescent="0.25">
      <c r="A40" s="3" t="s">
        <v>68</v>
      </c>
      <c r="B40"/>
      <c r="C40" s="148"/>
      <c r="D40" s="155">
        <f>SUM(D4:D39)</f>
        <v>57455.472222222219</v>
      </c>
      <c r="E40" s="102">
        <f>SUM(E4:E39)</f>
        <v>22377539.639459081</v>
      </c>
      <c r="F40" s="59">
        <f>SUM(F10:F39)</f>
        <v>0.99999999999999967</v>
      </c>
      <c r="I40" s="3" t="s">
        <v>222</v>
      </c>
      <c r="J40" s="55">
        <v>0</v>
      </c>
      <c r="K40" s="74">
        <f>J40/$J$67</f>
        <v>0</v>
      </c>
      <c r="L40" s="74"/>
      <c r="M40" s="74"/>
      <c r="N40" s="57"/>
      <c r="O40" s="139"/>
      <c r="P40" s="79"/>
      <c r="Q40" s="138"/>
      <c r="R40" s="134"/>
      <c r="S40" s="139"/>
      <c r="T40" s="140"/>
    </row>
    <row r="41" spans="1:20" ht="14.25" x14ac:dyDescent="0.2">
      <c r="A41" s="53"/>
      <c r="D41" s="61"/>
      <c r="I41" s="7"/>
      <c r="J41" s="55"/>
      <c r="N41" s="57"/>
      <c r="O41" s="139"/>
      <c r="P41" s="79"/>
      <c r="Q41" s="138"/>
      <c r="R41" s="134"/>
      <c r="S41" s="139"/>
      <c r="T41" s="140"/>
    </row>
    <row r="42" spans="1:20" ht="14.25" x14ac:dyDescent="0.2">
      <c r="A42" s="133"/>
      <c r="B42" s="134"/>
      <c r="C42" s="79"/>
      <c r="D42" s="138"/>
      <c r="E42" s="79"/>
      <c r="F42" s="79"/>
      <c r="I42" s="3" t="s">
        <v>219</v>
      </c>
      <c r="J42" s="55">
        <v>0</v>
      </c>
      <c r="K42" s="74">
        <f>J42/$J$67</f>
        <v>0</v>
      </c>
      <c r="L42" s="74"/>
      <c r="M42" s="74"/>
      <c r="N42" s="57"/>
      <c r="O42" s="139"/>
      <c r="P42" s="79"/>
      <c r="Q42" s="138"/>
      <c r="R42" s="134"/>
      <c r="S42" s="139"/>
      <c r="T42" s="138"/>
    </row>
    <row r="43" spans="1:20" ht="14.25" x14ac:dyDescent="0.2">
      <c r="A43" s="137"/>
      <c r="B43" s="134"/>
      <c r="C43" s="79"/>
      <c r="D43" s="138"/>
      <c r="E43" s="79"/>
      <c r="F43" s="79"/>
      <c r="I43" s="7"/>
      <c r="J43" s="55"/>
      <c r="N43" s="62"/>
      <c r="O43" s="142"/>
      <c r="P43" s="134"/>
      <c r="Q43" s="134"/>
      <c r="R43" s="134"/>
      <c r="S43" s="142"/>
      <c r="T43" s="134"/>
    </row>
    <row r="44" spans="1:20" ht="14.25" x14ac:dyDescent="0.2">
      <c r="A44" s="133"/>
      <c r="B44" s="134"/>
      <c r="C44" s="58" t="s">
        <v>2158</v>
      </c>
      <c r="D44" s="58"/>
      <c r="E44" s="65">
        <f>'Functional Assignment'!F40</f>
        <v>97262576.699999869</v>
      </c>
      <c r="F44" s="79"/>
      <c r="I44" s="3" t="s">
        <v>220</v>
      </c>
      <c r="J44" s="55">
        <v>0</v>
      </c>
      <c r="K44" s="74">
        <f>J44/$J$67</f>
        <v>0</v>
      </c>
      <c r="L44" s="74"/>
      <c r="M44" s="74"/>
      <c r="N44" s="62"/>
      <c r="O44" s="135"/>
      <c r="P44" s="134"/>
      <c r="Q44" s="134"/>
      <c r="R44" s="134"/>
      <c r="S44" s="135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  <c r="N45" s="62"/>
      <c r="O45" s="79"/>
      <c r="P45" s="134"/>
      <c r="Q45" s="134"/>
      <c r="R45" s="134"/>
      <c r="S45" s="79"/>
      <c r="T45" s="134"/>
    </row>
    <row r="46" spans="1:20" ht="14.25" x14ac:dyDescent="0.2">
      <c r="A46" s="133"/>
      <c r="B46" s="134"/>
      <c r="C46" s="79"/>
      <c r="D46" s="138"/>
      <c r="E46" s="79"/>
      <c r="F46" s="79"/>
      <c r="I46" s="7" t="s">
        <v>675</v>
      </c>
      <c r="J46" s="55">
        <v>0</v>
      </c>
      <c r="K46" s="74">
        <f>J46/$J$67</f>
        <v>0</v>
      </c>
      <c r="L46" s="74"/>
      <c r="M46" s="74"/>
      <c r="N46" s="134"/>
      <c r="O46" s="134"/>
      <c r="P46" s="134"/>
      <c r="Q46" s="134"/>
      <c r="R46" s="134"/>
      <c r="S46" s="134"/>
      <c r="T46" s="134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3"/>
      <c r="B48" s="134"/>
      <c r="C48" s="79"/>
      <c r="D48" s="138"/>
      <c r="E48" s="79"/>
      <c r="F48" s="79"/>
      <c r="I48" s="7" t="s">
        <v>390</v>
      </c>
      <c r="J48" s="55">
        <v>0</v>
      </c>
      <c r="K48" s="74">
        <f>J48/$J$67</f>
        <v>0</v>
      </c>
      <c r="L48" s="74"/>
      <c r="M48" s="74"/>
      <c r="N48" s="58"/>
      <c r="O48" s="58"/>
      <c r="S48" s="58"/>
    </row>
    <row r="49" spans="1:19" ht="14.25" x14ac:dyDescent="0.2">
      <c r="A49" s="137"/>
      <c r="B49" s="134"/>
      <c r="C49" s="134"/>
      <c r="D49" s="138"/>
      <c r="E49" s="134"/>
      <c r="F49" s="134"/>
      <c r="I49" s="7"/>
      <c r="J49" s="55"/>
    </row>
    <row r="50" spans="1:19" ht="14.25" x14ac:dyDescent="0.2">
      <c r="A50" s="137"/>
      <c r="B50" s="134"/>
      <c r="C50" s="79"/>
      <c r="D50" s="138"/>
      <c r="E50" s="79"/>
      <c r="F50" s="79"/>
      <c r="I50" s="7" t="s">
        <v>676</v>
      </c>
      <c r="J50" s="55">
        <v>0</v>
      </c>
      <c r="K50" s="74">
        <f>J50/$J$67</f>
        <v>0</v>
      </c>
      <c r="L50" s="74"/>
      <c r="M50" s="74"/>
    </row>
    <row r="51" spans="1:19" x14ac:dyDescent="0.2">
      <c r="A51" s="137"/>
      <c r="B51" s="134"/>
      <c r="C51" s="134"/>
      <c r="D51" s="138"/>
      <c r="E51" s="134"/>
      <c r="F51" s="134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x14ac:dyDescent="0.2">
      <c r="A52" s="133"/>
      <c r="B52" s="134"/>
      <c r="C52" s="79"/>
      <c r="D52" s="138"/>
      <c r="E52" s="79"/>
      <c r="F52" s="7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4.25" x14ac:dyDescent="0.2">
      <c r="A53" s="137"/>
      <c r="B53" s="134"/>
      <c r="C53" s="134"/>
      <c r="D53" s="138"/>
      <c r="E53" s="134"/>
      <c r="F53" s="134"/>
      <c r="I53" s="7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7" t="s">
        <v>849</v>
      </c>
      <c r="J54" s="55">
        <v>0</v>
      </c>
      <c r="K54" s="74">
        <f>J54/$J$67</f>
        <v>0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850</v>
      </c>
      <c r="J56" s="55">
        <v>96</v>
      </c>
      <c r="K56" s="74">
        <f>J56/$J$67</f>
        <v>2.0311828889768127E-4</v>
      </c>
      <c r="L56" s="74"/>
      <c r="M56" s="74"/>
    </row>
    <row r="57" spans="1:19" ht="15" x14ac:dyDescent="0.25">
      <c r="A57" s="137"/>
      <c r="B57" s="134"/>
      <c r="C57" s="134"/>
      <c r="D57" s="138"/>
      <c r="E57" s="134"/>
      <c r="F57" s="134"/>
      <c r="I5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3" t="s">
        <v>281</v>
      </c>
      <c r="J58" s="55">
        <v>0</v>
      </c>
      <c r="K58" s="74">
        <f>J58/$J$67</f>
        <v>0</v>
      </c>
      <c r="L58" s="74"/>
      <c r="M58" s="74"/>
    </row>
    <row r="59" spans="1:19" ht="14.25" x14ac:dyDescent="0.2">
      <c r="A59" s="137"/>
      <c r="B59" s="134"/>
      <c r="C59" s="134"/>
      <c r="D59" s="138"/>
      <c r="E59" s="134"/>
      <c r="F59" s="134"/>
      <c r="I59" s="7"/>
      <c r="J59" s="55"/>
    </row>
    <row r="60" spans="1:19" ht="14.25" x14ac:dyDescent="0.2">
      <c r="A60" s="137"/>
      <c r="B60" s="134"/>
      <c r="C60" s="79"/>
      <c r="D60" s="138"/>
      <c r="E60" s="79"/>
      <c r="F60" s="79"/>
      <c r="I60" s="7" t="s">
        <v>404</v>
      </c>
      <c r="J60" s="55">
        <v>0</v>
      </c>
      <c r="K60" s="74">
        <f>J60/$J$67</f>
        <v>0</v>
      </c>
      <c r="L60" s="74"/>
      <c r="M60" s="74"/>
    </row>
    <row r="61" spans="1:19" ht="14.25" x14ac:dyDescent="0.2">
      <c r="A61" s="134"/>
      <c r="B61" s="134"/>
      <c r="C61" s="79"/>
      <c r="D61" s="156"/>
      <c r="E61" s="79"/>
      <c r="F61" s="79"/>
      <c r="G61" s="68"/>
      <c r="H61" s="68"/>
      <c r="I61" s="7"/>
      <c r="J61" s="55"/>
    </row>
    <row r="62" spans="1:19" ht="14.25" x14ac:dyDescent="0.2">
      <c r="A62" s="134"/>
      <c r="B62" s="134"/>
      <c r="C62" s="134"/>
      <c r="D62" s="134"/>
      <c r="E62" s="134"/>
      <c r="F62" s="134"/>
      <c r="I62" s="7" t="s">
        <v>391</v>
      </c>
      <c r="J62" s="55">
        <v>0</v>
      </c>
      <c r="K62" s="74">
        <f>J62/$J$67</f>
        <v>0</v>
      </c>
      <c r="L62" s="74"/>
      <c r="M62" s="74"/>
    </row>
    <row r="63" spans="1:19" ht="14.25" x14ac:dyDescent="0.2">
      <c r="C63" s="54"/>
      <c r="E63" s="54"/>
      <c r="F63" s="65"/>
      <c r="I63" s="7"/>
      <c r="J63" s="55"/>
    </row>
    <row r="64" spans="1:19" ht="14.25" x14ac:dyDescent="0.2">
      <c r="I64" s="7" t="s">
        <v>852</v>
      </c>
      <c r="J64" s="55">
        <v>0</v>
      </c>
      <c r="K64" s="74">
        <f>J64/$J$67</f>
        <v>0</v>
      </c>
      <c r="L64" s="74"/>
      <c r="M64" s="74"/>
    </row>
    <row r="65" spans="9:14" ht="14.25" x14ac:dyDescent="0.2">
      <c r="I65" s="7"/>
      <c r="J65" s="77"/>
    </row>
    <row r="66" spans="9:14" ht="14.25" x14ac:dyDescent="0.2">
      <c r="I66" s="21" t="s">
        <v>851</v>
      </c>
      <c r="J66" s="56">
        <v>0</v>
      </c>
      <c r="K66" s="74">
        <f>J66/$J$67</f>
        <v>0</v>
      </c>
      <c r="L66" s="74"/>
      <c r="M66" s="74"/>
    </row>
    <row r="67" spans="9:14" x14ac:dyDescent="0.2">
      <c r="J67" s="55">
        <f>SUM(J10:J66)</f>
        <v>472631</v>
      </c>
      <c r="K67" s="74">
        <f>SUM(K10:K66)</f>
        <v>1.0000000000000002</v>
      </c>
      <c r="L67" s="74"/>
      <c r="M67" s="74"/>
    </row>
    <row r="69" spans="9:14" x14ac:dyDescent="0.2">
      <c r="N69" s="64"/>
    </row>
    <row r="70" spans="9:14" x14ac:dyDescent="0.2">
      <c r="N70" s="58"/>
    </row>
    <row r="71" spans="9:14" x14ac:dyDescent="0.2">
      <c r="N71" s="58"/>
    </row>
    <row r="72" spans="9:14" x14ac:dyDescent="0.2">
      <c r="N72" s="58"/>
    </row>
    <row r="73" spans="9:14" x14ac:dyDescent="0.2">
      <c r="N73" s="58"/>
    </row>
    <row r="74" spans="9:14" x14ac:dyDescent="0.2">
      <c r="N74" s="59"/>
    </row>
    <row r="75" spans="9:14" x14ac:dyDescent="0.2">
      <c r="N75" s="60"/>
    </row>
    <row r="76" spans="9:14" x14ac:dyDescent="0.2">
      <c r="N76" s="60"/>
    </row>
    <row r="77" spans="9:14" x14ac:dyDescent="0.2">
      <c r="N77" s="60"/>
    </row>
    <row r="78" spans="9:14" x14ac:dyDescent="0.2">
      <c r="N78" s="60"/>
    </row>
    <row r="79" spans="9:14" x14ac:dyDescent="0.2">
      <c r="N79" s="60"/>
    </row>
    <row r="80" spans="9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0"/>
    </row>
    <row r="101" spans="14:14" x14ac:dyDescent="0.2">
      <c r="N101" s="60"/>
    </row>
    <row r="102" spans="14:14" x14ac:dyDescent="0.2">
      <c r="N102" s="63"/>
    </row>
    <row r="103" spans="14:14" x14ac:dyDescent="0.2">
      <c r="N103" s="64"/>
    </row>
    <row r="104" spans="14:14" x14ac:dyDescent="0.2">
      <c r="N104" s="65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  <row r="323" spans="14:14" x14ac:dyDescent="0.2">
      <c r="N323" s="58"/>
    </row>
    <row r="324" spans="14:14" x14ac:dyDescent="0.2">
      <c r="N324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Jurisdictional Study</vt:lpstr>
      <vt:lpstr>Functional Assignment</vt:lpstr>
      <vt:lpstr>Allocation ProForma</vt:lpstr>
      <vt:lpstr>Summary of Returns</vt:lpstr>
      <vt:lpstr>Billing Det</vt:lpstr>
      <vt:lpstr>Meters</vt:lpstr>
      <vt:lpstr>Services</vt:lpstr>
      <vt:lpstr>'Allocation ProForma'!Print_Area</vt:lpstr>
      <vt:lpstr>'Billing Det'!Print_Area</vt:lpstr>
      <vt:lpstr>'Functional Assignment'!Print_Area</vt:lpstr>
      <vt:lpstr>'Jurisdictional Study'!Print_Area</vt:lpstr>
      <vt:lpstr>Meters!Print_Area</vt:lpstr>
      <vt:lpstr>Services!Print_Area</vt:lpstr>
      <vt:lpstr>'Summary of Returns'!Print_Area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2016-11-28T19:15:55Z</dcterms:created>
  <dcterms:modified xsi:type="dcterms:W3CDTF">2017-03-01T21:39:53Z</dcterms:modified>
</cp:coreProperties>
</file>