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00" windowHeight="5520" activeTab="0"/>
  </bookViews>
  <sheets>
    <sheet name="WSS-5 -- WACOC-Tx Tbl" sheetId="1" r:id="rId1"/>
    <sheet name="WSS-5 -- PVR 2048" sheetId="2" r:id="rId2"/>
  </sheets>
  <definedNames>
    <definedName name="_xlnm.Print_Area" localSheetId="1">'WSS-5 -- PVR 2048'!$A$1:$R$65</definedName>
    <definedName name="_xlnm.Print_Titles" localSheetId="1">'WSS-5 -- PVR 2048'!$A:$B</definedName>
  </definedNames>
  <calcPr fullCalcOnLoad="1"/>
</workbook>
</file>

<file path=xl/sharedStrings.xml><?xml version="1.0" encoding="utf-8"?>
<sst xmlns="http://schemas.openxmlformats.org/spreadsheetml/2006/main" count="88" uniqueCount="56">
  <si>
    <t>Cumulative</t>
  </si>
  <si>
    <t>Year</t>
  </si>
  <si>
    <t>Present</t>
  </si>
  <si>
    <t>Annual</t>
  </si>
  <si>
    <t>Tax Depreciation Table (MACRS)</t>
  </si>
  <si>
    <t>Common Equity</t>
  </si>
  <si>
    <t>Preferred Equity</t>
  </si>
  <si>
    <t>Debt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</si>
  <si>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</si>
  <si>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</si>
  <si>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</si>
  <si>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</si>
  <si>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</si>
  <si>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</si>
  <si>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</si>
  <si>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</si>
  <si>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</si>
  <si>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</si>
  <si>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O&amp;M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</si>
  <si>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</si>
  <si>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</si>
  <si>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</si>
  <si>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</si>
  <si>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</si>
  <si>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</si>
  <si>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</si>
  <si>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</si>
  <si>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</si>
  <si>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</si>
  <si>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Property </t>
  </si>
  <si>
    <t xml:space="preserve">Deferred </t>
  </si>
  <si>
    <t>Tax</t>
  </si>
  <si>
    <t>Book</t>
  </si>
  <si>
    <t>Carrying</t>
  </si>
  <si>
    <t>Value</t>
  </si>
  <si>
    <t>Accumulated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</si>
  <si>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</si>
  <si>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</si>
  <si>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</si>
  <si>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</si>
  <si>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</si>
  <si>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</si>
  <si>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</si>
  <si>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Louisville Gas and Electric Company</t>
  </si>
  <si>
    <t>Net</t>
  </si>
  <si>
    <t>Basis</t>
  </si>
  <si>
    <t>Net Plant</t>
  </si>
  <si>
    <t xml:space="preserve">   O&amp;M per kW</t>
  </si>
  <si>
    <t xml:space="preserve">   O&amp;M escalation rates</t>
  </si>
  <si>
    <t/>
  </si>
  <si>
    <t>Index</t>
  </si>
  <si>
    <t>Annual Levelized Carrying Charges</t>
  </si>
  <si>
    <t>Monthly Credit Based on Avoided Costs</t>
  </si>
  <si>
    <t>Kentucky Utilities Company</t>
  </si>
  <si>
    <t>Avoided Cost Analysis of CSR Load</t>
  </si>
  <si>
    <t>Based on Levelized Avoided Cost of a Combustion Turbine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</si>
</sst>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3" fillId="29" borderId="0">
      <alignment horizontal="left"/>
      <protection/>
    </xf>
    <xf numFmtId="0" fontId="4" fillId="29" borderId="0">
      <alignment horizontal="right"/>
      <protection/>
    </xf>
    <xf numFmtId="0" fontId="5" fillId="30" borderId="0">
      <alignment horizontal="center"/>
      <protection/>
    </xf>
    <xf numFmtId="0" fontId="4" fillId="29" borderId="0">
      <alignment horizontal="right"/>
      <protection/>
    </xf>
    <xf numFmtId="0" fontId="6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Protection="0">
      <alignment/>
    </xf>
    <xf numFmtId="0" fontId="7" fillId="0" borderId="0" applyProtection="0">
      <alignment/>
    </xf>
    <xf numFmtId="0" fontId="2" fillId="0" borderId="0" applyProtection="0">
      <alignment/>
    </xf>
    <xf numFmtId="0" fontId="8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1" applyNumberFormat="0" applyAlignment="0" applyProtection="0"/>
    <xf numFmtId="0" fontId="3" fillId="29" borderId="0">
      <alignment horizontal="left"/>
      <protection/>
    </xf>
    <xf numFmtId="0" fontId="10" fillId="30" borderId="0">
      <alignment horizontal="left"/>
      <protection/>
    </xf>
    <xf numFmtId="0" fontId="51" fillId="0" borderId="6" applyNumberFormat="0" applyFill="0" applyAlignment="0" applyProtection="0"/>
    <xf numFmtId="0" fontId="52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3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4" fillId="29" borderId="0">
      <alignment horizontal="center"/>
      <protection/>
    </xf>
    <xf numFmtId="0" fontId="4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3" fillId="29" borderId="0">
      <alignment horizontal="left"/>
      <protection/>
    </xf>
    <xf numFmtId="49" fontId="15" fillId="30" borderId="0">
      <alignment horizontal="left"/>
      <protection/>
    </xf>
    <xf numFmtId="0" fontId="3" fillId="29" borderId="0">
      <alignment horizontal="centerContinuous"/>
      <protection/>
    </xf>
    <xf numFmtId="0" fontId="3" fillId="29" borderId="0">
      <alignment horizontal="right"/>
      <protection/>
    </xf>
    <xf numFmtId="49" fontId="10" fillId="30" borderId="0">
      <alignment horizontal="left"/>
      <protection/>
    </xf>
    <xf numFmtId="0" fontId="4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7" fillId="30" borderId="0">
      <alignment horizontal="center"/>
      <protection/>
    </xf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0" fontId="0" fillId="0" borderId="0" xfId="0" applyNumberFormat="1" applyAlignment="1">
      <alignment/>
    </xf>
    <xf numFmtId="173" fontId="0" fillId="0" borderId="0" xfId="47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93" applyNumberFormat="1" applyFont="1" applyAlignment="1">
      <alignment/>
    </xf>
    <xf numFmtId="10" fontId="0" fillId="0" borderId="0" xfId="93" applyNumberFormat="1" applyFont="1" applyAlignment="1">
      <alignment/>
    </xf>
    <xf numFmtId="10" fontId="0" fillId="0" borderId="11" xfId="0" applyNumberFormat="1" applyBorder="1" applyAlignment="1">
      <alignment/>
    </xf>
    <xf numFmtId="10" fontId="0" fillId="0" borderId="11" xfId="93" applyNumberFormat="1" applyFont="1" applyBorder="1" applyAlignment="1">
      <alignment/>
    </xf>
    <xf numFmtId="173" fontId="0" fillId="0" borderId="0" xfId="51" applyNumberFormat="1" applyFont="1" applyAlignment="1">
      <alignment/>
    </xf>
    <xf numFmtId="170" fontId="0" fillId="0" borderId="0" xfId="57" applyNumberFormat="1" applyFont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6" fontId="0" fillId="0" borderId="0" xfId="0" applyNumberFormat="1" applyAlignment="1">
      <alignment/>
    </xf>
    <xf numFmtId="173" fontId="0" fillId="0" borderId="0" xfId="51" applyNumberFormat="1" applyFont="1" applyAlignment="1">
      <alignment/>
    </xf>
    <xf numFmtId="177" fontId="0" fillId="0" borderId="0" xfId="51" applyNumberFormat="1" applyFont="1" applyAlignment="1">
      <alignment/>
    </xf>
    <xf numFmtId="43" fontId="0" fillId="0" borderId="0" xfId="51" applyFont="1" applyAlignment="1">
      <alignment/>
    </xf>
    <xf numFmtId="0" fontId="0" fillId="0" borderId="0" xfId="0" applyAlignment="1" quotePrefix="1">
      <alignment/>
    </xf>
    <xf numFmtId="178" fontId="0" fillId="0" borderId="0" xfId="93" applyNumberFormat="1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0" applyNumberFormat="1" applyFont="1" applyBorder="1" applyAlignment="1">
      <alignment horizontal="right"/>
    </xf>
    <xf numFmtId="8" fontId="18" fillId="0" borderId="0" xfId="0" applyNumberFormat="1" applyFont="1" applyAlignment="1">
      <alignment horizontal="right"/>
    </xf>
    <xf numFmtId="44" fontId="0" fillId="0" borderId="0" xfId="55" applyFont="1" applyAlignment="1">
      <alignment/>
    </xf>
    <xf numFmtId="43" fontId="0" fillId="0" borderId="0" xfId="51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indent="1"/>
    </xf>
    <xf numFmtId="8" fontId="0" fillId="0" borderId="0" xfId="0" applyNumberFormat="1" applyFill="1" applyAlignment="1">
      <alignment/>
    </xf>
    <xf numFmtId="170" fontId="0" fillId="0" borderId="0" xfId="57" applyNumberFormat="1" applyFont="1" applyFill="1" applyAlignment="1">
      <alignment/>
    </xf>
    <xf numFmtId="44" fontId="0" fillId="0" borderId="0" xfId="93" applyNumberFormat="1" applyFont="1" applyAlignment="1">
      <alignment/>
    </xf>
    <xf numFmtId="170" fontId="0" fillId="0" borderId="0" xfId="51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eItemPrompt" xfId="80"/>
    <cellStyle name="LineItemValue" xfId="81"/>
    <cellStyle name="Linked Cell" xfId="82"/>
    <cellStyle name="Neutral" xfId="83"/>
    <cellStyle name="Normal 2" xfId="84"/>
    <cellStyle name="Note" xfId="85"/>
    <cellStyle name="Output" xfId="86"/>
    <cellStyle name="Output Amounts" xfId="87"/>
    <cellStyle name="Output Column Headings" xfId="88"/>
    <cellStyle name="Output Line Items" xfId="89"/>
    <cellStyle name="Output Report Heading" xfId="90"/>
    <cellStyle name="Output Report Title" xfId="91"/>
    <cellStyle name="Percent" xfId="92"/>
    <cellStyle name="Percent 2" xfId="93"/>
    <cellStyle name="Percent 2 2" xfId="94"/>
    <cellStyle name="Percent 2 3" xfId="95"/>
    <cellStyle name="ReportTitlePrompt" xfId="96"/>
    <cellStyle name="ReportTitleValue" xfId="97"/>
    <cellStyle name="RowAcctAbovePrompt" xfId="98"/>
    <cellStyle name="RowAcctSOBAbovePrompt" xfId="99"/>
    <cellStyle name="RowAcctSOBValue" xfId="100"/>
    <cellStyle name="RowAcctValue" xfId="101"/>
    <cellStyle name="RowAttrAbovePrompt" xfId="102"/>
    <cellStyle name="RowAttrValue" xfId="103"/>
    <cellStyle name="RowColSetAbovePrompt" xfId="104"/>
    <cellStyle name="RowColSetLeftPrompt" xfId="105"/>
    <cellStyle name="RowColSetValue" xfId="106"/>
    <cellStyle name="RowLeftPrompt" xfId="107"/>
    <cellStyle name="SampleUsingFormatMask" xfId="108"/>
    <cellStyle name="SampleWithNoFormatMask" xfId="109"/>
    <cellStyle name="STYL5 - Style5" xfId="110"/>
    <cellStyle name="STYL6 - Style6" xfId="111"/>
    <cellStyle name="STYLE1 - Style1" xfId="112"/>
    <cellStyle name="STYLE2 - Style2" xfId="113"/>
    <cellStyle name="STYLE3 - Style3" xfId="114"/>
    <cellStyle name="STYLE4 - Style4" xfId="115"/>
    <cellStyle name="Title" xfId="116"/>
    <cellStyle name="Total" xfId="117"/>
    <cellStyle name="UploadThisRowValue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8.57421875" style="0" customWidth="1"/>
    <col min="2" max="2" width="13.140625" style="0" customWidth="1"/>
    <col min="5" max="5" width="12.57421875" style="0" customWidth="1"/>
    <col min="6" max="6" width="10.28125" style="0" customWidth="1"/>
  </cols>
  <sheetData>
    <row r="1" spans="1:7" ht="18">
      <c r="A1" s="34" t="s">
        <v>43</v>
      </c>
      <c r="B1" s="34"/>
      <c r="C1" s="34"/>
      <c r="D1" s="34"/>
      <c r="E1" s="34"/>
      <c r="F1" s="34"/>
      <c r="G1" s="21"/>
    </row>
    <row r="2" spans="1:7" ht="12.75">
      <c r="A2" s="35" t="s">
        <v>54</v>
      </c>
      <c r="B2" s="35"/>
      <c r="C2" s="35"/>
      <c r="D2" s="35"/>
      <c r="E2" s="35"/>
      <c r="F2" s="35"/>
      <c r="G2" s="3"/>
    </row>
    <row r="3" spans="1:6" ht="12.75">
      <c r="A3" s="35" t="s">
        <v>55</v>
      </c>
      <c r="B3" s="35"/>
      <c r="C3" s="35"/>
      <c r="D3" s="35"/>
      <c r="E3" s="35"/>
      <c r="F3" s="35"/>
    </row>
    <row r="7" ht="12.75">
      <c r="A7" s="13" t="s">
        <v>14</v>
      </c>
    </row>
    <row r="8" spans="2:6" ht="12.75">
      <c r="B8" s="13"/>
      <c r="C8" s="13"/>
      <c r="D8" s="12" t="s">
        <v>13</v>
      </c>
      <c r="F8" s="12" t="s">
        <v>12</v>
      </c>
    </row>
    <row r="9" spans="2:6" ht="12.75">
      <c r="B9" s="11" t="s">
        <v>11</v>
      </c>
      <c r="C9" s="11" t="s">
        <v>8</v>
      </c>
      <c r="D9" s="11" t="s">
        <v>10</v>
      </c>
      <c r="E9" s="11" t="s">
        <v>9</v>
      </c>
      <c r="F9" s="10" t="s">
        <v>8</v>
      </c>
    </row>
    <row r="10" spans="1:6" ht="12.75">
      <c r="A10" t="s">
        <v>7</v>
      </c>
      <c r="B10" s="5">
        <v>0.4674</v>
      </c>
      <c r="C10" s="5">
        <v>0.039413056506849314</v>
      </c>
      <c r="D10" s="5">
        <f>B10*C10</f>
        <v>0.01842166261130137</v>
      </c>
      <c r="E10" s="1">
        <v>0.385574631</v>
      </c>
      <c r="F10" s="5">
        <f>D10*(1-E10)</f>
        <v>0.011318736847542346</v>
      </c>
    </row>
    <row r="11" spans="1:6" ht="12.75">
      <c r="A11" t="s">
        <v>6</v>
      </c>
      <c r="B11" s="5">
        <v>0</v>
      </c>
      <c r="C11" s="5">
        <v>0</v>
      </c>
      <c r="D11" s="5">
        <f>B11*C11</f>
        <v>0</v>
      </c>
      <c r="F11" s="1">
        <f>D11</f>
        <v>0</v>
      </c>
    </row>
    <row r="12" spans="1:6" ht="12.75">
      <c r="A12" t="s">
        <v>5</v>
      </c>
      <c r="B12" s="7">
        <v>0.5326</v>
      </c>
      <c r="C12" s="7">
        <v>0.1023</v>
      </c>
      <c r="D12" s="7">
        <f>B12*C12</f>
        <v>0.054484979999999995</v>
      </c>
      <c r="F12" s="6">
        <f>D12</f>
        <v>0.054484979999999995</v>
      </c>
    </row>
    <row r="13" spans="2:6" ht="12.75">
      <c r="B13" s="1"/>
      <c r="D13" s="1">
        <f>SUM(D10:D12)</f>
        <v>0.07290664261130136</v>
      </c>
      <c r="F13" s="1">
        <f>SUM(F10:F12)</f>
        <v>0.06580371684754234</v>
      </c>
    </row>
    <row r="15" spans="2:5" ht="12.75">
      <c r="B15" s="33" t="s">
        <v>4</v>
      </c>
      <c r="C15" s="33"/>
      <c r="D15" s="33"/>
      <c r="E15" s="33"/>
    </row>
    <row r="17" spans="2:5" ht="12.75">
      <c r="B17">
        <v>5</v>
      </c>
      <c r="C17">
        <v>10</v>
      </c>
      <c r="D17">
        <v>15</v>
      </c>
      <c r="E17">
        <v>20</v>
      </c>
    </row>
    <row r="18" spans="1:6" ht="12.75">
      <c r="A18">
        <v>1</v>
      </c>
      <c r="B18" s="4">
        <v>0.2</v>
      </c>
      <c r="C18" s="4">
        <v>0.1</v>
      </c>
      <c r="D18" s="4">
        <v>0.05</v>
      </c>
      <c r="E18" s="4">
        <v>0.0375</v>
      </c>
      <c r="F18" s="5"/>
    </row>
    <row r="19" spans="1:6" ht="12.75">
      <c r="A19">
        <v>2</v>
      </c>
      <c r="B19" s="4">
        <v>0.32</v>
      </c>
      <c r="C19" s="4">
        <v>0.18</v>
      </c>
      <c r="D19" s="4">
        <v>0.095</v>
      </c>
      <c r="E19" s="4">
        <v>0.07219</v>
      </c>
      <c r="F19" s="5"/>
    </row>
    <row r="20" spans="1:6" ht="12.75">
      <c r="A20">
        <v>3</v>
      </c>
      <c r="B20" s="4">
        <v>0.192</v>
      </c>
      <c r="C20" s="4">
        <v>0.144</v>
      </c>
      <c r="D20" s="4">
        <v>0.0855</v>
      </c>
      <c r="E20" s="4">
        <v>0.06677</v>
      </c>
      <c r="F20" s="5"/>
    </row>
    <row r="21" spans="1:6" ht="12.75">
      <c r="A21">
        <v>4</v>
      </c>
      <c r="B21" s="4">
        <v>0.1152</v>
      </c>
      <c r="C21" s="4">
        <v>0.1152</v>
      </c>
      <c r="D21" s="4">
        <v>0.077</v>
      </c>
      <c r="E21" s="4">
        <v>0.06177</v>
      </c>
      <c r="F21" s="5"/>
    </row>
    <row r="22" spans="1:6" ht="12.75">
      <c r="A22">
        <v>5</v>
      </c>
      <c r="B22" s="4">
        <v>0.1152</v>
      </c>
      <c r="C22" s="4">
        <v>0.0922</v>
      </c>
      <c r="D22" s="4">
        <v>0.0693</v>
      </c>
      <c r="E22" s="4">
        <v>0.05713</v>
      </c>
      <c r="F22" s="5"/>
    </row>
    <row r="23" spans="1:6" ht="12.75">
      <c r="A23">
        <v>6</v>
      </c>
      <c r="B23" s="4">
        <v>0</v>
      </c>
      <c r="C23" s="4">
        <v>0.0737</v>
      </c>
      <c r="D23" s="4">
        <v>0.0623</v>
      </c>
      <c r="E23" s="4">
        <v>0.05285</v>
      </c>
      <c r="F23" s="5"/>
    </row>
    <row r="24" spans="1:6" ht="12.75">
      <c r="A24">
        <v>7</v>
      </c>
      <c r="B24" s="4">
        <v>0</v>
      </c>
      <c r="C24" s="4">
        <v>0.0655</v>
      </c>
      <c r="D24" s="4">
        <v>0.059</v>
      </c>
      <c r="E24" s="4">
        <v>0.04888</v>
      </c>
      <c r="F24" s="5"/>
    </row>
    <row r="25" spans="1:6" ht="12.75">
      <c r="A25">
        <v>8</v>
      </c>
      <c r="B25" s="4">
        <v>0</v>
      </c>
      <c r="C25" s="4">
        <v>0.0655</v>
      </c>
      <c r="D25" s="4">
        <v>0.059</v>
      </c>
      <c r="E25" s="4">
        <v>0.04522</v>
      </c>
      <c r="F25" s="5"/>
    </row>
    <row r="26" spans="1:6" ht="12.75">
      <c r="A26">
        <v>9</v>
      </c>
      <c r="B26" s="4">
        <v>0</v>
      </c>
      <c r="C26" s="4">
        <v>0.0656</v>
      </c>
      <c r="D26" s="4">
        <v>0.0591</v>
      </c>
      <c r="E26" s="4">
        <v>0.04462</v>
      </c>
      <c r="F26" s="5"/>
    </row>
    <row r="27" spans="1:6" ht="12.75">
      <c r="A27">
        <v>10</v>
      </c>
      <c r="B27" s="4">
        <v>0</v>
      </c>
      <c r="C27" s="4">
        <v>0.0655</v>
      </c>
      <c r="D27" s="4">
        <v>0.059</v>
      </c>
      <c r="E27" s="4">
        <v>0.04461</v>
      </c>
      <c r="F27" s="5"/>
    </row>
    <row r="28" spans="1:6" ht="12.75">
      <c r="A28">
        <v>11</v>
      </c>
      <c r="B28" s="4">
        <v>0</v>
      </c>
      <c r="C28" s="4">
        <v>0</v>
      </c>
      <c r="D28" s="4">
        <v>0.0591</v>
      </c>
      <c r="E28" s="4">
        <v>0.04462</v>
      </c>
      <c r="F28" s="5"/>
    </row>
    <row r="29" spans="1:6" ht="12.75">
      <c r="A29">
        <v>12</v>
      </c>
      <c r="B29" s="4">
        <v>0</v>
      </c>
      <c r="C29" s="4">
        <v>0</v>
      </c>
      <c r="D29" s="4">
        <v>0.059</v>
      </c>
      <c r="E29" s="4">
        <v>0.04461</v>
      </c>
      <c r="F29" s="5"/>
    </row>
    <row r="30" spans="1:6" ht="12.75">
      <c r="A30">
        <v>13</v>
      </c>
      <c r="B30" s="4">
        <v>0</v>
      </c>
      <c r="C30" s="4">
        <v>0</v>
      </c>
      <c r="D30" s="4">
        <v>0.0591</v>
      </c>
      <c r="E30" s="4">
        <v>0.04462</v>
      </c>
      <c r="F30" s="5"/>
    </row>
    <row r="31" spans="1:6" ht="12.75">
      <c r="A31">
        <v>14</v>
      </c>
      <c r="B31" s="4">
        <v>0</v>
      </c>
      <c r="C31" s="4">
        <v>0</v>
      </c>
      <c r="D31" s="4">
        <v>0.059</v>
      </c>
      <c r="E31" s="4">
        <v>0.04461</v>
      </c>
      <c r="F31" s="5"/>
    </row>
    <row r="32" spans="1:6" ht="12.75">
      <c r="A32">
        <v>15</v>
      </c>
      <c r="B32" s="4">
        <v>0</v>
      </c>
      <c r="C32" s="4">
        <v>0</v>
      </c>
      <c r="D32" s="4">
        <v>0.0591</v>
      </c>
      <c r="E32" s="4">
        <v>0.04462</v>
      </c>
      <c r="F32" s="5"/>
    </row>
    <row r="33" spans="1:6" ht="12.75">
      <c r="A33">
        <v>16</v>
      </c>
      <c r="B33" s="4">
        <v>0</v>
      </c>
      <c r="C33" s="4">
        <v>0</v>
      </c>
      <c r="D33" s="4">
        <v>0.0295</v>
      </c>
      <c r="E33" s="4">
        <v>0.04461</v>
      </c>
      <c r="F33" s="5"/>
    </row>
    <row r="34" spans="1:6" ht="12.75">
      <c r="A34">
        <v>17</v>
      </c>
      <c r="B34" s="4">
        <v>0</v>
      </c>
      <c r="C34" s="4">
        <v>0</v>
      </c>
      <c r="D34" s="4">
        <v>0</v>
      </c>
      <c r="E34" s="4">
        <v>0.04462</v>
      </c>
      <c r="F34" s="5"/>
    </row>
    <row r="35" spans="1:6" ht="12.75">
      <c r="A35">
        <v>18</v>
      </c>
      <c r="B35" s="4">
        <v>0</v>
      </c>
      <c r="C35" s="4">
        <v>0</v>
      </c>
      <c r="D35" s="4">
        <v>0</v>
      </c>
      <c r="E35" s="4">
        <v>0.04461</v>
      </c>
      <c r="F35" s="5"/>
    </row>
    <row r="36" spans="1:6" ht="12.75">
      <c r="A36">
        <v>19</v>
      </c>
      <c r="B36" s="4">
        <v>0</v>
      </c>
      <c r="C36" s="4">
        <v>0</v>
      </c>
      <c r="D36" s="4">
        <v>0</v>
      </c>
      <c r="E36" s="4">
        <v>0.04462</v>
      </c>
      <c r="F36" s="5"/>
    </row>
    <row r="37" spans="1:6" ht="12.75">
      <c r="A37">
        <v>20</v>
      </c>
      <c r="B37" s="4">
        <v>0</v>
      </c>
      <c r="C37" s="4">
        <v>0</v>
      </c>
      <c r="D37" s="4">
        <v>0</v>
      </c>
      <c r="E37" s="4">
        <v>0.04461</v>
      </c>
      <c r="F37" s="5"/>
    </row>
    <row r="38" spans="1:6" ht="12.75">
      <c r="A38">
        <v>21</v>
      </c>
      <c r="B38" s="4">
        <v>0</v>
      </c>
      <c r="C38" s="4">
        <v>0</v>
      </c>
      <c r="D38" s="4">
        <v>0</v>
      </c>
      <c r="E38" s="4">
        <v>0.02231</v>
      </c>
      <c r="F38" s="5"/>
    </row>
    <row r="39" spans="1:5" ht="12.75">
      <c r="A39">
        <v>22</v>
      </c>
      <c r="B39" s="4">
        <v>0</v>
      </c>
      <c r="C39" s="4">
        <v>0</v>
      </c>
      <c r="D39" s="4">
        <v>0</v>
      </c>
      <c r="E39" s="4">
        <v>0</v>
      </c>
    </row>
    <row r="40" spans="1:5" ht="12.75">
      <c r="A40">
        <v>23</v>
      </c>
      <c r="B40" s="4">
        <v>0</v>
      </c>
      <c r="C40" s="4">
        <v>0</v>
      </c>
      <c r="D40" s="4">
        <v>0</v>
      </c>
      <c r="E40" s="4">
        <v>0</v>
      </c>
    </row>
    <row r="41" spans="1:5" ht="12.75">
      <c r="A41">
        <v>24</v>
      </c>
      <c r="B41" s="4">
        <v>0</v>
      </c>
      <c r="C41" s="4">
        <v>0</v>
      </c>
      <c r="D41" s="4">
        <v>0</v>
      </c>
      <c r="E41" s="4">
        <v>0</v>
      </c>
    </row>
    <row r="42" spans="1:5" ht="12.75">
      <c r="A42">
        <v>25</v>
      </c>
      <c r="B42" s="4">
        <v>0</v>
      </c>
      <c r="C42" s="4">
        <v>0</v>
      </c>
      <c r="D42" s="4">
        <v>0</v>
      </c>
      <c r="E42" s="4">
        <v>0</v>
      </c>
    </row>
    <row r="43" spans="1:5" ht="12.75">
      <c r="A43">
        <v>26</v>
      </c>
      <c r="B43" s="4">
        <v>0</v>
      </c>
      <c r="C43" s="4">
        <v>0</v>
      </c>
      <c r="D43" s="4">
        <v>0</v>
      </c>
      <c r="E43" s="4">
        <v>0</v>
      </c>
    </row>
    <row r="44" spans="1:5" ht="12.75">
      <c r="A44">
        <v>27</v>
      </c>
      <c r="B44" s="4">
        <v>0</v>
      </c>
      <c r="C44" s="4">
        <v>0</v>
      </c>
      <c r="D44" s="4">
        <v>0</v>
      </c>
      <c r="E44" s="4">
        <v>0</v>
      </c>
    </row>
    <row r="45" spans="1:5" ht="12.75">
      <c r="A45">
        <v>28</v>
      </c>
      <c r="B45" s="4">
        <v>0</v>
      </c>
      <c r="C45" s="4">
        <v>0</v>
      </c>
      <c r="D45" s="4">
        <v>0</v>
      </c>
      <c r="E45" s="4">
        <v>0</v>
      </c>
    </row>
    <row r="46" spans="1:5" ht="12.75">
      <c r="A46">
        <v>29</v>
      </c>
      <c r="B46" s="4">
        <v>0</v>
      </c>
      <c r="C46" s="4">
        <v>0</v>
      </c>
      <c r="D46" s="4">
        <v>0</v>
      </c>
      <c r="E46" s="4">
        <v>0</v>
      </c>
    </row>
    <row r="47" spans="1:5" ht="12.75">
      <c r="A47">
        <v>30</v>
      </c>
      <c r="B47" s="4">
        <v>0</v>
      </c>
      <c r="C47" s="4">
        <v>0</v>
      </c>
      <c r="D47" s="4">
        <v>0</v>
      </c>
      <c r="E47" s="4">
        <v>0</v>
      </c>
    </row>
    <row r="48" spans="1:5" ht="12.75">
      <c r="A48">
        <v>31</v>
      </c>
      <c r="B48" s="4">
        <v>0</v>
      </c>
      <c r="C48" s="4">
        <v>0</v>
      </c>
      <c r="D48" s="4">
        <v>0</v>
      </c>
      <c r="E48" s="4">
        <v>0</v>
      </c>
    </row>
    <row r="49" spans="1:5" ht="12.75">
      <c r="A49">
        <v>31</v>
      </c>
      <c r="B49" s="4">
        <v>0</v>
      </c>
      <c r="C49" s="4">
        <v>0</v>
      </c>
      <c r="D49" s="4">
        <v>0</v>
      </c>
      <c r="E49" s="4">
        <v>0</v>
      </c>
    </row>
    <row r="52" ht="12.75">
      <c r="G52" s="23"/>
    </row>
    <row r="53" ht="12.75">
      <c r="G53" s="22"/>
    </row>
    <row r="57" ht="12.75">
      <c r="G57" s="22"/>
    </row>
  </sheetData>
  <sheetProtection/>
  <mergeCells count="4">
    <mergeCell ref="B15:E15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scale="97" r:id="rId1"/>
  <headerFooter scaleWithDoc="0" alignWithMargins="0">
    <oddHeader>&amp;R&amp;"Times New Roman,Bold"&amp;12Rebuttal Exhibit WSS-5
Page 1 of 3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workbookViewId="0" topLeftCell="A1">
      <selection activeCell="A1" sqref="A1"/>
    </sheetView>
  </sheetViews>
  <sheetFormatPr defaultColWidth="9.140625" defaultRowHeight="12.75"/>
  <cols>
    <col min="3" max="3" width="12.28125" style="0" customWidth="1"/>
    <col min="4" max="4" width="13.57421875" style="0" customWidth="1"/>
    <col min="5" max="5" width="12.57421875" style="0" customWidth="1"/>
    <col min="6" max="6" width="17.7109375" style="0" customWidth="1"/>
    <col min="7" max="7" width="14.28125" style="0" customWidth="1"/>
    <col min="8" max="8" width="12.8515625" style="0" customWidth="1"/>
    <col min="9" max="9" width="14.00390625" style="0" customWidth="1"/>
    <col min="10" max="10" width="13.140625" style="0" customWidth="1"/>
    <col min="11" max="11" width="12.8515625" style="0" customWidth="1"/>
    <col min="12" max="15" width="12.7109375" style="0" customWidth="1"/>
    <col min="16" max="16" width="14.28125" style="0" customWidth="1"/>
    <col min="17" max="17" width="15.8515625" style="0" customWidth="1"/>
    <col min="18" max="18" width="13.8515625" style="0" customWidth="1"/>
    <col min="19" max="19" width="15.00390625" style="0" customWidth="1"/>
  </cols>
  <sheetData>
    <row r="1" spans="3:18" ht="15">
      <c r="C1" s="36" t="s">
        <v>53</v>
      </c>
      <c r="D1" s="36"/>
      <c r="E1" s="36"/>
      <c r="F1" s="36"/>
      <c r="G1" s="36"/>
      <c r="I1" s="21"/>
      <c r="K1" s="36" t="s">
        <v>53</v>
      </c>
      <c r="L1" s="36"/>
      <c r="M1" s="36"/>
      <c r="N1" s="36"/>
      <c r="O1" s="36"/>
      <c r="P1" s="36"/>
      <c r="R1" s="21"/>
    </row>
    <row r="2" spans="3:18" ht="12.75">
      <c r="C2" s="35" t="s">
        <v>54</v>
      </c>
      <c r="D2" s="35"/>
      <c r="E2" s="35"/>
      <c r="F2" s="35"/>
      <c r="G2" s="35"/>
      <c r="I2" s="3"/>
      <c r="K2" s="35" t="s">
        <v>54</v>
      </c>
      <c r="L2" s="35"/>
      <c r="M2" s="35"/>
      <c r="N2" s="35"/>
      <c r="O2" s="35"/>
      <c r="P2" s="35"/>
      <c r="R2" s="3"/>
    </row>
    <row r="3" spans="3:18" ht="12.75">
      <c r="C3" s="35" t="s">
        <v>55</v>
      </c>
      <c r="D3" s="35"/>
      <c r="E3" s="35"/>
      <c r="F3" s="35"/>
      <c r="G3" s="35"/>
      <c r="I3" s="22"/>
      <c r="K3" s="35" t="s">
        <v>55</v>
      </c>
      <c r="L3" s="35"/>
      <c r="M3" s="35"/>
      <c r="N3" s="35"/>
      <c r="O3" s="35"/>
      <c r="P3" s="35"/>
      <c r="R3" s="22"/>
    </row>
    <row r="4" spans="1:12" ht="12.75">
      <c r="A4" s="13"/>
      <c r="L4" s="13"/>
    </row>
    <row r="7" spans="4:12" ht="12.75">
      <c r="D7" s="13" t="s">
        <v>42</v>
      </c>
      <c r="L7" s="13" t="s">
        <v>42</v>
      </c>
    </row>
    <row r="8" spans="4:15" ht="12.75">
      <c r="D8" s="19" t="s">
        <v>41</v>
      </c>
      <c r="G8" s="9">
        <f>587*(1.02)^(4+31)</f>
        <v>1173.935167412861</v>
      </c>
      <c r="L8" s="19" t="s">
        <v>41</v>
      </c>
      <c r="O8" s="9">
        <f>G8</f>
        <v>1173.935167412861</v>
      </c>
    </row>
    <row r="9" spans="4:26" ht="12.75">
      <c r="D9" s="19" t="s">
        <v>40</v>
      </c>
      <c r="G9">
        <v>30</v>
      </c>
      <c r="L9" s="19" t="s">
        <v>40</v>
      </c>
      <c r="O9">
        <v>30</v>
      </c>
      <c r="Z9" s="9">
        <f aca="true" t="shared" si="0" ref="Z9:Z15">G8</f>
        <v>1173.935167412861</v>
      </c>
    </row>
    <row r="10" spans="4:26" ht="12.75">
      <c r="D10" s="19" t="s">
        <v>39</v>
      </c>
      <c r="G10">
        <v>15</v>
      </c>
      <c r="L10" s="19" t="s">
        <v>39</v>
      </c>
      <c r="O10">
        <f aca="true" t="shared" si="1" ref="O10:O15">G10</f>
        <v>15</v>
      </c>
      <c r="Z10">
        <f t="shared" si="0"/>
        <v>30</v>
      </c>
    </row>
    <row r="11" spans="4:26" ht="12.75">
      <c r="D11" s="19" t="s">
        <v>38</v>
      </c>
      <c r="G11" s="5">
        <v>0.385574631</v>
      </c>
      <c r="L11" s="19" t="s">
        <v>38</v>
      </c>
      <c r="O11" s="5">
        <f t="shared" si="1"/>
        <v>0.385574631</v>
      </c>
      <c r="Z11">
        <f t="shared" si="0"/>
        <v>15</v>
      </c>
    </row>
    <row r="12" spans="4:26" ht="12.75">
      <c r="D12" s="19" t="s">
        <v>37</v>
      </c>
      <c r="G12" s="5">
        <v>0.0016</v>
      </c>
      <c r="L12" s="19" t="s">
        <v>37</v>
      </c>
      <c r="O12" s="5">
        <f t="shared" si="1"/>
        <v>0.0016</v>
      </c>
      <c r="Z12" s="20">
        <f t="shared" si="0"/>
        <v>0.385574631</v>
      </c>
    </row>
    <row r="13" spans="4:26" ht="12.75">
      <c r="D13" s="19" t="s">
        <v>36</v>
      </c>
      <c r="G13">
        <v>61</v>
      </c>
      <c r="L13" s="19" t="s">
        <v>36</v>
      </c>
      <c r="O13">
        <f t="shared" si="1"/>
        <v>61</v>
      </c>
      <c r="Z13" s="5">
        <f t="shared" si="0"/>
        <v>0.0016</v>
      </c>
    </row>
    <row r="14" spans="4:26" ht="12.75">
      <c r="D14" s="19" t="s">
        <v>47</v>
      </c>
      <c r="G14" s="25">
        <f>7.3*(1.02)^(4+31)</f>
        <v>14.59919373443592</v>
      </c>
      <c r="L14" s="19" t="s">
        <v>47</v>
      </c>
      <c r="O14" s="31">
        <f t="shared" si="1"/>
        <v>14.59919373443592</v>
      </c>
      <c r="Z14">
        <f t="shared" si="0"/>
        <v>61</v>
      </c>
    </row>
    <row r="15" spans="4:26" ht="12.75">
      <c r="D15" s="19" t="s">
        <v>48</v>
      </c>
      <c r="G15" s="5">
        <v>0.02</v>
      </c>
      <c r="L15" s="19" t="s">
        <v>48</v>
      </c>
      <c r="O15" s="1">
        <f t="shared" si="1"/>
        <v>0.02</v>
      </c>
      <c r="P15" s="5"/>
      <c r="Z15" s="5">
        <f t="shared" si="0"/>
        <v>14.59919373443592</v>
      </c>
    </row>
    <row r="17" spans="3:10" ht="12.75">
      <c r="C17" s="13"/>
      <c r="J17" s="13"/>
    </row>
    <row r="18" spans="3:16" ht="12.75">
      <c r="C18" s="19"/>
      <c r="F18" s="14"/>
      <c r="J18" s="19"/>
      <c r="M18" s="14"/>
      <c r="P18" s="14"/>
    </row>
    <row r="19" spans="3:16" ht="12.75">
      <c r="C19" s="19"/>
      <c r="F19" s="15"/>
      <c r="J19" s="19"/>
      <c r="M19" s="15"/>
      <c r="P19" s="15"/>
    </row>
    <row r="20" spans="3:16" ht="12.75">
      <c r="C20" s="19"/>
      <c r="F20" s="5"/>
      <c r="J20" s="19"/>
      <c r="M20" s="5"/>
      <c r="P20" s="5"/>
    </row>
    <row r="21" spans="3:16" ht="12.75">
      <c r="C21" s="19"/>
      <c r="F21" s="18"/>
      <c r="J21" s="19"/>
      <c r="M21" s="18"/>
      <c r="P21" s="18"/>
    </row>
    <row r="22" ht="12.75">
      <c r="D22" s="18"/>
    </row>
    <row r="23" ht="12.75">
      <c r="D23" s="18"/>
    </row>
    <row r="24" spans="2:20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3"/>
      <c r="S24" s="12" t="s">
        <v>0</v>
      </c>
      <c r="T24" s="3"/>
    </row>
    <row r="25" spans="2:20" ht="12.75">
      <c r="B25" s="3"/>
      <c r="C25" s="3"/>
      <c r="D25" s="3"/>
      <c r="E25" s="3"/>
      <c r="F25" s="3"/>
      <c r="G25" s="3"/>
      <c r="H25" s="3"/>
      <c r="I25" s="3"/>
      <c r="J25" s="12"/>
      <c r="K25" s="3"/>
      <c r="L25" s="3"/>
      <c r="M25" s="3"/>
      <c r="N25" s="3"/>
      <c r="O25" s="12"/>
      <c r="P25" s="12"/>
      <c r="Q25" s="12" t="s">
        <v>2</v>
      </c>
      <c r="R25" s="12" t="s">
        <v>2</v>
      </c>
      <c r="S25" s="12" t="s">
        <v>2</v>
      </c>
      <c r="T25" s="12" t="s">
        <v>3</v>
      </c>
    </row>
    <row r="26" spans="2:20" ht="12.75">
      <c r="B26" s="3"/>
      <c r="C26" s="3"/>
      <c r="D26" s="3"/>
      <c r="E26" s="3"/>
      <c r="F26" s="3"/>
      <c r="G26" s="12" t="s">
        <v>46</v>
      </c>
      <c r="H26" s="3"/>
      <c r="I26" s="12" t="s">
        <v>35</v>
      </c>
      <c r="J26" s="12"/>
      <c r="K26" s="3"/>
      <c r="L26" s="3"/>
      <c r="M26" s="3"/>
      <c r="N26" s="3"/>
      <c r="O26" s="12"/>
      <c r="P26" s="12" t="s">
        <v>3</v>
      </c>
      <c r="Q26" s="12" t="s">
        <v>34</v>
      </c>
      <c r="R26" s="12" t="s">
        <v>34</v>
      </c>
      <c r="S26" s="12" t="s">
        <v>34</v>
      </c>
      <c r="T26" s="12" t="s">
        <v>33</v>
      </c>
    </row>
    <row r="27" spans="2:20" ht="12.75">
      <c r="B27" s="12" t="s">
        <v>1</v>
      </c>
      <c r="C27" s="12"/>
      <c r="D27" s="12" t="s">
        <v>32</v>
      </c>
      <c r="E27" s="12" t="s">
        <v>44</v>
      </c>
      <c r="F27" s="12" t="s">
        <v>31</v>
      </c>
      <c r="G27" s="12" t="s">
        <v>31</v>
      </c>
      <c r="H27" s="12" t="s">
        <v>30</v>
      </c>
      <c r="I27" s="12" t="s">
        <v>30</v>
      </c>
      <c r="J27" s="12"/>
      <c r="K27" s="12"/>
      <c r="L27" s="12"/>
      <c r="M27" s="12"/>
      <c r="N27" s="12" t="s">
        <v>29</v>
      </c>
      <c r="O27" s="12" t="s">
        <v>28</v>
      </c>
      <c r="P27" s="12" t="s">
        <v>27</v>
      </c>
      <c r="Q27" s="12" t="s">
        <v>20</v>
      </c>
      <c r="R27" s="12" t="s">
        <v>27</v>
      </c>
      <c r="S27" s="12" t="s">
        <v>27</v>
      </c>
      <c r="T27" s="12" t="s">
        <v>26</v>
      </c>
    </row>
    <row r="28" spans="1:20" ht="12.75">
      <c r="A28" s="12" t="s">
        <v>1</v>
      </c>
      <c r="B28" s="12" t="s">
        <v>50</v>
      </c>
      <c r="C28" s="12" t="s">
        <v>25</v>
      </c>
      <c r="D28" s="12" t="s">
        <v>24</v>
      </c>
      <c r="E28" s="12" t="s">
        <v>23</v>
      </c>
      <c r="F28" s="12" t="s">
        <v>24</v>
      </c>
      <c r="G28" s="12" t="s">
        <v>45</v>
      </c>
      <c r="H28" s="12" t="s">
        <v>22</v>
      </c>
      <c r="I28" s="12" t="s">
        <v>22</v>
      </c>
      <c r="J28" s="12" t="s">
        <v>21</v>
      </c>
      <c r="K28" s="12" t="s">
        <v>20</v>
      </c>
      <c r="L28" s="12" t="s">
        <v>19</v>
      </c>
      <c r="M28" s="12" t="s">
        <v>18</v>
      </c>
      <c r="N28" s="12" t="s">
        <v>17</v>
      </c>
      <c r="O28" s="12" t="s">
        <v>17</v>
      </c>
      <c r="P28" s="12" t="s">
        <v>15</v>
      </c>
      <c r="Q28" s="12" t="s">
        <v>16</v>
      </c>
      <c r="R28" s="12" t="s">
        <v>15</v>
      </c>
      <c r="S28" s="12" t="s">
        <v>15</v>
      </c>
      <c r="T28" s="12" t="s">
        <v>8</v>
      </c>
    </row>
    <row r="29" ht="12.75">
      <c r="A29" s="19" t="s">
        <v>49</v>
      </c>
    </row>
    <row r="30" spans="1:21" ht="12.75">
      <c r="A30">
        <v>2048</v>
      </c>
      <c r="B30" s="27">
        <v>31</v>
      </c>
      <c r="C30" s="30">
        <f>G8</f>
        <v>1173.935167412861</v>
      </c>
      <c r="D30" s="8">
        <f>(1/$G$9)*$C$30</f>
        <v>39.131172247095364</v>
      </c>
      <c r="E30" s="8">
        <f>$C$30-D30</f>
        <v>1134.8039951657656</v>
      </c>
      <c r="F30" s="32">
        <f>HLOOKUP($G$10,'WSS-5 -- WACOC-Tx Tbl'!$B$17:$E$58,(B31-30))*$C$30</f>
        <v>58.696758370643046</v>
      </c>
      <c r="G30" s="8">
        <f>C30-F30</f>
        <v>1115.2384090422179</v>
      </c>
      <c r="H30" s="8">
        <f aca="true" t="shared" si="2" ref="H30:H59">(F30-D30)*$G$11</f>
        <v>7.543993649885618</v>
      </c>
      <c r="I30" s="8">
        <f>H30</f>
        <v>7.543993649885618</v>
      </c>
      <c r="J30" s="8">
        <f>E30-I30</f>
        <v>1127.26000151588</v>
      </c>
      <c r="K30" s="8">
        <f>'WSS-5 -- WACOC-Tx Tbl'!$D$10*J30</f>
        <v>20.766003423140614</v>
      </c>
      <c r="L30" s="8">
        <f>J30*('WSS-5 -- WACOC-Tx Tbl'!$D$11+'WSS-5 -- WACOC-Tx Tbl'!$D$12)</f>
        <v>61.418738637392686</v>
      </c>
      <c r="M30" s="25">
        <f>G14</f>
        <v>14.59919373443592</v>
      </c>
      <c r="N30" s="8">
        <f aca="true" t="shared" si="3" ref="N30:N59">$G$12*E30</f>
        <v>1.815686392265225</v>
      </c>
      <c r="O30" s="8">
        <f aca="true" t="shared" si="4" ref="O30:O59">($G$11/(1-$G$11))*L30</f>
        <v>38.54252881052203</v>
      </c>
      <c r="P30" s="8">
        <f aca="true" t="shared" si="5" ref="P30:P59">D30+K30+L30+M30+N30+O30</f>
        <v>176.27332324485184</v>
      </c>
      <c r="Q30" s="17">
        <f>1/(1+'WSS-5 -- WACOC-Tx Tbl'!$F$13)^B30</f>
        <v>0.1386774527958745</v>
      </c>
      <c r="R30" s="16">
        <f aca="true" t="shared" si="6" ref="R30:R59">P30*Q30</f>
        <v>24.44513546345987</v>
      </c>
      <c r="S30" s="8">
        <f>R29+R30</f>
        <v>24.44513546345987</v>
      </c>
      <c r="T30" s="5">
        <f aca="true" t="shared" si="7" ref="T30:T59">P30/$C$30</f>
        <v>0.15015592695235983</v>
      </c>
      <c r="U30" s="2">
        <v>1</v>
      </c>
    </row>
    <row r="31" spans="1:21" ht="12.75">
      <c r="A31">
        <v>2049</v>
      </c>
      <c r="B31" s="27">
        <v>32</v>
      </c>
      <c r="D31" s="8">
        <f aca="true" t="shared" si="8" ref="D31:D59">IF(E30&lt;=0.001,0,(1/$G$9)*$C$30)</f>
        <v>39.131172247095364</v>
      </c>
      <c r="E31" s="8">
        <f aca="true" t="shared" si="9" ref="E31:E59">E30-D31</f>
        <v>1095.6728229186704</v>
      </c>
      <c r="F31" s="2">
        <f>HLOOKUP($G$10,'WSS-5 -- WACOC-Tx Tbl'!$B$17:$E$58,(B32-30))*$C$30</f>
        <v>111.52384090422179</v>
      </c>
      <c r="G31" s="8">
        <f aca="true" t="shared" si="10" ref="G31:G59">G30-F31</f>
        <v>1003.7145681379961</v>
      </c>
      <c r="H31" s="8">
        <f t="shared" si="2"/>
        <v>27.912776504576787</v>
      </c>
      <c r="I31" s="8">
        <f aca="true" t="shared" si="11" ref="I31:I59">I30+H31</f>
        <v>35.456770154462404</v>
      </c>
      <c r="J31" s="8">
        <f aca="true" t="shared" si="12" ref="J31:J59">E31-I31</f>
        <v>1060.216052764208</v>
      </c>
      <c r="K31" s="8">
        <f>'WSS-5 -- WACOC-Tx Tbl'!$D$10*J31</f>
        <v>19.53094241910793</v>
      </c>
      <c r="L31" s="8">
        <f>J31*('WSS-5 -- WACOC-Tx Tbl'!$D$11+'WSS-5 -- WACOC-Tx Tbl'!$D$12)</f>
        <v>57.76585043053681</v>
      </c>
      <c r="M31" s="26">
        <f aca="true" t="shared" si="13" ref="M31:M59">M30*(1+$G$15)</f>
        <v>14.891177609124638</v>
      </c>
      <c r="N31" s="8">
        <f t="shared" si="3"/>
        <v>1.7530765166698727</v>
      </c>
      <c r="O31" s="8">
        <f t="shared" si="4"/>
        <v>36.25020643337958</v>
      </c>
      <c r="P31" s="8">
        <f t="shared" si="5"/>
        <v>169.3224256559142</v>
      </c>
      <c r="Q31" s="17">
        <f>1/(1+'WSS-5 -- WACOC-Tx Tbl'!$F$13)^B31</f>
        <v>0.1301153773473954</v>
      </c>
      <c r="R31" s="16">
        <f t="shared" si="6"/>
        <v>22.031451307595578</v>
      </c>
      <c r="S31" s="8">
        <f aca="true" t="shared" si="14" ref="S31:S59">S30+R31</f>
        <v>46.47658677105545</v>
      </c>
      <c r="T31" s="5">
        <f t="shared" si="7"/>
        <v>0.1442349035586607</v>
      </c>
      <c r="U31" s="2">
        <v>2</v>
      </c>
    </row>
    <row r="32" spans="1:21" ht="12.75">
      <c r="A32">
        <v>2050</v>
      </c>
      <c r="B32" s="27">
        <v>33</v>
      </c>
      <c r="D32" s="8">
        <f t="shared" si="8"/>
        <v>39.131172247095364</v>
      </c>
      <c r="E32" s="8">
        <f t="shared" si="9"/>
        <v>1056.541650671575</v>
      </c>
      <c r="F32" s="2">
        <f>HLOOKUP($G$10,'WSS-5 -- WACOC-Tx Tbl'!$B$17:$E$58,(B33-30))*$C$30</f>
        <v>100.37145681379961</v>
      </c>
      <c r="G32" s="8">
        <f t="shared" si="10"/>
        <v>903.3431113241966</v>
      </c>
      <c r="H32" s="8">
        <f t="shared" si="2"/>
        <v>23.612700124141984</v>
      </c>
      <c r="I32" s="8">
        <f t="shared" si="11"/>
        <v>59.069470278604385</v>
      </c>
      <c r="J32" s="8">
        <f t="shared" si="12"/>
        <v>997.4721803929707</v>
      </c>
      <c r="K32" s="8">
        <f>'WSS-5 -- WACOC-Tx Tbl'!$D$10*J32</f>
        <v>18.375095971358444</v>
      </c>
      <c r="L32" s="8">
        <f>J32*('WSS-5 -- WACOC-Tx Tbl'!$D$11+'WSS-5 -- WACOC-Tx Tbl'!$D$12)</f>
        <v>54.3472517992674</v>
      </c>
      <c r="M32" s="26">
        <f t="shared" si="13"/>
        <v>15.18900116130713</v>
      </c>
      <c r="N32" s="8">
        <f t="shared" si="3"/>
        <v>1.6904666410745202</v>
      </c>
      <c r="O32" s="8">
        <f t="shared" si="4"/>
        <v>34.10490942532455</v>
      </c>
      <c r="P32" s="8">
        <f t="shared" si="5"/>
        <v>162.83789724542743</v>
      </c>
      <c r="Q32" s="17">
        <f>1/(1+'WSS-5 -- WACOC-Tx Tbl'!$F$13)^B32</f>
        <v>0.12208193243335043</v>
      </c>
      <c r="R32" s="16">
        <f t="shared" si="6"/>
        <v>19.87956516910513</v>
      </c>
      <c r="S32" s="8">
        <f t="shared" si="14"/>
        <v>66.35615194016059</v>
      </c>
      <c r="T32" s="5">
        <f t="shared" si="7"/>
        <v>0.1387111501261969</v>
      </c>
      <c r="U32" s="2">
        <v>3</v>
      </c>
    </row>
    <row r="33" spans="1:21" ht="12.75">
      <c r="A33">
        <v>2051</v>
      </c>
      <c r="B33" s="27">
        <v>34</v>
      </c>
      <c r="D33" s="8">
        <f t="shared" si="8"/>
        <v>39.131172247095364</v>
      </c>
      <c r="E33" s="8">
        <f t="shared" si="9"/>
        <v>1017.4104784244797</v>
      </c>
      <c r="F33" s="2">
        <f>HLOOKUP($G$10,'WSS-5 -- WACOC-Tx Tbl'!$B$17:$E$58,(B34-30))*$C$30</f>
        <v>90.39300789079029</v>
      </c>
      <c r="G33" s="8">
        <f t="shared" si="10"/>
        <v>812.9501034334063</v>
      </c>
      <c r="H33" s="8">
        <f t="shared" si="2"/>
        <v>19.765263362700317</v>
      </c>
      <c r="I33" s="8">
        <f t="shared" si="11"/>
        <v>78.8347336413047</v>
      </c>
      <c r="J33" s="8">
        <f t="shared" si="12"/>
        <v>938.575744783175</v>
      </c>
      <c r="K33" s="8">
        <f>'WSS-5 -- WACOC-Tx Tbl'!$D$10*J33</f>
        <v>17.29012570554655</v>
      </c>
      <c r="L33" s="8">
        <f>J33*('WSS-5 -- WACOC-Tx Tbl'!$D$11+'WSS-5 -- WACOC-Tx Tbl'!$D$12)</f>
        <v>51.13828068299639</v>
      </c>
      <c r="M33" s="26">
        <f t="shared" si="13"/>
        <v>15.492781184533273</v>
      </c>
      <c r="N33" s="8">
        <f t="shared" si="3"/>
        <v>1.6278567654791676</v>
      </c>
      <c r="O33" s="8">
        <f t="shared" si="4"/>
        <v>32.091161431716145</v>
      </c>
      <c r="P33" s="8">
        <f t="shared" si="5"/>
        <v>156.77137801736689</v>
      </c>
      <c r="Q33" s="17">
        <f>1/(1+'WSS-5 -- WACOC-Tx Tbl'!$F$13)^B33</f>
        <v>0.114544479910848</v>
      </c>
      <c r="R33" s="16">
        <f t="shared" si="6"/>
        <v>17.95729595990624</v>
      </c>
      <c r="S33" s="8">
        <f t="shared" si="14"/>
        <v>84.31344790006682</v>
      </c>
      <c r="T33" s="5">
        <f t="shared" si="7"/>
        <v>0.13354347187916896</v>
      </c>
      <c r="U33" s="2">
        <v>4</v>
      </c>
    </row>
    <row r="34" spans="1:21" ht="12.75">
      <c r="A34">
        <v>2052</v>
      </c>
      <c r="B34" s="27">
        <v>35</v>
      </c>
      <c r="D34" s="8">
        <f t="shared" si="8"/>
        <v>39.131172247095364</v>
      </c>
      <c r="E34" s="8">
        <f t="shared" si="9"/>
        <v>978.2793061773843</v>
      </c>
      <c r="F34" s="2">
        <f>HLOOKUP($G$10,'WSS-5 -- WACOC-Tx Tbl'!$B$17:$E$58,(B35-30))*$C$30</f>
        <v>81.35370710171127</v>
      </c>
      <c r="G34" s="8">
        <f t="shared" si="10"/>
        <v>731.596396331695</v>
      </c>
      <c r="H34" s="8">
        <f t="shared" si="2"/>
        <v>16.279938296453164</v>
      </c>
      <c r="I34" s="8">
        <f t="shared" si="11"/>
        <v>95.11467193775786</v>
      </c>
      <c r="J34" s="8">
        <f t="shared" si="12"/>
        <v>883.1646342396265</v>
      </c>
      <c r="K34" s="8">
        <f>'WSS-5 -- WACOC-Tx Tbl'!$D$10*J34</f>
        <v>16.269360922195776</v>
      </c>
      <c r="L34" s="8">
        <f>J34*('WSS-5 -- WACOC-Tx Tbl'!$D$11+'WSS-5 -- WACOC-Tx Tbl'!$D$12)</f>
        <v>48.11920743325336</v>
      </c>
      <c r="M34" s="26">
        <f t="shared" si="13"/>
        <v>15.802636808223939</v>
      </c>
      <c r="N34" s="8">
        <f t="shared" si="3"/>
        <v>1.565246889883815</v>
      </c>
      <c r="O34" s="8">
        <f t="shared" si="4"/>
        <v>30.19658136884176</v>
      </c>
      <c r="P34" s="8">
        <f t="shared" si="5"/>
        <v>151.084205669494</v>
      </c>
      <c r="Q34" s="17">
        <f>1/(1+'WSS-5 -- WACOC-Tx Tbl'!$F$13)^B34</f>
        <v>0.10747239674641984</v>
      </c>
      <c r="R34" s="16">
        <f t="shared" si="6"/>
        <v>16.23738169382955</v>
      </c>
      <c r="S34" s="8">
        <f t="shared" si="14"/>
        <v>100.55082959389637</v>
      </c>
      <c r="T34" s="5">
        <f t="shared" si="7"/>
        <v>0.12869893488450138</v>
      </c>
      <c r="U34" s="2">
        <v>5</v>
      </c>
    </row>
    <row r="35" spans="1:21" ht="12.75">
      <c r="A35">
        <v>2053</v>
      </c>
      <c r="B35" s="27">
        <v>36</v>
      </c>
      <c r="D35" s="8">
        <f t="shared" si="8"/>
        <v>39.131172247095364</v>
      </c>
      <c r="E35" s="8">
        <f t="shared" si="9"/>
        <v>939.148133930289</v>
      </c>
      <c r="F35" s="2">
        <f>HLOOKUP($G$10,'WSS-5 -- WACOC-Tx Tbl'!$B$17:$E$58,(B36-30))*$C$30</f>
        <v>73.13616092982123</v>
      </c>
      <c r="G35" s="8">
        <f t="shared" si="10"/>
        <v>658.4602354018738</v>
      </c>
      <c r="H35" s="8">
        <f t="shared" si="2"/>
        <v>13.111460963501202</v>
      </c>
      <c r="I35" s="8">
        <f t="shared" si="11"/>
        <v>108.22613290125906</v>
      </c>
      <c r="J35" s="8">
        <f t="shared" si="12"/>
        <v>830.9220010290298</v>
      </c>
      <c r="K35" s="8">
        <f>'WSS-5 -- WACOC-Tx Tbl'!$D$10*J35</f>
        <v>15.306964759264197</v>
      </c>
      <c r="L35" s="8">
        <f>J35*('WSS-5 -- WACOC-Tx Tbl'!$D$11+'WSS-5 -- WACOC-Tx Tbl'!$D$12)</f>
        <v>45.272768607626666</v>
      </c>
      <c r="M35" s="26">
        <f t="shared" si="13"/>
        <v>16.118689544388417</v>
      </c>
      <c r="N35" s="8">
        <f t="shared" si="3"/>
        <v>1.5026370142884624</v>
      </c>
      <c r="O35" s="8">
        <f t="shared" si="4"/>
        <v>28.410335788452834</v>
      </c>
      <c r="P35" s="8">
        <f t="shared" si="5"/>
        <v>145.74256796111595</v>
      </c>
      <c r="Q35" s="17">
        <f>1/(1+'WSS-5 -- WACOC-Tx Tbl'!$F$13)^B35</f>
        <v>0.1008369506012834</v>
      </c>
      <c r="R35" s="16">
        <f t="shared" si="6"/>
        <v>14.696236125999238</v>
      </c>
      <c r="S35" s="8">
        <f t="shared" si="14"/>
        <v>115.2470657198956</v>
      </c>
      <c r="T35" s="5">
        <f t="shared" si="7"/>
        <v>0.12414873666516525</v>
      </c>
      <c r="U35" s="2">
        <v>6</v>
      </c>
    </row>
    <row r="36" spans="1:21" ht="12.75">
      <c r="A36">
        <v>2054</v>
      </c>
      <c r="B36" s="27">
        <v>37</v>
      </c>
      <c r="D36" s="8">
        <f t="shared" si="8"/>
        <v>39.131172247095364</v>
      </c>
      <c r="E36" s="8">
        <f t="shared" si="9"/>
        <v>900.0169616831936</v>
      </c>
      <c r="F36" s="2">
        <f>HLOOKUP($G$10,'WSS-5 -- WACOC-Tx Tbl'!$B$17:$E$58,(B37-30))*$C$30</f>
        <v>69.26217487735879</v>
      </c>
      <c r="G36" s="8">
        <f t="shared" si="10"/>
        <v>589.198060524515</v>
      </c>
      <c r="H36" s="8">
        <f t="shared" si="2"/>
        <v>11.617750220823849</v>
      </c>
      <c r="I36" s="8">
        <f t="shared" si="11"/>
        <v>119.84388312208291</v>
      </c>
      <c r="J36" s="8">
        <f t="shared" si="12"/>
        <v>780.1730785611106</v>
      </c>
      <c r="K36" s="8">
        <f>'WSS-5 -- WACOC-Tx Tbl'!$D$10*J36</f>
        <v>14.372085231673097</v>
      </c>
      <c r="L36" s="8">
        <f>J36*('WSS-5 -- WACOC-Tx Tbl'!$D$11+'WSS-5 -- WACOC-Tx Tbl'!$D$12)</f>
        <v>42.50771458194054</v>
      </c>
      <c r="M36" s="26">
        <f t="shared" si="13"/>
        <v>16.441063335276187</v>
      </c>
      <c r="N36" s="8">
        <f t="shared" si="3"/>
        <v>1.4400271386931098</v>
      </c>
      <c r="O36" s="8">
        <f t="shared" si="4"/>
        <v>26.675162178378486</v>
      </c>
      <c r="P36" s="8">
        <f t="shared" si="5"/>
        <v>140.5672247130568</v>
      </c>
      <c r="Q36" s="17">
        <f>1/(1+'WSS-5 -- WACOC-Tx Tbl'!$F$13)^B36</f>
        <v>0.09461118309808599</v>
      </c>
      <c r="R36" s="16">
        <f t="shared" si="6"/>
        <v>13.299231434916813</v>
      </c>
      <c r="S36" s="8">
        <f t="shared" si="14"/>
        <v>128.5462971548124</v>
      </c>
      <c r="T36" s="5">
        <f t="shared" si="7"/>
        <v>0.11974019402011896</v>
      </c>
      <c r="U36" s="2">
        <v>7</v>
      </c>
    </row>
    <row r="37" spans="1:21" ht="12.75">
      <c r="A37">
        <v>2055</v>
      </c>
      <c r="B37" s="27">
        <v>38</v>
      </c>
      <c r="D37" s="8">
        <f t="shared" si="8"/>
        <v>39.131172247095364</v>
      </c>
      <c r="E37" s="8">
        <f t="shared" si="9"/>
        <v>860.8857894360982</v>
      </c>
      <c r="F37" s="2">
        <f>HLOOKUP($G$10,'WSS-5 -- WACOC-Tx Tbl'!$B$17:$E$58,(B38-30))*$C$30</f>
        <v>69.26217487735879</v>
      </c>
      <c r="G37" s="8">
        <f t="shared" si="10"/>
        <v>519.9358856471562</v>
      </c>
      <c r="H37" s="8">
        <f t="shared" si="2"/>
        <v>11.617750220823849</v>
      </c>
      <c r="I37" s="8">
        <f t="shared" si="11"/>
        <v>131.46163334290677</v>
      </c>
      <c r="J37" s="8">
        <f t="shared" si="12"/>
        <v>729.4241560931914</v>
      </c>
      <c r="K37" s="8">
        <f>'WSS-5 -- WACOC-Tx Tbl'!$D$10*J37</f>
        <v>13.437205704081999</v>
      </c>
      <c r="L37" s="8">
        <f>J37*('WSS-5 -- WACOC-Tx Tbl'!$D$11+'WSS-5 -- WACOC-Tx Tbl'!$D$12)</f>
        <v>39.74266055625441</v>
      </c>
      <c r="M37" s="26">
        <f t="shared" si="13"/>
        <v>16.769884601981712</v>
      </c>
      <c r="N37" s="8">
        <f t="shared" si="3"/>
        <v>1.3774172630977572</v>
      </c>
      <c r="O37" s="8">
        <f t="shared" si="4"/>
        <v>24.939988568304134</v>
      </c>
      <c r="P37" s="8">
        <f t="shared" si="5"/>
        <v>135.39832894081536</v>
      </c>
      <c r="Q37" s="17">
        <f>1/(1+'WSS-5 -- WACOC-Tx Tbl'!$F$13)^B37</f>
        <v>0.0887698002948695</v>
      </c>
      <c r="R37" s="16">
        <f t="shared" si="6"/>
        <v>12.019282620335229</v>
      </c>
      <c r="S37" s="8">
        <f t="shared" si="14"/>
        <v>140.56557977514763</v>
      </c>
      <c r="T37" s="5">
        <f t="shared" si="7"/>
        <v>0.1153371435657802</v>
      </c>
      <c r="U37" s="2">
        <v>8</v>
      </c>
    </row>
    <row r="38" spans="1:21" ht="12.75">
      <c r="A38">
        <v>2056</v>
      </c>
      <c r="B38" s="27">
        <v>39</v>
      </c>
      <c r="D38" s="8">
        <f t="shared" si="8"/>
        <v>39.131172247095364</v>
      </c>
      <c r="E38" s="8">
        <f t="shared" si="9"/>
        <v>821.7546171890028</v>
      </c>
      <c r="F38" s="2">
        <f>HLOOKUP($G$10,'WSS-5 -- WACOC-Tx Tbl'!$B$17:$E$58,(B39-30))*$C$30</f>
        <v>69.37956839410008</v>
      </c>
      <c r="G38" s="8">
        <f t="shared" si="10"/>
        <v>450.5563172530561</v>
      </c>
      <c r="H38" s="8">
        <f t="shared" si="2"/>
        <v>11.663014182723163</v>
      </c>
      <c r="I38" s="8">
        <f t="shared" si="11"/>
        <v>143.12464752562994</v>
      </c>
      <c r="J38" s="8">
        <f t="shared" si="12"/>
        <v>678.6299696633729</v>
      </c>
      <c r="K38" s="8">
        <f>'WSS-5 -- WACOC-Tx Tbl'!$D$10*J38</f>
        <v>12.50149233905634</v>
      </c>
      <c r="L38" s="8">
        <f>J38*('WSS-5 -- WACOC-Tx Tbl'!$D$11+'WSS-5 -- WACOC-Tx Tbl'!$D$12)</f>
        <v>36.975140324509475</v>
      </c>
      <c r="M38" s="26">
        <f t="shared" si="13"/>
        <v>17.105282294021347</v>
      </c>
      <c r="N38" s="8">
        <f t="shared" si="3"/>
        <v>1.3148073875024047</v>
      </c>
      <c r="O38" s="8">
        <f t="shared" si="4"/>
        <v>23.203267322765708</v>
      </c>
      <c r="P38" s="8">
        <f t="shared" si="5"/>
        <v>130.23116191495063</v>
      </c>
      <c r="Q38" s="17">
        <f>1/(1+'WSS-5 -- WACOC-Tx Tbl'!$F$13)^B38</f>
        <v>0.08328906992127479</v>
      </c>
      <c r="R38" s="16">
        <f t="shared" si="6"/>
        <v>10.846832350663181</v>
      </c>
      <c r="S38" s="8">
        <f t="shared" si="14"/>
        <v>151.41241212581082</v>
      </c>
      <c r="T38" s="5">
        <f t="shared" si="7"/>
        <v>0.1109355657194906</v>
      </c>
      <c r="U38" s="2">
        <v>9</v>
      </c>
    </row>
    <row r="39" spans="1:21" ht="12.75">
      <c r="A39">
        <v>2057</v>
      </c>
      <c r="B39" s="27">
        <v>40</v>
      </c>
      <c r="D39" s="8">
        <f t="shared" si="8"/>
        <v>39.131172247095364</v>
      </c>
      <c r="E39" s="8">
        <f t="shared" si="9"/>
        <v>782.6234449419075</v>
      </c>
      <c r="F39" s="2">
        <f>HLOOKUP($G$10,'WSS-5 -- WACOC-Tx Tbl'!$B$17:$E$58,(B40-30))*$C$30</f>
        <v>69.26217487735879</v>
      </c>
      <c r="G39" s="8">
        <f t="shared" si="10"/>
        <v>381.2941423756973</v>
      </c>
      <c r="H39" s="8">
        <f t="shared" si="2"/>
        <v>11.617750220823849</v>
      </c>
      <c r="I39" s="8">
        <f t="shared" si="11"/>
        <v>154.74239774645378</v>
      </c>
      <c r="J39" s="8">
        <f t="shared" si="12"/>
        <v>627.8810471954537</v>
      </c>
      <c r="K39" s="8">
        <f>'WSS-5 -- WACOC-Tx Tbl'!$D$10*J39</f>
        <v>11.56661281146524</v>
      </c>
      <c r="L39" s="8">
        <f>J39*('WSS-5 -- WACOC-Tx Tbl'!$D$11+'WSS-5 -- WACOC-Tx Tbl'!$D$12)</f>
        <v>34.21008629882335</v>
      </c>
      <c r="M39" s="26">
        <f t="shared" si="13"/>
        <v>17.447387939901773</v>
      </c>
      <c r="N39" s="8">
        <f t="shared" si="3"/>
        <v>1.252197511907052</v>
      </c>
      <c r="O39" s="8">
        <f t="shared" si="4"/>
        <v>21.46809371269136</v>
      </c>
      <c r="P39" s="8">
        <f t="shared" si="5"/>
        <v>125.07555052188414</v>
      </c>
      <c r="Q39" s="17">
        <f>1/(1+'WSS-5 -- WACOC-Tx Tbl'!$F$13)^B39</f>
        <v>0.07814672495947851</v>
      </c>
      <c r="R39" s="16">
        <f t="shared" si="6"/>
        <v>9.77424464578904</v>
      </c>
      <c r="S39" s="8">
        <f t="shared" si="14"/>
        <v>161.18665677159987</v>
      </c>
      <c r="T39" s="5">
        <f t="shared" si="7"/>
        <v>0.10654383137488577</v>
      </c>
      <c r="U39" s="2">
        <v>10</v>
      </c>
    </row>
    <row r="40" spans="1:21" ht="12.75">
      <c r="A40">
        <v>2058</v>
      </c>
      <c r="B40" s="27">
        <v>41</v>
      </c>
      <c r="D40" s="8">
        <f t="shared" si="8"/>
        <v>39.131172247095364</v>
      </c>
      <c r="E40" s="8">
        <f t="shared" si="9"/>
        <v>743.4922726948121</v>
      </c>
      <c r="F40" s="2">
        <f>HLOOKUP($G$10,'WSS-5 -- WACOC-Tx Tbl'!$B$17:$E$58,(B41-30))*$C$30</f>
        <v>69.37956839410008</v>
      </c>
      <c r="G40" s="8">
        <f t="shared" si="10"/>
        <v>311.9145739815972</v>
      </c>
      <c r="H40" s="8">
        <f t="shared" si="2"/>
        <v>11.663014182723163</v>
      </c>
      <c r="I40" s="8">
        <f t="shared" si="11"/>
        <v>166.40541192917695</v>
      </c>
      <c r="J40" s="8">
        <f t="shared" si="12"/>
        <v>577.0868607656352</v>
      </c>
      <c r="K40" s="8">
        <f>'WSS-5 -- WACOC-Tx Tbl'!$D$10*J40</f>
        <v>10.63089944643958</v>
      </c>
      <c r="L40" s="8">
        <f>J40*('WSS-5 -- WACOC-Tx Tbl'!$D$11+'WSS-5 -- WACOC-Tx Tbl'!$D$12)</f>
        <v>31.442566067078413</v>
      </c>
      <c r="M40" s="26">
        <f t="shared" si="13"/>
        <v>17.79633569869981</v>
      </c>
      <c r="N40" s="8">
        <f t="shared" si="3"/>
        <v>1.1895876363116993</v>
      </c>
      <c r="O40" s="8">
        <f t="shared" si="4"/>
        <v>19.731372467152934</v>
      </c>
      <c r="P40" s="8">
        <f t="shared" si="5"/>
        <v>119.9219335627778</v>
      </c>
      <c r="Q40" s="17">
        <f>1/(1+'WSS-5 -- WACOC-Tx Tbl'!$F$13)^B40</f>
        <v>0.07332187317813323</v>
      </c>
      <c r="R40" s="16">
        <f t="shared" si="6"/>
        <v>8.792900803966512</v>
      </c>
      <c r="S40" s="8">
        <f t="shared" si="14"/>
        <v>169.9795575755664</v>
      </c>
      <c r="T40" s="5">
        <f t="shared" si="7"/>
        <v>0.1021537959605247</v>
      </c>
      <c r="U40" s="2">
        <v>11</v>
      </c>
    </row>
    <row r="41" spans="1:21" ht="12.75">
      <c r="A41">
        <v>2059</v>
      </c>
      <c r="B41" s="27">
        <v>42</v>
      </c>
      <c r="D41" s="8">
        <f t="shared" si="8"/>
        <v>39.131172247095364</v>
      </c>
      <c r="E41" s="8">
        <f t="shared" si="9"/>
        <v>704.3611004477167</v>
      </c>
      <c r="F41" s="2">
        <f>HLOOKUP($G$10,'WSS-5 -- WACOC-Tx Tbl'!$B$17:$E$58,(B42-30))*$C$30</f>
        <v>69.26217487735879</v>
      </c>
      <c r="G41" s="8">
        <f t="shared" si="10"/>
        <v>242.65239910423838</v>
      </c>
      <c r="H41" s="8">
        <f t="shared" si="2"/>
        <v>11.617750220823849</v>
      </c>
      <c r="I41" s="8">
        <f t="shared" si="11"/>
        <v>178.0231621500008</v>
      </c>
      <c r="J41" s="8">
        <f t="shared" si="12"/>
        <v>526.3379382977159</v>
      </c>
      <c r="K41" s="8">
        <f>'WSS-5 -- WACOC-Tx Tbl'!$D$10*J41</f>
        <v>9.696019918848481</v>
      </c>
      <c r="L41" s="8">
        <f>J41*('WSS-5 -- WACOC-Tx Tbl'!$D$11+'WSS-5 -- WACOC-Tx Tbl'!$D$12)</f>
        <v>28.677512041392283</v>
      </c>
      <c r="M41" s="26">
        <f t="shared" si="13"/>
        <v>18.152262412673807</v>
      </c>
      <c r="N41" s="8">
        <f t="shared" si="3"/>
        <v>1.1269777607163467</v>
      </c>
      <c r="O41" s="8">
        <f t="shared" si="4"/>
        <v>17.996198857078586</v>
      </c>
      <c r="P41" s="8">
        <f t="shared" si="5"/>
        <v>114.78014323780485</v>
      </c>
      <c r="Q41" s="17">
        <f>1/(1+'WSS-5 -- WACOC-Tx Tbl'!$F$13)^B41</f>
        <v>0.06879491225176647</v>
      </c>
      <c r="R41" s="16">
        <f t="shared" si="6"/>
        <v>7.896289882289971</v>
      </c>
      <c r="S41" s="8">
        <f t="shared" si="14"/>
        <v>177.87584745785637</v>
      </c>
      <c r="T41" s="5">
        <f t="shared" si="7"/>
        <v>0.09777383489648697</v>
      </c>
      <c r="U41" s="2">
        <v>12</v>
      </c>
    </row>
    <row r="42" spans="1:21" ht="12.75">
      <c r="A42">
        <v>2060</v>
      </c>
      <c r="B42" s="27">
        <v>43</v>
      </c>
      <c r="D42" s="8">
        <f t="shared" si="8"/>
        <v>39.131172247095364</v>
      </c>
      <c r="E42" s="8">
        <f t="shared" si="9"/>
        <v>665.2299282006213</v>
      </c>
      <c r="F42" s="2">
        <f>HLOOKUP($G$10,'WSS-5 -- WACOC-Tx Tbl'!$B$17:$E$58,(B43-30))*$C$30</f>
        <v>69.37956839410008</v>
      </c>
      <c r="G42" s="8">
        <f t="shared" si="10"/>
        <v>173.2728307101383</v>
      </c>
      <c r="H42" s="8">
        <f t="shared" si="2"/>
        <v>11.663014182723163</v>
      </c>
      <c r="I42" s="8">
        <f t="shared" si="11"/>
        <v>189.68617633272396</v>
      </c>
      <c r="J42" s="8">
        <f t="shared" si="12"/>
        <v>475.54375186789736</v>
      </c>
      <c r="K42" s="8">
        <f>'WSS-5 -- WACOC-Tx Tbl'!$D$10*J42</f>
        <v>8.76030655382282</v>
      </c>
      <c r="L42" s="8">
        <f>J42*('WSS-5 -- WACOC-Tx Tbl'!$D$11+'WSS-5 -- WACOC-Tx Tbl'!$D$12)</f>
        <v>25.909991809647348</v>
      </c>
      <c r="M42" s="26">
        <f t="shared" si="13"/>
        <v>18.515307660927284</v>
      </c>
      <c r="N42" s="8">
        <f t="shared" si="3"/>
        <v>1.0643678851209941</v>
      </c>
      <c r="O42" s="8">
        <f t="shared" si="4"/>
        <v>16.259477611540156</v>
      </c>
      <c r="P42" s="8">
        <f t="shared" si="5"/>
        <v>109.64062376815394</v>
      </c>
      <c r="Q42" s="17">
        <f>1/(1+'WSS-5 -- WACOC-Tx Tbl'!$F$13)^B42</f>
        <v>0.06454745012078732</v>
      </c>
      <c r="R42" s="16">
        <f t="shared" si="6"/>
        <v>7.077022693886925</v>
      </c>
      <c r="S42" s="8">
        <f t="shared" si="14"/>
        <v>184.9528701517433</v>
      </c>
      <c r="T42" s="5">
        <f t="shared" si="7"/>
        <v>0.09339580822830437</v>
      </c>
      <c r="U42" s="2">
        <v>13</v>
      </c>
    </row>
    <row r="43" spans="1:21" ht="12.75">
      <c r="A43">
        <v>2061</v>
      </c>
      <c r="B43" s="27">
        <v>44</v>
      </c>
      <c r="D43" s="8">
        <f t="shared" si="8"/>
        <v>39.131172247095364</v>
      </c>
      <c r="E43" s="8">
        <f t="shared" si="9"/>
        <v>626.0987559535259</v>
      </c>
      <c r="F43" s="2">
        <f>HLOOKUP($G$10,'WSS-5 -- WACOC-Tx Tbl'!$B$17:$E$58,(B44-30))*$C$30</f>
        <v>69.26217487735879</v>
      </c>
      <c r="G43" s="8">
        <f t="shared" si="10"/>
        <v>104.0106558327795</v>
      </c>
      <c r="H43" s="8">
        <f t="shared" si="2"/>
        <v>11.617750220823849</v>
      </c>
      <c r="I43" s="8">
        <f t="shared" si="11"/>
        <v>201.3039265535478</v>
      </c>
      <c r="J43" s="8">
        <f t="shared" si="12"/>
        <v>424.79482939997814</v>
      </c>
      <c r="K43" s="8">
        <f>'WSS-5 -- WACOC-Tx Tbl'!$D$10*J43</f>
        <v>7.825427026231721</v>
      </c>
      <c r="L43" s="8">
        <f>J43*('WSS-5 -- WACOC-Tx Tbl'!$D$11+'WSS-5 -- WACOC-Tx Tbl'!$D$12)</f>
        <v>23.14493778396122</v>
      </c>
      <c r="M43" s="26">
        <f t="shared" si="13"/>
        <v>18.88561381414583</v>
      </c>
      <c r="N43" s="8">
        <f t="shared" si="3"/>
        <v>1.0017580095256415</v>
      </c>
      <c r="O43" s="8">
        <f t="shared" si="4"/>
        <v>14.524304001465808</v>
      </c>
      <c r="P43" s="8">
        <f t="shared" si="5"/>
        <v>104.51321288242559</v>
      </c>
      <c r="Q43" s="17">
        <f>1/(1+'WSS-5 -- WACOC-Tx Tbl'!$F$13)^B43</f>
        <v>0.06056223026854062</v>
      </c>
      <c r="R43" s="16">
        <f t="shared" si="6"/>
        <v>6.329553264690465</v>
      </c>
      <c r="S43" s="8">
        <f t="shared" si="14"/>
        <v>191.28242341643377</v>
      </c>
      <c r="T43" s="5">
        <f t="shared" si="7"/>
        <v>0.08902809608536871</v>
      </c>
      <c r="U43" s="2">
        <v>14</v>
      </c>
    </row>
    <row r="44" spans="1:21" ht="12.75">
      <c r="A44">
        <v>2062</v>
      </c>
      <c r="B44" s="27">
        <v>45</v>
      </c>
      <c r="D44" s="8">
        <f t="shared" si="8"/>
        <v>39.131172247095364</v>
      </c>
      <c r="E44" s="8">
        <f t="shared" si="9"/>
        <v>586.9675837064306</v>
      </c>
      <c r="F44" s="2">
        <f>HLOOKUP($G$10,'WSS-5 -- WACOC-Tx Tbl'!$B$17:$E$58,(B45-30))*$C$30</f>
        <v>69.37956839410008</v>
      </c>
      <c r="G44" s="8">
        <f t="shared" si="10"/>
        <v>34.63108743867943</v>
      </c>
      <c r="H44" s="8">
        <f t="shared" si="2"/>
        <v>11.663014182723163</v>
      </c>
      <c r="I44" s="8">
        <f t="shared" si="11"/>
        <v>212.96694073627097</v>
      </c>
      <c r="J44" s="8">
        <f t="shared" si="12"/>
        <v>374.00064297015956</v>
      </c>
      <c r="K44" s="8">
        <f>'WSS-5 -- WACOC-Tx Tbl'!$D$10*J44</f>
        <v>6.889713661206061</v>
      </c>
      <c r="L44" s="8">
        <f>J44*('WSS-5 -- WACOC-Tx Tbl'!$D$11+'WSS-5 -- WACOC-Tx Tbl'!$D$12)</f>
        <v>20.377417552216283</v>
      </c>
      <c r="M44" s="26">
        <f t="shared" si="13"/>
        <v>19.263326090428748</v>
      </c>
      <c r="N44" s="8">
        <f t="shared" si="3"/>
        <v>0.939148133930289</v>
      </c>
      <c r="O44" s="8">
        <f t="shared" si="4"/>
        <v>12.78758275592738</v>
      </c>
      <c r="P44" s="8">
        <f t="shared" si="5"/>
        <v>99.38836044080412</v>
      </c>
      <c r="Q44" s="17">
        <f>1/(1+'WSS-5 -- WACOC-Tx Tbl'!$F$13)^B44</f>
        <v>0.05682306161182562</v>
      </c>
      <c r="R44" s="16">
        <f t="shared" si="6"/>
        <v>5.647550928826145</v>
      </c>
      <c r="S44" s="8">
        <f t="shared" si="14"/>
        <v>196.92997434525992</v>
      </c>
      <c r="T44" s="5">
        <f t="shared" si="7"/>
        <v>0.0846625633167102</v>
      </c>
      <c r="U44" s="2">
        <v>15</v>
      </c>
    </row>
    <row r="45" spans="1:21" ht="12.75">
      <c r="A45">
        <v>2063</v>
      </c>
      <c r="B45" s="27">
        <v>46</v>
      </c>
      <c r="D45" s="8">
        <f t="shared" si="8"/>
        <v>39.131172247095364</v>
      </c>
      <c r="E45" s="8">
        <f t="shared" si="9"/>
        <v>547.8364114593352</v>
      </c>
      <c r="F45" s="2">
        <f>HLOOKUP($G$10,'WSS-5 -- WACOC-Tx Tbl'!$B$17:$E$58,(B46-30))*$C$30</f>
        <v>34.631087438679394</v>
      </c>
      <c r="G45" s="8">
        <f t="shared" si="10"/>
        <v>0</v>
      </c>
      <c r="H45" s="8">
        <f t="shared" si="2"/>
        <v>-1.7351185394736932</v>
      </c>
      <c r="I45" s="8">
        <f t="shared" si="11"/>
        <v>211.23182219679728</v>
      </c>
      <c r="J45" s="8">
        <f t="shared" si="12"/>
        <v>336.6045892625379</v>
      </c>
      <c r="K45" s="8">
        <f>'WSS-5 -- WACOC-Tx Tbl'!$D$10*J45</f>
        <v>6.200816176810148</v>
      </c>
      <c r="L45" s="8">
        <f>J45*('WSS-5 -- WACOC-Tx Tbl'!$D$11+'WSS-5 -- WACOC-Tx Tbl'!$D$12)</f>
        <v>18.33989431387759</v>
      </c>
      <c r="M45" s="26">
        <f t="shared" si="13"/>
        <v>19.648592612237323</v>
      </c>
      <c r="N45" s="8">
        <f t="shared" si="3"/>
        <v>0.8765382583349364</v>
      </c>
      <c r="O45" s="8">
        <f t="shared" si="4"/>
        <v>11.50896160775606</v>
      </c>
      <c r="P45" s="8">
        <f t="shared" si="5"/>
        <v>95.70597521611143</v>
      </c>
      <c r="Q45" s="17">
        <f>1/(1+'WSS-5 -- WACOC-Tx Tbl'!$F$13)^B45</f>
        <v>0.0533147527200394</v>
      </c>
      <c r="R45" s="16">
        <f t="shared" si="6"/>
        <v>5.1025404024772</v>
      </c>
      <c r="S45" s="8">
        <f t="shared" si="14"/>
        <v>202.0325147477371</v>
      </c>
      <c r="T45" s="5">
        <f t="shared" si="7"/>
        <v>0.08152577576070913</v>
      </c>
      <c r="U45" s="2">
        <v>16</v>
      </c>
    </row>
    <row r="46" spans="1:21" ht="12.75">
      <c r="A46">
        <v>2064</v>
      </c>
      <c r="B46" s="27">
        <v>47</v>
      </c>
      <c r="D46" s="8">
        <f t="shared" si="8"/>
        <v>39.131172247095364</v>
      </c>
      <c r="E46" s="8">
        <f t="shared" si="9"/>
        <v>508.7052392122398</v>
      </c>
      <c r="F46" s="2">
        <f>HLOOKUP($G$10,'WSS-5 -- WACOC-Tx Tbl'!$B$17:$E$58,(B47-30))*$C$30</f>
        <v>0</v>
      </c>
      <c r="G46" s="8">
        <f t="shared" si="10"/>
        <v>0</v>
      </c>
      <c r="H46" s="8">
        <f t="shared" si="2"/>
        <v>-15.087987299771235</v>
      </c>
      <c r="I46" s="8">
        <f t="shared" si="11"/>
        <v>196.14383489702604</v>
      </c>
      <c r="J46" s="8">
        <f t="shared" si="12"/>
        <v>312.56140431521374</v>
      </c>
      <c r="K46" s="8">
        <f>'WSS-5 -- WACOC-Tx Tbl'!$D$10*J46</f>
        <v>5.757900735609423</v>
      </c>
      <c r="L46" s="8">
        <f>J46*('WSS-5 -- WACOC-Tx Tbl'!$D$11+'WSS-5 -- WACOC-Tx Tbl'!$D$12)</f>
        <v>17.029901862886334</v>
      </c>
      <c r="M46" s="26">
        <f t="shared" si="13"/>
        <v>20.041564464482068</v>
      </c>
      <c r="N46" s="8">
        <f t="shared" si="3"/>
        <v>0.8139283827395837</v>
      </c>
      <c r="O46" s="8">
        <f t="shared" si="4"/>
        <v>10.68689292148777</v>
      </c>
      <c r="P46" s="8">
        <f t="shared" si="5"/>
        <v>93.46136061430055</v>
      </c>
      <c r="Q46" s="17">
        <f>1/(1+'WSS-5 -- WACOC-Tx Tbl'!$F$13)^B46</f>
        <v>0.05002305009569205</v>
      </c>
      <c r="R46" s="16">
        <f t="shared" si="6"/>
        <v>4.675222324020696</v>
      </c>
      <c r="S46" s="8">
        <f t="shared" si="14"/>
        <v>206.7077370717578</v>
      </c>
      <c r="T46" s="5">
        <f t="shared" si="7"/>
        <v>0.07961373269042817</v>
      </c>
      <c r="U46" s="2">
        <v>17</v>
      </c>
    </row>
    <row r="47" spans="1:21" ht="12.75">
      <c r="A47">
        <v>2065</v>
      </c>
      <c r="B47" s="27">
        <v>48</v>
      </c>
      <c r="D47" s="8">
        <f t="shared" si="8"/>
        <v>39.131172247095364</v>
      </c>
      <c r="E47" s="8">
        <f t="shared" si="9"/>
        <v>469.5740669651444</v>
      </c>
      <c r="F47" s="2">
        <f>HLOOKUP($G$10,'WSS-5 -- WACOC-Tx Tbl'!$B$17:$E$58,(B48-30))*$C$30</f>
        <v>0</v>
      </c>
      <c r="G47" s="8">
        <f t="shared" si="10"/>
        <v>0</v>
      </c>
      <c r="H47" s="8">
        <f t="shared" si="2"/>
        <v>-15.087987299771235</v>
      </c>
      <c r="I47" s="8">
        <f t="shared" si="11"/>
        <v>181.0558475972548</v>
      </c>
      <c r="J47" s="8">
        <f t="shared" si="12"/>
        <v>288.5182193678896</v>
      </c>
      <c r="K47" s="8">
        <f>'WSS-5 -- WACOC-Tx Tbl'!$D$10*J47</f>
        <v>5.314985294408699</v>
      </c>
      <c r="L47" s="8">
        <f>J47*('WSS-5 -- WACOC-Tx Tbl'!$D$11+'WSS-5 -- WACOC-Tx Tbl'!$D$12)</f>
        <v>15.719909411895078</v>
      </c>
      <c r="M47" s="26">
        <f t="shared" si="13"/>
        <v>20.44239575377171</v>
      </c>
      <c r="N47" s="8">
        <f t="shared" si="3"/>
        <v>0.7513185071442311</v>
      </c>
      <c r="O47" s="8">
        <f t="shared" si="4"/>
        <v>9.86482423521948</v>
      </c>
      <c r="P47" s="8">
        <f t="shared" si="5"/>
        <v>91.22460544953455</v>
      </c>
      <c r="Q47" s="17">
        <f>1/(1+'WSS-5 -- WACOC-Tx Tbl'!$F$13)^B47</f>
        <v>0.046934580265540204</v>
      </c>
      <c r="R47" s="16">
        <f t="shared" si="6"/>
        <v>4.281588566663416</v>
      </c>
      <c r="S47" s="8">
        <f t="shared" si="14"/>
        <v>210.98932563842123</v>
      </c>
      <c r="T47" s="5">
        <f t="shared" si="7"/>
        <v>0.07770838456997327</v>
      </c>
      <c r="U47" s="2">
        <v>18</v>
      </c>
    </row>
    <row r="48" spans="1:21" ht="12.75">
      <c r="A48">
        <v>2066</v>
      </c>
      <c r="B48" s="27">
        <v>49</v>
      </c>
      <c r="D48" s="8">
        <f t="shared" si="8"/>
        <v>39.131172247095364</v>
      </c>
      <c r="E48" s="8">
        <f t="shared" si="9"/>
        <v>430.44289471804905</v>
      </c>
      <c r="F48" s="2">
        <f>HLOOKUP($G$10,'WSS-5 -- WACOC-Tx Tbl'!$B$17:$E$58,(B49-30))*$C$30</f>
        <v>0</v>
      </c>
      <c r="G48" s="8">
        <f t="shared" si="10"/>
        <v>0</v>
      </c>
      <c r="H48" s="8">
        <f t="shared" si="2"/>
        <v>-15.087987299771235</v>
      </c>
      <c r="I48" s="8">
        <f t="shared" si="11"/>
        <v>165.96786029748355</v>
      </c>
      <c r="J48" s="8">
        <f t="shared" si="12"/>
        <v>264.4750344205655</v>
      </c>
      <c r="K48" s="8">
        <f>'WSS-5 -- WACOC-Tx Tbl'!$D$10*J48</f>
        <v>4.872069853207974</v>
      </c>
      <c r="L48" s="8">
        <f>J48*('WSS-5 -- WACOC-Tx Tbl'!$D$11+'WSS-5 -- WACOC-Tx Tbl'!$D$12)</f>
        <v>14.409916960903823</v>
      </c>
      <c r="M48" s="26">
        <f t="shared" si="13"/>
        <v>20.851243668847143</v>
      </c>
      <c r="N48" s="8">
        <f t="shared" si="3"/>
        <v>0.6887086315488785</v>
      </c>
      <c r="O48" s="8">
        <f t="shared" si="4"/>
        <v>9.042755548951192</v>
      </c>
      <c r="P48" s="8">
        <f t="shared" si="5"/>
        <v>88.99586691055437</v>
      </c>
      <c r="Q48" s="17">
        <f>1/(1+'WSS-5 -- WACOC-Tx Tbl'!$F$13)^B48</f>
        <v>0.04403679544706819</v>
      </c>
      <c r="R48" s="16">
        <f t="shared" si="6"/>
        <v>3.9190927867745873</v>
      </c>
      <c r="S48" s="8">
        <f t="shared" si="14"/>
        <v>214.90841842519583</v>
      </c>
      <c r="T48" s="5">
        <f t="shared" si="7"/>
        <v>0.075809865298341</v>
      </c>
      <c r="U48" s="2">
        <v>19</v>
      </c>
    </row>
    <row r="49" spans="1:21" ht="12.75">
      <c r="A49">
        <v>2067</v>
      </c>
      <c r="B49" s="27">
        <v>50</v>
      </c>
      <c r="D49" s="8">
        <f t="shared" si="8"/>
        <v>39.131172247095364</v>
      </c>
      <c r="E49" s="8">
        <f t="shared" si="9"/>
        <v>391.31172247095367</v>
      </c>
      <c r="F49" s="2">
        <f>HLOOKUP($G$10,'WSS-5 -- WACOC-Tx Tbl'!$B$17:$E$58,(B50-30))*$C$30</f>
        <v>0</v>
      </c>
      <c r="G49" s="8">
        <f t="shared" si="10"/>
        <v>0</v>
      </c>
      <c r="H49" s="8">
        <f t="shared" si="2"/>
        <v>-15.087987299771235</v>
      </c>
      <c r="I49" s="8">
        <f t="shared" si="11"/>
        <v>150.8798729977123</v>
      </c>
      <c r="J49" s="8">
        <f t="shared" si="12"/>
        <v>240.43184947324136</v>
      </c>
      <c r="K49" s="8">
        <f>'WSS-5 -- WACOC-Tx Tbl'!$D$10*J49</f>
        <v>4.429154412007249</v>
      </c>
      <c r="L49" s="8">
        <f>J49*('WSS-5 -- WACOC-Tx Tbl'!$D$11+'WSS-5 -- WACOC-Tx Tbl'!$D$12)</f>
        <v>13.099924509912565</v>
      </c>
      <c r="M49" s="26">
        <f t="shared" si="13"/>
        <v>21.268268542224085</v>
      </c>
      <c r="N49" s="8">
        <f t="shared" si="3"/>
        <v>0.6260987559535259</v>
      </c>
      <c r="O49" s="8">
        <f t="shared" si="4"/>
        <v>8.2206868626829</v>
      </c>
      <c r="P49" s="8">
        <f t="shared" si="5"/>
        <v>86.77530532987568</v>
      </c>
      <c r="Q49" s="17">
        <f>1/(1+'WSS-5 -- WACOC-Tx Tbl'!$F$13)^B49</f>
        <v>0.04131792256957144</v>
      </c>
      <c r="R49" s="16">
        <f t="shared" si="6"/>
        <v>3.585375346570723</v>
      </c>
      <c r="S49" s="8">
        <f t="shared" si="14"/>
        <v>218.49379377176655</v>
      </c>
      <c r="T49" s="5">
        <f t="shared" si="7"/>
        <v>0.07391831145250775</v>
      </c>
      <c r="U49" s="2">
        <v>20</v>
      </c>
    </row>
    <row r="50" spans="1:21" ht="12.75">
      <c r="A50">
        <v>2068</v>
      </c>
      <c r="B50" s="27">
        <v>51</v>
      </c>
      <c r="D50" s="8">
        <f t="shared" si="8"/>
        <v>39.131172247095364</v>
      </c>
      <c r="E50" s="8">
        <f t="shared" si="9"/>
        <v>352.1805502238583</v>
      </c>
      <c r="F50" s="2">
        <f>HLOOKUP($G$10,'WSS-5 -- WACOC-Tx Tbl'!$B$17:$E$58,(B51-30))*$C$30</f>
        <v>0</v>
      </c>
      <c r="G50" s="8">
        <f t="shared" si="10"/>
        <v>0</v>
      </c>
      <c r="H50" s="8">
        <f t="shared" si="2"/>
        <v>-15.087987299771235</v>
      </c>
      <c r="I50" s="8">
        <f t="shared" si="11"/>
        <v>135.79188569794107</v>
      </c>
      <c r="J50" s="8">
        <f t="shared" si="12"/>
        <v>216.38866452591722</v>
      </c>
      <c r="K50" s="8">
        <f>'WSS-5 -- WACOC-Tx Tbl'!$D$10*J50</f>
        <v>3.9862389708065242</v>
      </c>
      <c r="L50" s="8">
        <f>J50*('WSS-5 -- WACOC-Tx Tbl'!$D$11+'WSS-5 -- WACOC-Tx Tbl'!$D$12)</f>
        <v>11.789932058921309</v>
      </c>
      <c r="M50" s="26">
        <f t="shared" si="13"/>
        <v>21.693633913068567</v>
      </c>
      <c r="N50" s="8">
        <f t="shared" si="3"/>
        <v>0.5634888803581732</v>
      </c>
      <c r="O50" s="8">
        <f t="shared" si="4"/>
        <v>7.398618176414611</v>
      </c>
      <c r="P50" s="8">
        <f t="shared" si="5"/>
        <v>84.56308424666456</v>
      </c>
      <c r="Q50" s="17">
        <f>1/(1+'WSS-5 -- WACOC-Tx Tbl'!$F$13)^B50</f>
        <v>0.0387669154427257</v>
      </c>
      <c r="R50" s="16">
        <f t="shared" si="6"/>
        <v>3.2782499365665347</v>
      </c>
      <c r="S50" s="8">
        <f t="shared" si="14"/>
        <v>221.7720437083331</v>
      </c>
      <c r="T50" s="5">
        <f t="shared" si="7"/>
        <v>0.07203386234098956</v>
      </c>
      <c r="U50" s="2">
        <v>21</v>
      </c>
    </row>
    <row r="51" spans="1:21" ht="12.75">
      <c r="A51">
        <v>2069</v>
      </c>
      <c r="B51" s="27">
        <v>52</v>
      </c>
      <c r="D51" s="8">
        <f t="shared" si="8"/>
        <v>39.131172247095364</v>
      </c>
      <c r="E51" s="8">
        <f t="shared" si="9"/>
        <v>313.0493779767629</v>
      </c>
      <c r="F51" s="2">
        <f>HLOOKUP($G$10,'WSS-5 -- WACOC-Tx Tbl'!$B$17:$E$58,(B52-30))*$C$30</f>
        <v>0</v>
      </c>
      <c r="G51" s="8">
        <f t="shared" si="10"/>
        <v>0</v>
      </c>
      <c r="H51" s="8">
        <f t="shared" si="2"/>
        <v>-15.087987299771235</v>
      </c>
      <c r="I51" s="8">
        <f t="shared" si="11"/>
        <v>120.70389839816983</v>
      </c>
      <c r="J51" s="8">
        <f t="shared" si="12"/>
        <v>192.34547957859309</v>
      </c>
      <c r="K51" s="8">
        <f>'WSS-5 -- WACOC-Tx Tbl'!$D$10*J51</f>
        <v>3.543323529605799</v>
      </c>
      <c r="L51" s="8">
        <f>J51*('WSS-5 -- WACOC-Tx Tbl'!$D$11+'WSS-5 -- WACOC-Tx Tbl'!$D$12)</f>
        <v>10.479939607930051</v>
      </c>
      <c r="M51" s="26">
        <f t="shared" si="13"/>
        <v>22.12750659132994</v>
      </c>
      <c r="N51" s="8">
        <f t="shared" si="3"/>
        <v>0.5008790047628207</v>
      </c>
      <c r="O51" s="8">
        <f t="shared" si="4"/>
        <v>6.57654949014632</v>
      </c>
      <c r="P51" s="8">
        <f t="shared" si="5"/>
        <v>82.3593704708703</v>
      </c>
      <c r="Q51" s="17">
        <f>1/(1+'WSS-5 -- WACOC-Tx Tbl'!$F$13)^B51</f>
        <v>0.036373409878313556</v>
      </c>
      <c r="R51" s="16">
        <f t="shared" si="6"/>
        <v>2.9956911394568397</v>
      </c>
      <c r="S51" s="8">
        <f t="shared" si="14"/>
        <v>224.76773484778994</v>
      </c>
      <c r="T51" s="5">
        <f t="shared" si="7"/>
        <v>0.07015666005847268</v>
      </c>
      <c r="U51" s="2">
        <v>22</v>
      </c>
    </row>
    <row r="52" spans="1:21" ht="12.75">
      <c r="A52">
        <v>2070</v>
      </c>
      <c r="B52" s="27">
        <v>53</v>
      </c>
      <c r="D52" s="8">
        <f t="shared" si="8"/>
        <v>39.131172247095364</v>
      </c>
      <c r="E52" s="8">
        <f t="shared" si="9"/>
        <v>273.91820572966753</v>
      </c>
      <c r="F52" s="2">
        <f>HLOOKUP($G$10,'WSS-5 -- WACOC-Tx Tbl'!$B$17:$E$58,(B53-30))*$C$30</f>
        <v>0</v>
      </c>
      <c r="G52" s="8">
        <f t="shared" si="10"/>
        <v>0</v>
      </c>
      <c r="H52" s="8">
        <f t="shared" si="2"/>
        <v>-15.087987299771235</v>
      </c>
      <c r="I52" s="8">
        <f t="shared" si="11"/>
        <v>105.61591109839858</v>
      </c>
      <c r="J52" s="8">
        <f t="shared" si="12"/>
        <v>168.30229463126895</v>
      </c>
      <c r="K52" s="8">
        <f>'WSS-5 -- WACOC-Tx Tbl'!$D$10*J52</f>
        <v>3.100408088405074</v>
      </c>
      <c r="L52" s="8">
        <f>J52*('WSS-5 -- WACOC-Tx Tbl'!$D$11+'WSS-5 -- WACOC-Tx Tbl'!$D$12)</f>
        <v>9.169947156938795</v>
      </c>
      <c r="M52" s="26">
        <f t="shared" si="13"/>
        <v>22.57005672315654</v>
      </c>
      <c r="N52" s="8">
        <f t="shared" si="3"/>
        <v>0.4382691291674681</v>
      </c>
      <c r="O52" s="8">
        <f t="shared" si="4"/>
        <v>5.75448080387803</v>
      </c>
      <c r="P52" s="8">
        <f t="shared" si="5"/>
        <v>80.16433414864127</v>
      </c>
      <c r="Q52" s="17">
        <f>1/(1+'WSS-5 -- WACOC-Tx Tbl'!$F$13)^B52</f>
        <v>0.034127681582777396</v>
      </c>
      <c r="R52" s="16">
        <f t="shared" si="6"/>
        <v>2.735822870120198</v>
      </c>
      <c r="S52" s="8">
        <f t="shared" si="14"/>
        <v>227.50355771791013</v>
      </c>
      <c r="T52" s="5">
        <f t="shared" si="7"/>
        <v>0.06828684954153716</v>
      </c>
      <c r="U52" s="2">
        <v>23</v>
      </c>
    </row>
    <row r="53" spans="1:21" ht="12.75">
      <c r="A53">
        <v>2071</v>
      </c>
      <c r="B53" s="27">
        <v>54</v>
      </c>
      <c r="D53" s="8">
        <f t="shared" si="8"/>
        <v>39.131172247095364</v>
      </c>
      <c r="E53" s="8">
        <f t="shared" si="9"/>
        <v>234.78703348257216</v>
      </c>
      <c r="F53" s="2">
        <f>HLOOKUP($G$10,'WSS-5 -- WACOC-Tx Tbl'!$B$17:$E$58,(B54-30))*$C$30</f>
        <v>0</v>
      </c>
      <c r="G53" s="8">
        <f t="shared" si="10"/>
        <v>0</v>
      </c>
      <c r="H53" s="8">
        <f t="shared" si="2"/>
        <v>-15.087987299771235</v>
      </c>
      <c r="I53" s="8">
        <f t="shared" si="11"/>
        <v>90.52792379862734</v>
      </c>
      <c r="J53" s="8">
        <f t="shared" si="12"/>
        <v>144.2591096839448</v>
      </c>
      <c r="K53" s="8">
        <f>'WSS-5 -- WACOC-Tx Tbl'!$D$10*J53</f>
        <v>2.6574926472043496</v>
      </c>
      <c r="L53" s="8">
        <f>J53*('WSS-5 -- WACOC-Tx Tbl'!$D$11+'WSS-5 -- WACOC-Tx Tbl'!$D$12)</f>
        <v>7.859954705947539</v>
      </c>
      <c r="M53" s="26">
        <f t="shared" si="13"/>
        <v>23.021457857619673</v>
      </c>
      <c r="N53" s="8">
        <f t="shared" si="3"/>
        <v>0.3756592535721155</v>
      </c>
      <c r="O53" s="8">
        <f t="shared" si="4"/>
        <v>4.93241211760974</v>
      </c>
      <c r="P53" s="8">
        <f t="shared" si="5"/>
        <v>77.97814882904878</v>
      </c>
      <c r="Q53" s="17">
        <f>1/(1+'WSS-5 -- WACOC-Tx Tbl'!$F$13)^B53</f>
        <v>0.03202060664952549</v>
      </c>
      <c r="R53" s="16">
        <f t="shared" si="6"/>
        <v>2.4969076309131273</v>
      </c>
      <c r="S53" s="8">
        <f t="shared" si="14"/>
        <v>230.00046534882324</v>
      </c>
      <c r="T53" s="5">
        <f t="shared" si="7"/>
        <v>0.06642457862549463</v>
      </c>
      <c r="U53" s="2">
        <v>24</v>
      </c>
    </row>
    <row r="54" spans="1:21" ht="12.75">
      <c r="A54">
        <v>2072</v>
      </c>
      <c r="B54" s="27">
        <v>55</v>
      </c>
      <c r="D54" s="8">
        <f t="shared" si="8"/>
        <v>39.131172247095364</v>
      </c>
      <c r="E54" s="8">
        <f t="shared" si="9"/>
        <v>195.65586123547678</v>
      </c>
      <c r="F54" s="2">
        <f>HLOOKUP($G$10,'WSS-5 -- WACOC-Tx Tbl'!$B$17:$E$58,(B55-30))*$C$30</f>
        <v>0</v>
      </c>
      <c r="G54" s="8">
        <f t="shared" si="10"/>
        <v>0</v>
      </c>
      <c r="H54" s="8">
        <f t="shared" si="2"/>
        <v>-15.087987299771235</v>
      </c>
      <c r="I54" s="8">
        <f t="shared" si="11"/>
        <v>75.4399364988561</v>
      </c>
      <c r="J54" s="8">
        <f t="shared" si="12"/>
        <v>120.21592473662068</v>
      </c>
      <c r="K54" s="8">
        <f>'WSS-5 -- WACOC-Tx Tbl'!$D$10*J54</f>
        <v>2.2145772060036246</v>
      </c>
      <c r="L54" s="8">
        <f>J54*('WSS-5 -- WACOC-Tx Tbl'!$D$11+'WSS-5 -- WACOC-Tx Tbl'!$D$12)</f>
        <v>6.549962254956283</v>
      </c>
      <c r="M54" s="26">
        <f t="shared" si="13"/>
        <v>23.481887014772067</v>
      </c>
      <c r="N54" s="8">
        <f t="shared" si="3"/>
        <v>0.31304937797676285</v>
      </c>
      <c r="O54" s="8">
        <f t="shared" si="4"/>
        <v>4.11034343134145</v>
      </c>
      <c r="P54" s="8">
        <f t="shared" si="5"/>
        <v>75.80099153214556</v>
      </c>
      <c r="Q54" s="17">
        <f>1/(1+'WSS-5 -- WACOC-Tx Tbl'!$F$13)^B54</f>
        <v>0.030043624490480054</v>
      </c>
      <c r="R54" s="16">
        <f t="shared" si="6"/>
        <v>2.2773365255978395</v>
      </c>
      <c r="S54" s="8">
        <f t="shared" si="14"/>
        <v>232.27780187442107</v>
      </c>
      <c r="T54" s="5">
        <f t="shared" si="7"/>
        <v>0.06456999810236295</v>
      </c>
      <c r="U54" s="2">
        <v>25</v>
      </c>
    </row>
    <row r="55" spans="1:21" ht="12.75">
      <c r="A55">
        <v>2073</v>
      </c>
      <c r="B55" s="27">
        <v>56</v>
      </c>
      <c r="D55" s="8">
        <f t="shared" si="8"/>
        <v>39.131172247095364</v>
      </c>
      <c r="E55" s="8">
        <f t="shared" si="9"/>
        <v>156.5246889883814</v>
      </c>
      <c r="F55" s="2">
        <f>HLOOKUP($G$10,'WSS-5 -- WACOC-Tx Tbl'!$B$17:$E$58,(B56-30))*$C$30</f>
        <v>0</v>
      </c>
      <c r="G55" s="8">
        <f t="shared" si="10"/>
        <v>0</v>
      </c>
      <c r="H55" s="8">
        <f t="shared" si="2"/>
        <v>-15.087987299771235</v>
      </c>
      <c r="I55" s="8">
        <f t="shared" si="11"/>
        <v>60.35194919908486</v>
      </c>
      <c r="J55" s="8">
        <f t="shared" si="12"/>
        <v>96.17273978929654</v>
      </c>
      <c r="K55" s="8">
        <f>'WSS-5 -- WACOC-Tx Tbl'!$D$10*J55</f>
        <v>1.7716617648028996</v>
      </c>
      <c r="L55" s="8">
        <f>J55*('WSS-5 -- WACOC-Tx Tbl'!$D$11+'WSS-5 -- WACOC-Tx Tbl'!$D$12)</f>
        <v>5.2399698039650255</v>
      </c>
      <c r="M55" s="26">
        <f t="shared" si="13"/>
        <v>23.95152475506751</v>
      </c>
      <c r="N55" s="8">
        <f t="shared" si="3"/>
        <v>0.2504395023814103</v>
      </c>
      <c r="O55" s="8">
        <f t="shared" si="4"/>
        <v>3.28827474507316</v>
      </c>
      <c r="P55" s="8">
        <f t="shared" si="5"/>
        <v>73.63304281838538</v>
      </c>
      <c r="Q55" s="17">
        <f>1/(1+'WSS-5 -- WACOC-Tx Tbl'!$F$13)^B55</f>
        <v>0.028188703056266074</v>
      </c>
      <c r="R55" s="16">
        <f t="shared" si="6"/>
        <v>2.0756199791367904</v>
      </c>
      <c r="S55" s="8">
        <f t="shared" si="14"/>
        <v>234.35342185355788</v>
      </c>
      <c r="T55" s="5">
        <f t="shared" si="7"/>
        <v>0.06272326178000032</v>
      </c>
      <c r="U55" s="2">
        <v>26</v>
      </c>
    </row>
    <row r="56" spans="1:21" ht="12.75">
      <c r="A56">
        <v>2074</v>
      </c>
      <c r="B56" s="27">
        <v>57</v>
      </c>
      <c r="D56" s="8">
        <f t="shared" si="8"/>
        <v>39.131172247095364</v>
      </c>
      <c r="E56" s="8">
        <f t="shared" si="9"/>
        <v>117.39351674128604</v>
      </c>
      <c r="F56" s="2">
        <f>HLOOKUP($G$10,'WSS-5 -- WACOC-Tx Tbl'!$B$17:$E$58,(B57-30))*$C$30</f>
        <v>0</v>
      </c>
      <c r="G56" s="8">
        <f t="shared" si="10"/>
        <v>0</v>
      </c>
      <c r="H56" s="8">
        <f t="shared" si="2"/>
        <v>-15.087987299771235</v>
      </c>
      <c r="I56" s="8">
        <f t="shared" si="11"/>
        <v>45.26396189931363</v>
      </c>
      <c r="J56" s="8">
        <f t="shared" si="12"/>
        <v>72.1295548419724</v>
      </c>
      <c r="K56" s="8">
        <f>'WSS-5 -- WACOC-Tx Tbl'!$D$10*J56</f>
        <v>1.3287463236021748</v>
      </c>
      <c r="L56" s="8">
        <f>J56*('WSS-5 -- WACOC-Tx Tbl'!$D$11+'WSS-5 -- WACOC-Tx Tbl'!$D$12)</f>
        <v>3.9299773529737694</v>
      </c>
      <c r="M56" s="26">
        <f t="shared" si="13"/>
        <v>24.43055525016886</v>
      </c>
      <c r="N56" s="8">
        <f t="shared" si="3"/>
        <v>0.18782962678605766</v>
      </c>
      <c r="O56" s="8">
        <f t="shared" si="4"/>
        <v>2.46620605880487</v>
      </c>
      <c r="P56" s="8">
        <f t="shared" si="5"/>
        <v>71.4744868594311</v>
      </c>
      <c r="Q56" s="17">
        <f>1/(1+'WSS-5 -- WACOC-Tx Tbl'!$F$13)^B56</f>
        <v>0.02644830620373819</v>
      </c>
      <c r="R56" s="16">
        <f t="shared" si="6"/>
        <v>1.8903791142132953</v>
      </c>
      <c r="S56" s="8">
        <f t="shared" si="14"/>
        <v>236.24380096777116</v>
      </c>
      <c r="T56" s="5">
        <f t="shared" si="7"/>
        <v>0.06088452654242213</v>
      </c>
      <c r="U56" s="2">
        <v>27</v>
      </c>
    </row>
    <row r="57" spans="1:21" ht="12.75">
      <c r="A57">
        <v>2075</v>
      </c>
      <c r="B57" s="27">
        <v>58</v>
      </c>
      <c r="D57" s="8">
        <f t="shared" si="8"/>
        <v>39.131172247095364</v>
      </c>
      <c r="E57" s="8">
        <f t="shared" si="9"/>
        <v>78.26234449419067</v>
      </c>
      <c r="F57" s="2">
        <f>HLOOKUP($G$10,'WSS-5 -- WACOC-Tx Tbl'!$B$17:$E$58,(B58-30))*$C$30</f>
        <v>0</v>
      </c>
      <c r="G57" s="8">
        <f t="shared" si="10"/>
        <v>0</v>
      </c>
      <c r="H57" s="8">
        <f t="shared" si="2"/>
        <v>-15.087987299771235</v>
      </c>
      <c r="I57" s="8">
        <f t="shared" si="11"/>
        <v>30.175974599542393</v>
      </c>
      <c r="J57" s="8">
        <f t="shared" si="12"/>
        <v>48.08636989464828</v>
      </c>
      <c r="K57" s="8">
        <f>'WSS-5 -- WACOC-Tx Tbl'!$D$10*J57</f>
        <v>0.8858308824014499</v>
      </c>
      <c r="L57" s="8">
        <f>J57*('WSS-5 -- WACOC-Tx Tbl'!$D$11+'WSS-5 -- WACOC-Tx Tbl'!$D$12)</f>
        <v>2.619984901982513</v>
      </c>
      <c r="M57" s="26">
        <f t="shared" si="13"/>
        <v>24.91916635517224</v>
      </c>
      <c r="N57" s="8">
        <f t="shared" si="3"/>
        <v>0.12521975119070508</v>
      </c>
      <c r="O57" s="8">
        <f t="shared" si="4"/>
        <v>1.6441373725365802</v>
      </c>
      <c r="P57" s="8">
        <f t="shared" si="5"/>
        <v>69.32551151037885</v>
      </c>
      <c r="Q57" s="17">
        <f>1/(1+'WSS-5 -- WACOC-Tx Tbl'!$F$13)^B57</f>
        <v>0.024815363078266955</v>
      </c>
      <c r="R57" s="16">
        <f t="shared" si="6"/>
        <v>1.720337738716626</v>
      </c>
      <c r="S57" s="8">
        <f t="shared" si="14"/>
        <v>237.9641387064878</v>
      </c>
      <c r="T57" s="5">
        <f t="shared" si="7"/>
        <v>0.05905395241132407</v>
      </c>
      <c r="U57" s="2">
        <v>28</v>
      </c>
    </row>
    <row r="58" spans="1:21" ht="12.75">
      <c r="A58">
        <v>2076</v>
      </c>
      <c r="B58" s="27">
        <v>59</v>
      </c>
      <c r="D58" s="8">
        <f t="shared" si="8"/>
        <v>39.131172247095364</v>
      </c>
      <c r="E58" s="8">
        <f t="shared" si="9"/>
        <v>39.13117224709531</v>
      </c>
      <c r="F58" s="2">
        <f>HLOOKUP($G$10,'WSS-5 -- WACOC-Tx Tbl'!$B$17:$E$58,(B59-30))*$C$30</f>
        <v>0</v>
      </c>
      <c r="G58" s="8">
        <f t="shared" si="10"/>
        <v>0</v>
      </c>
      <c r="H58" s="8">
        <f t="shared" si="2"/>
        <v>-15.087987299771235</v>
      </c>
      <c r="I58" s="8">
        <f t="shared" si="11"/>
        <v>15.087987299771157</v>
      </c>
      <c r="J58" s="8">
        <f t="shared" si="12"/>
        <v>24.04318494732415</v>
      </c>
      <c r="K58" s="8">
        <f>'WSS-5 -- WACOC-Tx Tbl'!$D$10*J58</f>
        <v>0.4429154412007252</v>
      </c>
      <c r="L58" s="8">
        <f>J58*('WSS-5 -- WACOC-Tx Tbl'!$D$11+'WSS-5 -- WACOC-Tx Tbl'!$D$12)</f>
        <v>1.3099924509912573</v>
      </c>
      <c r="M58" s="26">
        <f t="shared" si="13"/>
        <v>25.417549682275688</v>
      </c>
      <c r="N58" s="8">
        <f t="shared" si="3"/>
        <v>0.0626098755953525</v>
      </c>
      <c r="O58" s="8">
        <f t="shared" si="4"/>
        <v>0.8220686862682905</v>
      </c>
      <c r="P58" s="8">
        <f t="shared" si="5"/>
        <v>67.18630838342669</v>
      </c>
      <c r="Q58" s="17">
        <f>1/(1+'WSS-5 -- WACOC-Tx Tbl'!$F$13)^B58</f>
        <v>0.02328323938639132</v>
      </c>
      <c r="R58" s="16">
        <f t="shared" si="6"/>
        <v>1.5643149015792337</v>
      </c>
      <c r="S58" s="8">
        <f t="shared" si="14"/>
        <v>239.52845360806703</v>
      </c>
      <c r="T58" s="5">
        <f t="shared" si="7"/>
        <v>0.057231702608835776</v>
      </c>
      <c r="U58" s="2">
        <v>29</v>
      </c>
    </row>
    <row r="59" spans="1:21" ht="15" customHeight="1">
      <c r="A59">
        <v>2077</v>
      </c>
      <c r="B59" s="27">
        <v>60</v>
      </c>
      <c r="D59" s="8">
        <f t="shared" si="8"/>
        <v>39.131172247095364</v>
      </c>
      <c r="E59" s="8">
        <f t="shared" si="9"/>
        <v>-5.684341886080802E-14</v>
      </c>
      <c r="F59" s="32"/>
      <c r="G59" s="8">
        <f t="shared" si="10"/>
        <v>0</v>
      </c>
      <c r="H59" s="8">
        <f t="shared" si="2"/>
        <v>-15.087987299771235</v>
      </c>
      <c r="I59" s="8">
        <f t="shared" si="11"/>
        <v>-7.815970093361102E-14</v>
      </c>
      <c r="J59" s="8">
        <f t="shared" si="12"/>
        <v>2.1316282072803006E-14</v>
      </c>
      <c r="K59" s="8">
        <f>'WSS-5 -- WACOC-Tx Tbl'!$D$10*J59</f>
        <v>3.9268135647250877E-16</v>
      </c>
      <c r="L59" s="8">
        <f>J59*('WSS-5 -- WACOC-Tx Tbl'!$D$11+'WSS-5 -- WACOC-Tx Tbl'!$D$12)</f>
        <v>1.1614172024110303E-15</v>
      </c>
      <c r="M59" s="26">
        <f t="shared" si="13"/>
        <v>25.925900675921202</v>
      </c>
      <c r="N59" s="8">
        <f t="shared" si="3"/>
        <v>-9.094947017729283E-17</v>
      </c>
      <c r="O59" s="8">
        <f t="shared" si="4"/>
        <v>7.288322257681475E-16</v>
      </c>
      <c r="P59" s="8">
        <f t="shared" si="5"/>
        <v>65.05707292301656</v>
      </c>
      <c r="Q59" s="17">
        <f>1/(1+'WSS-5 -- WACOC-Tx Tbl'!$F$13)^B59</f>
        <v>0.021845710442124373</v>
      </c>
      <c r="R59" s="16">
        <f t="shared" si="6"/>
        <v>1.4212179772883897</v>
      </c>
      <c r="S59" s="8">
        <f t="shared" si="14"/>
        <v>240.94967158535542</v>
      </c>
      <c r="T59" s="5">
        <f t="shared" si="7"/>
        <v>0.05541794362152937</v>
      </c>
      <c r="U59" s="2">
        <v>30</v>
      </c>
    </row>
    <row r="60" spans="17:18" ht="15" customHeight="1">
      <c r="Q60" s="17"/>
      <c r="R60" s="14"/>
    </row>
    <row r="61" spans="16:18" ht="15" customHeight="1">
      <c r="P61" s="14">
        <f>SUM(P30:P60)</f>
        <v>3245.2538030192295</v>
      </c>
      <c r="R61" s="14">
        <f>SUM(R30:R59)</f>
        <v>240.94967158535542</v>
      </c>
    </row>
    <row r="62" ht="15" customHeight="1"/>
    <row r="63" spans="17:18" ht="12.75">
      <c r="Q63" s="22" t="s">
        <v>51</v>
      </c>
      <c r="R63" s="29">
        <f>-PMT('WSS-5 -- WACOC-Tx Tbl'!F13,61,'WSS-5 -- PVR 2048'!R61)</f>
        <v>16.187171377267468</v>
      </c>
    </row>
    <row r="64" spans="9:18" ht="15">
      <c r="I64" s="21"/>
      <c r="Q64" s="28" t="s">
        <v>52</v>
      </c>
      <c r="R64" s="24">
        <f>R63/12</f>
        <v>1.3489309481056224</v>
      </c>
    </row>
    <row r="65" spans="9:18" ht="15">
      <c r="I65" s="21"/>
      <c r="R65" s="21"/>
    </row>
  </sheetData>
  <sheetProtection/>
  <mergeCells count="6">
    <mergeCell ref="C1:G1"/>
    <mergeCell ref="K1:P1"/>
    <mergeCell ref="C2:G2"/>
    <mergeCell ref="K2:P2"/>
    <mergeCell ref="C3:G3"/>
    <mergeCell ref="K3:P3"/>
  </mergeCells>
  <printOptions/>
  <pageMargins left="0.75" right="0.75" top="1" bottom="1" header="0.5" footer="0.5"/>
  <pageSetup firstPageNumber="2" useFirstPageNumber="1" horizontalDpi="600" verticalDpi="600" orientation="portrait" scale="65" r:id="rId1"/>
  <headerFooter scaleWithDoc="0" alignWithMargins="0">
    <oddHeader>&amp;R&amp;"Times New Roman,Bold"&amp;12Rebuttal Testimony WSS-5
Page &amp;P of 3</oddHeader>
    <evenFooter>&amp;R&amp;12Seelye Exhibit 12
Page 5 of 10</even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2017-04-06T15:10:02Z</dcterms:created>
  <dcterms:modified xsi:type="dcterms:W3CDTF">2017-04-06T15:10:09Z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;#KU;#</vt:lpwstr>
  </property>
  <property fmtid="{D5CDD505-2E9C-101B-9397-08002B2CF9AE}" pid="4" name="Ye">
    <vt:lpwstr>2016</vt:lpwstr>
  </property>
  <property fmtid="{D5CDD505-2E9C-101B-9397-08002B2CF9AE}" pid="5" name="Rate Case Ty">
    <vt:lpwstr>Kentucky</vt:lpwstr>
  </property>
  <property fmtid="{D5CDD505-2E9C-101B-9397-08002B2CF9AE}" pid="6" name="Document Ty">
    <vt:lpwstr>Rebuttal Testimony</vt:lpwstr>
  </property>
  <property fmtid="{D5CDD505-2E9C-101B-9397-08002B2CF9AE}" pid="7" name="Witness Testimo">
    <vt:lpwstr>Seelye, Steve (The Prime Group)</vt:lpwstr>
  </property>
</Properties>
</file>