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Rate Case 2015\Electronic Filing\Final Docs\PSC 2nd Request\Excel Items (Final)\"/>
    </mc:Choice>
  </mc:AlternateContent>
  <bookViews>
    <workbookView xWindow="0" yWindow="1200" windowWidth="23895" windowHeight="8850" activeTab="3"/>
  </bookViews>
  <sheets>
    <sheet name="adjusted is" sheetId="4" r:id="rId1"/>
    <sheet name="adjusted bs " sheetId="1" r:id="rId2"/>
    <sheet name="adjustments" sheetId="2" r:id="rId3"/>
    <sheet name="proposed rev" sheetId="3" r:id="rId4"/>
  </sheets>
  <externalReferences>
    <externalReference r:id="rId5"/>
    <externalReference r:id="rId6"/>
  </externalReferences>
  <definedNames>
    <definedName name="_xlnm.Print_Area" localSheetId="1">'adjusted bs '!$A$1:$H$50</definedName>
    <definedName name="_xlnm.Print_Area" localSheetId="0">'adjusted is'!$A$1:$K$46</definedName>
    <definedName name="_xlnm.Print_Area" localSheetId="2">adjustments!$A$1:$U$50</definedName>
    <definedName name="_xlnm.Print_Area" localSheetId="3">'proposed rev'!$A$1:$H$34</definedName>
  </definedNames>
  <calcPr calcId="152511"/>
</workbook>
</file>

<file path=xl/calcChain.xml><?xml version="1.0" encoding="utf-8"?>
<calcChain xmlns="http://schemas.openxmlformats.org/spreadsheetml/2006/main">
  <c r="G12" i="3" l="1"/>
  <c r="Q45" i="2" l="1"/>
  <c r="Q36" i="2"/>
  <c r="Q28" i="2"/>
  <c r="S13" i="2"/>
  <c r="E11" i="4" s="1"/>
  <c r="Q15" i="2"/>
  <c r="Q38" i="2" s="1"/>
  <c r="Q48" i="2" s="1"/>
  <c r="T26" i="2" l="1"/>
  <c r="R11" i="2" l="1"/>
  <c r="G9" i="4"/>
  <c r="E30" i="4" l="1"/>
  <c r="C32" i="1" l="1"/>
  <c r="C25" i="1"/>
  <c r="C20" i="1" l="1"/>
  <c r="C19" i="1"/>
  <c r="C17" i="4"/>
  <c r="N15" i="4" s="1"/>
  <c r="G35" i="1" l="1"/>
  <c r="C33" i="1"/>
  <c r="G19" i="1"/>
  <c r="C13" i="4"/>
  <c r="B2" i="1"/>
  <c r="B2" i="2" s="1"/>
  <c r="B53" i="2" s="1"/>
  <c r="B1" i="1"/>
  <c r="B1" i="2" s="1"/>
  <c r="B52" i="2" s="1"/>
  <c r="T12" i="2"/>
  <c r="E10" i="4" s="1"/>
  <c r="G10" i="4" s="1"/>
  <c r="K10" i="4" s="1"/>
  <c r="T11" i="2"/>
  <c r="E9" i="4" s="1"/>
  <c r="N8" i="4" s="1"/>
  <c r="T13" i="2"/>
  <c r="T20" i="2"/>
  <c r="E18" i="4"/>
  <c r="T21" i="2"/>
  <c r="E19" i="4" s="1"/>
  <c r="T22" i="2"/>
  <c r="E20" i="4" s="1"/>
  <c r="G20" i="4" s="1"/>
  <c r="K20" i="4" s="1"/>
  <c r="T23" i="2"/>
  <c r="E21" i="4" s="1"/>
  <c r="G21" i="4" s="1"/>
  <c r="K21" i="4" s="1"/>
  <c r="T24" i="2"/>
  <c r="E22" i="4" s="1"/>
  <c r="G22" i="4" s="1"/>
  <c r="K22" i="4" s="1"/>
  <c r="T25" i="2"/>
  <c r="E23" i="4" s="1"/>
  <c r="G23" i="4" s="1"/>
  <c r="K23" i="4" s="1"/>
  <c r="E24" i="4"/>
  <c r="G24" i="4" s="1"/>
  <c r="K24" i="4" s="1"/>
  <c r="T19" i="2"/>
  <c r="E17" i="4"/>
  <c r="T31" i="2"/>
  <c r="E29" i="4" s="1"/>
  <c r="G29" i="4" s="1"/>
  <c r="K29" i="4" s="1"/>
  <c r="T30" i="2"/>
  <c r="E28" i="4" s="1"/>
  <c r="G28" i="4" s="1"/>
  <c r="K28" i="4" s="1"/>
  <c r="T32" i="2"/>
  <c r="T33" i="2"/>
  <c r="E31" i="4" s="1"/>
  <c r="G31" i="4" s="1"/>
  <c r="K31" i="4" s="1"/>
  <c r="T34" i="2"/>
  <c r="E32" i="4" s="1"/>
  <c r="G32" i="4" s="1"/>
  <c r="K32" i="4" s="1"/>
  <c r="O42" i="2"/>
  <c r="O45" i="2" s="1"/>
  <c r="T40" i="2"/>
  <c r="E38" i="4" s="1"/>
  <c r="G38" i="4" s="1"/>
  <c r="K38" i="4" s="1"/>
  <c r="T41" i="2"/>
  <c r="E39" i="4" s="1"/>
  <c r="G39" i="4" s="1"/>
  <c r="K39" i="4" s="1"/>
  <c r="T43" i="2"/>
  <c r="E41" i="4" s="1"/>
  <c r="G41" i="4" s="1"/>
  <c r="K41" i="4" s="1"/>
  <c r="A2" i="4"/>
  <c r="A3" i="4" s="1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I26" i="4"/>
  <c r="I34" i="4" s="1"/>
  <c r="E45" i="2"/>
  <c r="F45" i="2"/>
  <c r="G45" i="2"/>
  <c r="H45" i="2"/>
  <c r="I45" i="2"/>
  <c r="J45" i="2"/>
  <c r="K45" i="2"/>
  <c r="L45" i="2"/>
  <c r="M45" i="2"/>
  <c r="N45" i="2"/>
  <c r="P45" i="2"/>
  <c r="R45" i="2"/>
  <c r="S45" i="2"/>
  <c r="D45" i="2"/>
  <c r="C12" i="1"/>
  <c r="C14" i="1" s="1"/>
  <c r="C44" i="1"/>
  <c r="O15" i="2"/>
  <c r="O28" i="2"/>
  <c r="O36" i="2" s="1"/>
  <c r="A1" i="2"/>
  <c r="A2" i="2" s="1"/>
  <c r="A3" i="2" s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1" i="3"/>
  <c r="A2" i="3" s="1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S15" i="2"/>
  <c r="S28" i="2"/>
  <c r="S36" i="2" s="1"/>
  <c r="R15" i="2"/>
  <c r="R28" i="2"/>
  <c r="R36" i="2" s="1"/>
  <c r="P15" i="2"/>
  <c r="N15" i="2"/>
  <c r="N28" i="2"/>
  <c r="N36" i="2" s="1"/>
  <c r="M15" i="2"/>
  <c r="M28" i="2"/>
  <c r="M36" i="2" s="1"/>
  <c r="L15" i="2"/>
  <c r="L28" i="2"/>
  <c r="L36" i="2" s="1"/>
  <c r="K15" i="2"/>
  <c r="K28" i="2"/>
  <c r="K36" i="2" s="1"/>
  <c r="J15" i="2"/>
  <c r="J28" i="2"/>
  <c r="J36" i="2" s="1"/>
  <c r="I15" i="2"/>
  <c r="I28" i="2"/>
  <c r="I36" i="2" s="1"/>
  <c r="H15" i="2"/>
  <c r="H38" i="2" s="1"/>
  <c r="H48" i="2" s="1"/>
  <c r="H28" i="2"/>
  <c r="H36" i="2" s="1"/>
  <c r="G15" i="2"/>
  <c r="G28" i="2"/>
  <c r="G36" i="2" s="1"/>
  <c r="F15" i="2"/>
  <c r="F28" i="2"/>
  <c r="E15" i="2"/>
  <c r="E28" i="2"/>
  <c r="E36" i="2" s="1"/>
  <c r="D15" i="2"/>
  <c r="D28" i="2"/>
  <c r="D36" i="2" s="1"/>
  <c r="A2" i="1"/>
  <c r="A3" i="1" s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G31" i="1"/>
  <c r="G37" i="1"/>
  <c r="G40" i="1"/>
  <c r="G41" i="1"/>
  <c r="G42" i="1"/>
  <c r="G43" i="1"/>
  <c r="G46" i="1"/>
  <c r="G10" i="1"/>
  <c r="G11" i="1"/>
  <c r="G16" i="1"/>
  <c r="G21" i="1"/>
  <c r="G22" i="1"/>
  <c r="C23" i="1"/>
  <c r="G20" i="1"/>
  <c r="P28" i="2"/>
  <c r="P36" i="2" s="1"/>
  <c r="T42" i="2"/>
  <c r="E40" i="4" s="1"/>
  <c r="G40" i="4" s="1"/>
  <c r="K40" i="4" s="1"/>
  <c r="B5" i="3"/>
  <c r="P38" i="2" l="1"/>
  <c r="P48" i="2" s="1"/>
  <c r="G44" i="1"/>
  <c r="D38" i="2"/>
  <c r="D48" i="2" s="1"/>
  <c r="J38" i="2"/>
  <c r="J48" i="2" s="1"/>
  <c r="L38" i="2"/>
  <c r="L48" i="2" s="1"/>
  <c r="E38" i="2"/>
  <c r="G11" i="4"/>
  <c r="K11" i="4" s="1"/>
  <c r="E48" i="2"/>
  <c r="F36" i="2"/>
  <c r="F38" i="2" s="1"/>
  <c r="F48" i="2" s="1"/>
  <c r="G30" i="4"/>
  <c r="K30" i="4" s="1"/>
  <c r="T15" i="2"/>
  <c r="R38" i="2"/>
  <c r="R48" i="2" s="1"/>
  <c r="N38" i="2"/>
  <c r="N48" i="2" s="1"/>
  <c r="E13" i="1"/>
  <c r="G19" i="4"/>
  <c r="K19" i="4" s="1"/>
  <c r="E26" i="4"/>
  <c r="E34" i="4" s="1"/>
  <c r="T28" i="2"/>
  <c r="T36" i="2" s="1"/>
  <c r="S38" i="2"/>
  <c r="S48" i="2" s="1"/>
  <c r="O38" i="2"/>
  <c r="O48" i="2" s="1"/>
  <c r="C48" i="1"/>
  <c r="G23" i="1"/>
  <c r="C27" i="1"/>
  <c r="G12" i="1"/>
  <c r="T45" i="2"/>
  <c r="E13" i="4"/>
  <c r="K38" i="2"/>
  <c r="K48" i="2" s="1"/>
  <c r="B6" i="3"/>
  <c r="G38" i="2"/>
  <c r="G48" i="2" s="1"/>
  <c r="I38" i="2"/>
  <c r="I48" i="2" s="1"/>
  <c r="M38" i="2"/>
  <c r="M48" i="2" s="1"/>
  <c r="G18" i="4"/>
  <c r="K18" i="4" s="1"/>
  <c r="E36" i="4" l="1"/>
  <c r="E43" i="4" s="1"/>
  <c r="T38" i="2"/>
  <c r="T48" i="2" s="1"/>
  <c r="G13" i="1"/>
  <c r="G14" i="1" s="1"/>
  <c r="E14" i="1"/>
  <c r="C26" i="4"/>
  <c r="C34" i="4" s="1"/>
  <c r="C36" i="4" s="1"/>
  <c r="G17" i="4"/>
  <c r="G13" i="4"/>
  <c r="C43" i="4" l="1"/>
  <c r="C53" i="4" s="1"/>
  <c r="C55" i="4"/>
  <c r="K17" i="4"/>
  <c r="K26" i="4" s="1"/>
  <c r="K34" i="4" s="1"/>
  <c r="G26" i="4"/>
  <c r="G34" i="4" s="1"/>
  <c r="C46" i="4"/>
  <c r="C45" i="4"/>
  <c r="G36" i="4" l="1"/>
  <c r="G43" i="4" s="1"/>
  <c r="I49" i="4" l="1"/>
  <c r="I50" i="4" s="1"/>
  <c r="G45" i="4"/>
  <c r="G14" i="3"/>
  <c r="G17" i="3"/>
  <c r="K12" i="3" l="1"/>
  <c r="I9" i="4"/>
  <c r="K9" i="4" s="1"/>
  <c r="K13" i="4" s="1"/>
  <c r="K36" i="4" s="1"/>
  <c r="K43" i="4" s="1"/>
  <c r="K45" i="4" s="1"/>
  <c r="E32" i="1"/>
  <c r="R11" i="4"/>
  <c r="I13" i="4"/>
  <c r="I36" i="4" s="1"/>
  <c r="I43" i="4" s="1"/>
  <c r="G32" i="1" l="1"/>
  <c r="G33" i="1" s="1"/>
  <c r="G48" i="1" s="1"/>
  <c r="E33" i="1"/>
  <c r="E48" i="1" s="1"/>
  <c r="E25" i="1" s="1"/>
  <c r="E27" i="1" l="1"/>
  <c r="G25" i="1"/>
  <c r="G27" i="1" s="1"/>
</calcChain>
</file>

<file path=xl/sharedStrings.xml><?xml version="1.0" encoding="utf-8"?>
<sst xmlns="http://schemas.openxmlformats.org/spreadsheetml/2006/main" count="380" uniqueCount="161">
  <si>
    <t>page 1 of 4</t>
  </si>
  <si>
    <t>Balance Sheet, Adjusted</t>
  </si>
  <si>
    <t>Actual</t>
  </si>
  <si>
    <t>Adjustments</t>
  </si>
  <si>
    <t>Adjusted</t>
  </si>
  <si>
    <t>Test Year</t>
  </si>
  <si>
    <t>to Test Year</t>
  </si>
  <si>
    <t>Electric Plant:</t>
  </si>
  <si>
    <t xml:space="preserve">  In service</t>
  </si>
  <si>
    <t xml:space="preserve">  Under construction</t>
  </si>
  <si>
    <t xml:space="preserve">  Less accumulated depreciation</t>
  </si>
  <si>
    <t>Investments</t>
  </si>
  <si>
    <t>Current Assets:</t>
  </si>
  <si>
    <t xml:space="preserve">  Cash and temporary investments</t>
  </si>
  <si>
    <t xml:space="preserve">  Accounts receivable, net</t>
  </si>
  <si>
    <t xml:space="preserve">  Material and supplies</t>
  </si>
  <si>
    <t xml:space="preserve">  Prepayments and current assets</t>
  </si>
  <si>
    <t xml:space="preserve">    Total</t>
  </si>
  <si>
    <t xml:space="preserve">  Memberships</t>
  </si>
  <si>
    <t xml:space="preserve">  Patronage capital</t>
  </si>
  <si>
    <t>Long Term Debt</t>
  </si>
  <si>
    <t>Accumulated Operating Provisions</t>
  </si>
  <si>
    <t>Current Liabilities:</t>
  </si>
  <si>
    <t xml:space="preserve">  Short term borrowings</t>
  </si>
  <si>
    <t xml:space="preserve">  Accounts payable</t>
  </si>
  <si>
    <t xml:space="preserve">  Consumer deposits</t>
  </si>
  <si>
    <t xml:space="preserve">  Accrued expenses</t>
  </si>
  <si>
    <t>Deferred credits</t>
  </si>
  <si>
    <t>page 2 of 4</t>
  </si>
  <si>
    <t>Statement of Operations, Adjusted</t>
  </si>
  <si>
    <t>Normalized</t>
  </si>
  <si>
    <t>Proposed</t>
  </si>
  <si>
    <t>Increase</t>
  </si>
  <si>
    <t>Operating Revenues:</t>
  </si>
  <si>
    <t xml:space="preserve">    Base rates</t>
  </si>
  <si>
    <t xml:space="preserve">    Fuel and surcharge</t>
  </si>
  <si>
    <t xml:space="preserve">  Other electric revenue</t>
  </si>
  <si>
    <t>Operating Expenses:</t>
  </si>
  <si>
    <t xml:space="preserve">  Cost of power:</t>
  </si>
  <si>
    <t xml:space="preserve">        Base rates</t>
  </si>
  <si>
    <t xml:space="preserve">        Fuel and surcharge</t>
  </si>
  <si>
    <t xml:space="preserve">  Distribution - operations</t>
  </si>
  <si>
    <t xml:space="preserve">  Distribution - maintenance</t>
  </si>
  <si>
    <t xml:space="preserve">  Consumer accounts</t>
  </si>
  <si>
    <t xml:space="preserve">  Customer service</t>
  </si>
  <si>
    <t xml:space="preserve">  Sales</t>
  </si>
  <si>
    <t xml:space="preserve">  Administrative and general</t>
  </si>
  <si>
    <t xml:space="preserve">    Total operating expenses</t>
  </si>
  <si>
    <t xml:space="preserve">  Depreciation</t>
  </si>
  <si>
    <t xml:space="preserve">  Taxes - other</t>
  </si>
  <si>
    <t xml:space="preserve">  Interest on long-term debt</t>
  </si>
  <si>
    <t xml:space="preserve">  Interest expense - other</t>
  </si>
  <si>
    <t xml:space="preserve">  Other deductions</t>
  </si>
  <si>
    <t xml:space="preserve">    Total cost of electric service</t>
  </si>
  <si>
    <t xml:space="preserve">    Utility operating margins</t>
  </si>
  <si>
    <t>Nonoperating margins, interest</t>
  </si>
  <si>
    <t>Nonoperating margins, other</t>
  </si>
  <si>
    <t xml:space="preserve">    Net Margins</t>
  </si>
  <si>
    <t>page 3 of 4</t>
  </si>
  <si>
    <t>Summary of Adjustments to Test Year</t>
  </si>
  <si>
    <t>Adj 1</t>
  </si>
  <si>
    <t>Adj 2</t>
  </si>
  <si>
    <t>Adj 3</t>
  </si>
  <si>
    <t>Adj 4</t>
  </si>
  <si>
    <t>Adj 5</t>
  </si>
  <si>
    <t>Adj 6</t>
  </si>
  <si>
    <t>Adj 7</t>
  </si>
  <si>
    <t>Adj 8</t>
  </si>
  <si>
    <t>Adj 9</t>
  </si>
  <si>
    <t>Adj 10</t>
  </si>
  <si>
    <t>Adj 11</t>
  </si>
  <si>
    <t>Adj 12</t>
  </si>
  <si>
    <t>Adj 13</t>
  </si>
  <si>
    <t>Adj 14</t>
  </si>
  <si>
    <t>Adj 15</t>
  </si>
  <si>
    <t>Normalize</t>
  </si>
  <si>
    <t>Payroll</t>
  </si>
  <si>
    <t>FAS 106</t>
  </si>
  <si>
    <t>Professional</t>
  </si>
  <si>
    <t>Misc</t>
  </si>
  <si>
    <t>Rate</t>
  </si>
  <si>
    <t>Purchase</t>
  </si>
  <si>
    <t>Additional</t>
  </si>
  <si>
    <t>Salaries</t>
  </si>
  <si>
    <t>Taxes</t>
  </si>
  <si>
    <t>Deprec</t>
  </si>
  <si>
    <t>Interest</t>
  </si>
  <si>
    <t>Retirement</t>
  </si>
  <si>
    <t>Donations</t>
  </si>
  <si>
    <t>Fees</t>
  </si>
  <si>
    <t>Directors</t>
  </si>
  <si>
    <t>Expenses</t>
  </si>
  <si>
    <t>Case</t>
  </si>
  <si>
    <t>Power</t>
  </si>
  <si>
    <t>Revenue</t>
  </si>
  <si>
    <t>Total</t>
  </si>
  <si>
    <t xml:space="preserve">  Base rates</t>
  </si>
  <si>
    <t xml:space="preserve">  Fuel and surcharge</t>
  </si>
  <si>
    <t>----------</t>
  </si>
  <si>
    <t>Patronage capital credits</t>
  </si>
  <si>
    <t>======</t>
  </si>
  <si>
    <t>page 4 of 4</t>
  </si>
  <si>
    <t>Proposed Revenues</t>
  </si>
  <si>
    <t>Normalized margins</t>
  </si>
  <si>
    <t>Proposed increase in revenues over normalized revenues</t>
  </si>
  <si>
    <t>Deferred debits and net change in assets</t>
  </si>
  <si>
    <t>Salaries and wages</t>
  </si>
  <si>
    <t>Payroll taxes</t>
  </si>
  <si>
    <t>Depreciation</t>
  </si>
  <si>
    <t>Property taxes</t>
  </si>
  <si>
    <t>Interest, long term</t>
  </si>
  <si>
    <t>Interest, short term</t>
  </si>
  <si>
    <t>R &amp; S retirement</t>
  </si>
  <si>
    <t>Professional fees</t>
  </si>
  <si>
    <t>Director expenses</t>
  </si>
  <si>
    <t>Miscellaneous and advertising</t>
  </si>
  <si>
    <t>Rate case</t>
  </si>
  <si>
    <t>Payroll taxes on above</t>
  </si>
  <si>
    <t>Current assessments and rates</t>
  </si>
  <si>
    <t>End of year balance by proposed rates, some advances in unsual circumstances</t>
  </si>
  <si>
    <t>Remove short term interest</t>
  </si>
  <si>
    <t>Updated study</t>
  </si>
  <si>
    <t>Current rates, based on wages</t>
  </si>
  <si>
    <t>Remove all donations</t>
  </si>
  <si>
    <t>Remove health insurance, Legislative conference, per diems, non-KAEC director at annual mtg</t>
  </si>
  <si>
    <t xml:space="preserve">Remove church, school, social and sponsorship advertising;  employee picnics, flowers,etc;  </t>
  </si>
  <si>
    <t>Annual meeting</t>
  </si>
  <si>
    <t xml:space="preserve">    chamber of commerce expenses;  Washington Youth tour, </t>
  </si>
  <si>
    <t>Current employees with current pay rates.  Exclude Christmas bonus.</t>
  </si>
  <si>
    <t>Explanation of Adjustments</t>
  </si>
  <si>
    <t>Remove non-recurring, attorney at KAEC and NRECA meetings,  insurance premiums</t>
  </si>
  <si>
    <t>Scholarships;  giveaways;  prizes; nominating committee</t>
  </si>
  <si>
    <t>External costs allowed - legal, accounting, advertising, supplies</t>
  </si>
  <si>
    <t>G &amp; T capital credits</t>
  </si>
  <si>
    <t>G &amp; T</t>
  </si>
  <si>
    <t>Capital Cr</t>
  </si>
  <si>
    <t>R &amp; S</t>
  </si>
  <si>
    <t>Cumberland Valley Electric</t>
  </si>
  <si>
    <t>Witness:  Jim Adkins</t>
  </si>
  <si>
    <t>Witness: Jim Adkins</t>
  </si>
  <si>
    <t>Other capital credits</t>
  </si>
  <si>
    <t>TIER, total</t>
  </si>
  <si>
    <t>TIER, exclude G&amp;T</t>
  </si>
  <si>
    <t>Assets and Other Debits</t>
  </si>
  <si>
    <t>Liabilities and Other Credits</t>
  </si>
  <si>
    <t>Margins and Equities</t>
  </si>
  <si>
    <t>End of year balance by proposed rates, increase meters to 6.7%</t>
  </si>
  <si>
    <t xml:space="preserve">    Total cost of electric svc</t>
  </si>
  <si>
    <t>Advertising</t>
  </si>
  <si>
    <t xml:space="preserve"> </t>
  </si>
  <si>
    <t xml:space="preserve"> Revised Exhibit S</t>
  </si>
  <si>
    <t>Non-</t>
  </si>
  <si>
    <t>recurring</t>
  </si>
  <si>
    <t>Charges</t>
  </si>
  <si>
    <t>-----------</t>
  </si>
  <si>
    <t>------------</t>
  </si>
  <si>
    <t>=======</t>
  </si>
  <si>
    <t>Case No. 2016-00169</t>
  </si>
  <si>
    <t>Adj 16</t>
  </si>
  <si>
    <t>Margins for a TIER of 2.27X</t>
  </si>
  <si>
    <t xml:space="preserve">  to attain a TIER of 2.27x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</si>
</sst>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1" formatCode="_(* #,##0_);_(* \(#,##0\);_(* &quot;-&quot;_);_(@_)"/>
    <numFmt numFmtId="43" formatCode="_(* #,##0.00_);_(* \(#,##0.00\);_(* &quot;-&quot;??_);_(@_)"/>
    <numFmt numFmtId="164" formatCode="[$-409]mmmm\ d\,\ yyyy;@"/>
    <numFmt numFmtId="165" formatCode="_(&quot;$&quot;* #,##0_);_(&quot;$&quot;* \(#,##0\);_(&quot;$&quot;* &quot;-&quot;??_);_(@_)"/>
    <numFmt numFmtId="166" formatCode="_(* #,##0_);_(* \(#,##0\);_(* &quot;-&quot;??_);_(@_)"/>
  </numFmts>
  <fonts count="10">
    <font>
      <sz val="12"/>
      <name val="P-TIMES"/>
    </font>
    <font>
      <sz val="8"/>
      <name val="P-TIMES"/>
    </font>
    <font>
      <sz val="12"/>
      <name val="P-TIMES"/>
    </font>
    <font>
      <sz val="12"/>
      <name val="Times New Roman"/>
      <family val="1"/>
    </font>
    <font>
      <u/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theme="1"/>
      <name val="Calibri"/>
      <family val="2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0" applyFont="1" applyAlignment="1" applyProtection="1">
      <alignment horizontal="left"/>
    </xf>
    <xf numFmtId="37" fontId="0" fillId="0" borderId="0" xfId="0" applyNumberFormat="1" applyProtection="1"/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0" xfId="0" applyFont="1"/>
    <xf numFmtId="3" fontId="0" fillId="0" borderId="0" xfId="0" applyNumberFormat="1"/>
    <xf numFmtId="37" fontId="3" fillId="0" borderId="0" xfId="0" applyNumberFormat="1" applyFont="1" applyProtection="1"/>
    <xf numFmtId="0" fontId="3" fillId="0" borderId="0" xfId="0" applyFont="1"/>
    <xf numFmtId="0" fontId="3" fillId="0" borderId="0" xfId="0" applyFont="1" applyAlignment="1" applyProtection="1">
      <alignment horizontal="centerContinuous"/>
    </xf>
    <xf numFmtId="0" fontId="3" fillId="0" borderId="0" xfId="0" applyFont="1" applyProtection="1"/>
    <xf numFmtId="0" fontId="3" fillId="0" borderId="0" xfId="0" applyFont="1" applyAlignment="1" applyProtection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Protection="1"/>
    <xf numFmtId="0" fontId="5" fillId="0" borderId="0" xfId="0" applyFont="1" applyAlignment="1" applyProtection="1">
      <alignment horizontal="centerContinuous"/>
    </xf>
    <xf numFmtId="39" fontId="3" fillId="0" borderId="0" xfId="0" applyNumberFormat="1" applyFont="1" applyProtection="1"/>
    <xf numFmtId="10" fontId="3" fillId="0" borderId="0" xfId="0" applyNumberFormat="1" applyFont="1" applyProtection="1"/>
    <xf numFmtId="41" fontId="3" fillId="0" borderId="0" xfId="0" applyNumberFormat="1" applyFont="1" applyProtection="1"/>
    <xf numFmtId="41" fontId="3" fillId="0" borderId="1" xfId="0" applyNumberFormat="1" applyFont="1" applyBorder="1" applyProtection="1"/>
    <xf numFmtId="41" fontId="3" fillId="0" borderId="2" xfId="0" applyNumberFormat="1" applyFont="1" applyBorder="1" applyProtection="1"/>
    <xf numFmtId="41" fontId="3" fillId="0" borderId="0" xfId="0" applyNumberFormat="1" applyFont="1"/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37" fontId="6" fillId="0" borderId="0" xfId="0" applyNumberFormat="1" applyFont="1" applyProtection="1"/>
    <xf numFmtId="37" fontId="6" fillId="0" borderId="0" xfId="0" applyNumberFormat="1" applyFont="1" applyAlignment="1" applyProtection="1">
      <alignment horizontal="right"/>
    </xf>
    <xf numFmtId="37" fontId="3" fillId="0" borderId="0" xfId="0" applyNumberFormat="1" applyFont="1" applyAlignment="1" applyProtection="1">
      <alignment horizontal="right"/>
    </xf>
    <xf numFmtId="0" fontId="6" fillId="0" borderId="0" xfId="0" applyFont="1" applyProtection="1"/>
    <xf numFmtId="37" fontId="3" fillId="0" borderId="1" xfId="0" applyNumberFormat="1" applyFont="1" applyBorder="1" applyProtection="1"/>
    <xf numFmtId="5" fontId="3" fillId="0" borderId="2" xfId="0" applyNumberFormat="1" applyFont="1" applyBorder="1" applyProtection="1"/>
    <xf numFmtId="164" fontId="3" fillId="0" borderId="0" xfId="0" applyNumberFormat="1" applyFont="1" applyAlignment="1" applyProtection="1">
      <alignment horizontal="centerContinuous"/>
    </xf>
    <xf numFmtId="43" fontId="3" fillId="0" borderId="0" xfId="0" applyNumberFormat="1" applyFont="1"/>
    <xf numFmtId="0" fontId="7" fillId="0" borderId="0" xfId="0" applyFont="1" applyAlignment="1" applyProtection="1">
      <alignment horizontal="center"/>
    </xf>
    <xf numFmtId="165" fontId="8" fillId="2" borderId="0" xfId="0" applyNumberFormat="1" applyFont="1" applyFill="1"/>
    <xf numFmtId="5" fontId="3" fillId="0" borderId="0" xfId="0" applyNumberFormat="1" applyFont="1" applyProtection="1"/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6" xfId="0" applyFont="1" applyBorder="1" applyAlignment="1">
      <alignment horizontal="right"/>
    </xf>
    <xf numFmtId="0" fontId="3" fillId="0" borderId="6" xfId="0" applyFont="1" applyBorder="1"/>
    <xf numFmtId="0" fontId="5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6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37" fontId="3" fillId="0" borderId="0" xfId="0" applyNumberFormat="1" applyFont="1" applyBorder="1" applyProtection="1"/>
    <xf numFmtId="166" fontId="3" fillId="0" borderId="0" xfId="1" applyNumberFormat="1" applyFont="1" applyBorder="1"/>
    <xf numFmtId="0" fontId="0" fillId="0" borderId="0" xfId="0" applyBorder="1"/>
    <xf numFmtId="0" fontId="0" fillId="0" borderId="6" xfId="0" applyBorder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5" fontId="0" fillId="0" borderId="0" xfId="0" applyNumberFormat="1"/>
    <xf numFmtId="0" fontId="3" fillId="0" borderId="0" xfId="0" applyFont="1" applyAlignment="1">
      <alignment horizontal="center"/>
    </xf>
    <xf numFmtId="37" fontId="6" fillId="0" borderId="0" xfId="0" quotePrefix="1" applyNumberFormat="1" applyFont="1" applyAlignment="1" applyProtection="1">
      <alignment horizontal="right"/>
    </xf>
    <xf numFmtId="37" fontId="3" fillId="0" borderId="0" xfId="0" quotePrefix="1" applyNumberFormat="1" applyFont="1" applyAlignment="1" applyProtection="1">
      <alignment horizontal="right"/>
    </xf>
    <xf numFmtId="0" fontId="3" fillId="0" borderId="0" xfId="0" applyFont="1" applyAlignment="1">
      <alignment horizontal="center"/>
    </xf>
    <xf numFmtId="0" fontId="9" fillId="0" borderId="0" xfId="0" applyFont="1" applyAlignment="1" applyProtection="1">
      <alignment horizontal="left"/>
    </xf>
    <xf numFmtId="0" fontId="3" fillId="0" borderId="0" xfId="0" applyFont="1" applyAlignment="1">
      <alignment horizontal="center"/>
    </xf>
    <xf numFmtId="5" fontId="3" fillId="0" borderId="0" xfId="0" applyNumberFormat="1" applyFont="1"/>
    <xf numFmtId="166" fontId="0" fillId="0" borderId="0" xfId="1" applyNumberFormat="1" applyFont="1"/>
    <xf numFmtId="166" fontId="3" fillId="0" borderId="0" xfId="1" applyNumberFormat="1" applyFont="1"/>
    <xf numFmtId="37" fontId="0" fillId="0" borderId="0" xfId="0" applyNumberForma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VE%20Rate%20Case%202015\Billing%20Analysis\Revenue%20Analysis%201-12-16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venue%20Analysis%201-12-16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evenue Analysis"/>
      <sheetName val="Rate Change Summary"/>
      <sheetName val="Sheet1"/>
      <sheetName val="Yr End Cust Adj"/>
      <sheetName val="Purchased Power"/>
    </sheetNames>
    <sheetDataSet>
      <sheetData sheetId="0">
        <row r="19">
          <cell r="F19">
            <v>41190120.662710004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evenue Analysis"/>
      <sheetName val="Rate Change Summary"/>
      <sheetName val="Sheet1"/>
      <sheetName val="Yr End Cust Adj"/>
      <sheetName val="Purchased Powe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8">
          <cell r="D48">
            <v>-25924.854718182072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workbookViewId="0">
      <selection activeCell="P15" sqref="P15"/>
    </sheetView>
  </sheetViews>
  <sheetFormatPr defaultRowHeight="15.75"/>
  <cols>
    <col min="1" max="1" width="3.77734375" style="8" customWidth="1"/>
    <col min="2" max="2" width="20.77734375" style="8" customWidth="1"/>
    <col min="3" max="3" width="10.77734375" style="8" customWidth="1"/>
    <col min="4" max="4" width="1.77734375" style="8" customWidth="1"/>
    <col min="5" max="5" width="9.77734375" style="8" customWidth="1"/>
    <col min="6" max="6" width="1.77734375" style="8" customWidth="1"/>
    <col min="7" max="7" width="10.77734375" style="8" customWidth="1"/>
    <col min="8" max="8" width="1.77734375" style="8" customWidth="1"/>
    <col min="9" max="9" width="9.77734375" style="8" customWidth="1"/>
    <col min="10" max="10" width="1.77734375" style="8" customWidth="1"/>
    <col min="11" max="11" width="10.77734375" style="8" customWidth="1"/>
    <col min="12" max="13" width="8.88671875" style="8"/>
    <col min="14" max="14" width="11.21875" style="8" bestFit="1" customWidth="1"/>
    <col min="15" max="16384" width="8.88671875" style="8"/>
  </cols>
  <sheetData>
    <row r="1" spans="1:18" ht="18.75">
      <c r="A1" s="62">
        <v>1</v>
      </c>
      <c r="B1" s="15" t="s">
        <v>137</v>
      </c>
      <c r="C1" s="9"/>
      <c r="D1" s="9"/>
      <c r="E1" s="9"/>
      <c r="F1" s="9"/>
      <c r="G1" s="9"/>
      <c r="H1" s="9"/>
      <c r="I1" s="9"/>
      <c r="J1" s="9"/>
      <c r="K1" s="11" t="s">
        <v>150</v>
      </c>
    </row>
    <row r="2" spans="1:18" ht="18.75">
      <c r="A2" s="62">
        <f t="shared" ref="A2:A49" si="0">(A1+1)</f>
        <v>2</v>
      </c>
      <c r="B2" s="15" t="s">
        <v>157</v>
      </c>
      <c r="C2" s="9"/>
      <c r="D2" s="9"/>
      <c r="E2" s="9"/>
      <c r="F2" s="9"/>
      <c r="G2" s="9"/>
      <c r="H2" s="9"/>
      <c r="I2" s="9"/>
      <c r="J2" s="9"/>
      <c r="K2" s="11" t="s">
        <v>28</v>
      </c>
    </row>
    <row r="3" spans="1:18">
      <c r="A3" s="62">
        <f t="shared" si="0"/>
        <v>3</v>
      </c>
      <c r="B3" s="9" t="s">
        <v>29</v>
      </c>
      <c r="C3" s="9"/>
      <c r="D3" s="9"/>
      <c r="E3" s="9"/>
      <c r="F3" s="9"/>
      <c r="G3" s="9"/>
      <c r="H3" s="9"/>
      <c r="I3" s="9"/>
      <c r="J3" s="9"/>
      <c r="K3" s="11" t="s">
        <v>138</v>
      </c>
    </row>
    <row r="4" spans="1:18">
      <c r="A4" s="62">
        <f t="shared" si="0"/>
        <v>4</v>
      </c>
      <c r="B4" s="9"/>
      <c r="C4" s="9"/>
      <c r="D4" s="9"/>
      <c r="E4" s="9"/>
      <c r="F4" s="9"/>
      <c r="G4" s="9"/>
      <c r="H4" s="9"/>
      <c r="I4" s="9"/>
      <c r="J4" s="9"/>
    </row>
    <row r="5" spans="1:18">
      <c r="A5" s="62">
        <f t="shared" si="0"/>
        <v>5</v>
      </c>
      <c r="C5" s="61" t="s">
        <v>2</v>
      </c>
      <c r="E5" s="61" t="s">
        <v>30</v>
      </c>
      <c r="G5" s="61" t="s">
        <v>30</v>
      </c>
      <c r="I5" s="61" t="s">
        <v>31</v>
      </c>
      <c r="K5" s="61" t="s">
        <v>31</v>
      </c>
    </row>
    <row r="6" spans="1:18">
      <c r="A6" s="62">
        <f t="shared" si="0"/>
        <v>6</v>
      </c>
      <c r="B6" s="10"/>
      <c r="C6" s="13" t="s">
        <v>5</v>
      </c>
      <c r="D6" s="10"/>
      <c r="E6" s="13" t="s">
        <v>3</v>
      </c>
      <c r="F6" s="10"/>
      <c r="G6" s="13" t="s">
        <v>5</v>
      </c>
      <c r="H6" s="10"/>
      <c r="I6" s="13" t="s">
        <v>32</v>
      </c>
      <c r="J6" s="14"/>
      <c r="K6" s="13" t="s">
        <v>5</v>
      </c>
    </row>
    <row r="7" spans="1:18">
      <c r="A7" s="62">
        <f t="shared" si="0"/>
        <v>7</v>
      </c>
    </row>
    <row r="8" spans="1:18">
      <c r="A8" s="62">
        <f t="shared" si="0"/>
        <v>8</v>
      </c>
      <c r="B8" s="8" t="s">
        <v>33</v>
      </c>
      <c r="C8" s="21"/>
      <c r="D8" s="21"/>
      <c r="E8" s="21"/>
      <c r="F8" s="21"/>
      <c r="G8" s="21"/>
      <c r="H8" s="21"/>
      <c r="I8" s="21"/>
      <c r="J8" s="21"/>
      <c r="K8" s="21"/>
      <c r="N8" s="21">
        <f>(C9+E9)</f>
        <v>41190120.962710001</v>
      </c>
    </row>
    <row r="9" spans="1:18">
      <c r="A9" s="62">
        <f t="shared" si="0"/>
        <v>9</v>
      </c>
      <c r="B9" s="10" t="s">
        <v>34</v>
      </c>
      <c r="C9" s="18">
        <v>41038598.704500005</v>
      </c>
      <c r="D9" s="18"/>
      <c r="E9" s="18">
        <f>adjustments!T11</f>
        <v>151522.25820999601</v>
      </c>
      <c r="F9" s="18"/>
      <c r="G9" s="36">
        <f>([1]Summary!$F$19)</f>
        <v>41190120.662710004</v>
      </c>
      <c r="H9" s="18"/>
      <c r="I9" s="36">
        <f>('proposed rev'!G17)-22450</f>
        <v>1975811.9811256432</v>
      </c>
      <c r="J9" s="18"/>
      <c r="K9" s="36">
        <f>(G9+I9)</f>
        <v>43165932.643835649</v>
      </c>
    </row>
    <row r="10" spans="1:18">
      <c r="A10" s="62">
        <f t="shared" si="0"/>
        <v>10</v>
      </c>
      <c r="B10" s="10" t="s">
        <v>35</v>
      </c>
      <c r="C10" s="18">
        <v>2982174.1664891327</v>
      </c>
      <c r="D10" s="18"/>
      <c r="E10" s="18">
        <f>adjustments!T12</f>
        <v>-2982174</v>
      </c>
      <c r="F10" s="18"/>
      <c r="G10" s="18">
        <f>(C10+E10)</f>
        <v>0.16648913267999887</v>
      </c>
      <c r="H10" s="18"/>
      <c r="I10" s="18"/>
      <c r="J10" s="18"/>
      <c r="K10" s="18">
        <f>(G10+I10)</f>
        <v>0.16648913267999887</v>
      </c>
    </row>
    <row r="11" spans="1:18">
      <c r="A11" s="62">
        <f t="shared" si="0"/>
        <v>11</v>
      </c>
      <c r="B11" s="10" t="s">
        <v>36</v>
      </c>
      <c r="C11" s="19">
        <v>1646269</v>
      </c>
      <c r="D11" s="18"/>
      <c r="E11" s="19">
        <f>(adjustments!S13)</f>
        <v>-25924.854718182072</v>
      </c>
      <c r="F11" s="18"/>
      <c r="G11" s="19">
        <f>(C11+E11)</f>
        <v>1620344.145281818</v>
      </c>
      <c r="H11" s="18"/>
      <c r="I11" s="19">
        <v>22450</v>
      </c>
      <c r="J11" s="18"/>
      <c r="K11" s="19">
        <f>(G11+I11)</f>
        <v>1642794.145281818</v>
      </c>
      <c r="R11" s="64">
        <f>(I9-1975812)</f>
        <v>-1.887435675598681E-2</v>
      </c>
    </row>
    <row r="12" spans="1:18">
      <c r="A12" s="62">
        <f t="shared" si="0"/>
        <v>12</v>
      </c>
      <c r="B12" s="10"/>
      <c r="C12" s="18"/>
      <c r="D12" s="18"/>
      <c r="E12" s="18"/>
      <c r="F12" s="18"/>
      <c r="G12" s="18"/>
      <c r="H12" s="18"/>
      <c r="I12" s="18"/>
      <c r="J12" s="18"/>
      <c r="K12" s="18"/>
    </row>
    <row r="13" spans="1:18">
      <c r="A13" s="62">
        <f>(A12+1)</f>
        <v>13</v>
      </c>
      <c r="B13" s="10"/>
      <c r="C13" s="19">
        <f>SUM(C7:C11)</f>
        <v>45667041.870989136</v>
      </c>
      <c r="D13" s="18"/>
      <c r="E13" s="19">
        <f>SUM(E7:E11)</f>
        <v>-2856576.5965081863</v>
      </c>
      <c r="F13" s="18"/>
      <c r="G13" s="19">
        <f>SUM(G7:G11)</f>
        <v>42810464.974480957</v>
      </c>
      <c r="H13" s="18"/>
      <c r="I13" s="19">
        <f>SUM(I7:I11)</f>
        <v>1998261.9811256432</v>
      </c>
      <c r="J13" s="18"/>
      <c r="K13" s="19">
        <f>SUM(K7:K11)</f>
        <v>44808726.955606602</v>
      </c>
    </row>
    <row r="14" spans="1:18">
      <c r="A14" s="62">
        <f t="shared" si="0"/>
        <v>14</v>
      </c>
      <c r="B14" s="10"/>
      <c r="C14" s="18"/>
      <c r="D14" s="18"/>
      <c r="E14" s="18"/>
      <c r="F14" s="18"/>
      <c r="G14" s="18"/>
      <c r="H14" s="18"/>
      <c r="I14" s="18"/>
      <c r="J14" s="18"/>
      <c r="K14" s="18"/>
    </row>
    <row r="15" spans="1:18">
      <c r="A15" s="62">
        <f t="shared" si="0"/>
        <v>15</v>
      </c>
      <c r="B15" s="10" t="s">
        <v>37</v>
      </c>
      <c r="C15" s="18"/>
      <c r="D15" s="18"/>
      <c r="E15" s="18"/>
      <c r="F15" s="18"/>
      <c r="G15" s="18"/>
      <c r="H15" s="18"/>
      <c r="I15" s="18"/>
      <c r="J15" s="18"/>
      <c r="K15" s="18"/>
      <c r="N15" s="21">
        <f>SUM(C17:C18)</f>
        <v>34114726</v>
      </c>
    </row>
    <row r="16" spans="1:18">
      <c r="A16" s="62">
        <f t="shared" si="0"/>
        <v>16</v>
      </c>
      <c r="B16" s="10" t="s">
        <v>38</v>
      </c>
      <c r="C16" s="18"/>
      <c r="D16" s="18"/>
      <c r="E16" s="18"/>
      <c r="F16" s="18"/>
      <c r="G16" s="18"/>
      <c r="H16" s="18"/>
      <c r="I16" s="18"/>
      <c r="J16" s="18"/>
      <c r="K16" s="18"/>
    </row>
    <row r="17" spans="1:11">
      <c r="A17" s="62">
        <f t="shared" si="0"/>
        <v>17</v>
      </c>
      <c r="B17" s="10" t="s">
        <v>39</v>
      </c>
      <c r="C17" s="18">
        <f>34114726-C18</f>
        <v>31296277</v>
      </c>
      <c r="D17" s="18"/>
      <c r="E17" s="18">
        <f>adjustments!T19</f>
        <v>-17184</v>
      </c>
      <c r="F17" s="18"/>
      <c r="G17" s="18">
        <f t="shared" ref="G17:G24" si="1">(C17+E17)</f>
        <v>31279093</v>
      </c>
      <c r="H17" s="18"/>
      <c r="I17" s="18"/>
      <c r="J17" s="18"/>
      <c r="K17" s="18">
        <f t="shared" ref="K17:K24" si="2">(G17+I17)</f>
        <v>31279093</v>
      </c>
    </row>
    <row r="18" spans="1:11">
      <c r="A18" s="62">
        <f t="shared" si="0"/>
        <v>18</v>
      </c>
      <c r="B18" s="10" t="s">
        <v>40</v>
      </c>
      <c r="C18" s="18">
        <v>2818449</v>
      </c>
      <c r="D18" s="18"/>
      <c r="E18" s="18">
        <f>adjustments!T20</f>
        <v>-2818449</v>
      </c>
      <c r="F18" s="18"/>
      <c r="G18" s="18">
        <f t="shared" si="1"/>
        <v>0</v>
      </c>
      <c r="H18" s="18"/>
      <c r="I18" s="18"/>
      <c r="J18" s="18"/>
      <c r="K18" s="18">
        <f t="shared" si="2"/>
        <v>0</v>
      </c>
    </row>
    <row r="19" spans="1:11">
      <c r="A19" s="62">
        <f t="shared" si="0"/>
        <v>19</v>
      </c>
      <c r="B19" s="10" t="s">
        <v>41</v>
      </c>
      <c r="C19" s="18">
        <v>1411233</v>
      </c>
      <c r="D19" s="18"/>
      <c r="E19" s="18">
        <f>adjustments!T21</f>
        <v>5571</v>
      </c>
      <c r="F19" s="18"/>
      <c r="G19" s="18">
        <f t="shared" si="1"/>
        <v>1416804</v>
      </c>
      <c r="H19" s="18"/>
      <c r="I19" s="18"/>
      <c r="J19" s="18"/>
      <c r="K19" s="18">
        <f t="shared" si="2"/>
        <v>1416804</v>
      </c>
    </row>
    <row r="20" spans="1:11">
      <c r="A20" s="62">
        <f t="shared" si="0"/>
        <v>20</v>
      </c>
      <c r="B20" s="10" t="s">
        <v>42</v>
      </c>
      <c r="C20" s="18">
        <v>2881530</v>
      </c>
      <c r="D20" s="18"/>
      <c r="E20" s="18">
        <f>adjustments!T22</f>
        <v>19491</v>
      </c>
      <c r="F20" s="18"/>
      <c r="G20" s="18">
        <f t="shared" si="1"/>
        <v>2901021</v>
      </c>
      <c r="H20" s="18"/>
      <c r="I20" s="18"/>
      <c r="J20" s="18"/>
      <c r="K20" s="18">
        <f t="shared" si="2"/>
        <v>2901021</v>
      </c>
    </row>
    <row r="21" spans="1:11">
      <c r="A21" s="62">
        <f t="shared" si="0"/>
        <v>21</v>
      </c>
      <c r="B21" s="10" t="s">
        <v>43</v>
      </c>
      <c r="C21" s="18">
        <v>2011653</v>
      </c>
      <c r="D21" s="18"/>
      <c r="E21" s="18">
        <f>adjustments!T23</f>
        <v>18312</v>
      </c>
      <c r="F21" s="18"/>
      <c r="G21" s="18">
        <f t="shared" si="1"/>
        <v>2029965</v>
      </c>
      <c r="H21" s="18"/>
      <c r="I21" s="18"/>
      <c r="J21" s="18"/>
      <c r="K21" s="18">
        <f t="shared" si="2"/>
        <v>2029965</v>
      </c>
    </row>
    <row r="22" spans="1:11">
      <c r="A22" s="62">
        <f t="shared" si="0"/>
        <v>22</v>
      </c>
      <c r="B22" s="10" t="s">
        <v>44</v>
      </c>
      <c r="C22" s="18">
        <v>115054</v>
      </c>
      <c r="D22" s="18"/>
      <c r="E22" s="18">
        <f>adjustments!T24</f>
        <v>1213</v>
      </c>
      <c r="F22" s="18"/>
      <c r="G22" s="18">
        <f t="shared" si="1"/>
        <v>116267</v>
      </c>
      <c r="H22" s="18"/>
      <c r="I22" s="18"/>
      <c r="J22" s="18"/>
      <c r="K22" s="18">
        <f t="shared" si="2"/>
        <v>116267</v>
      </c>
    </row>
    <row r="23" spans="1:11">
      <c r="A23" s="62">
        <f t="shared" si="0"/>
        <v>23</v>
      </c>
      <c r="B23" s="10" t="s">
        <v>45</v>
      </c>
      <c r="C23" s="18">
        <v>0</v>
      </c>
      <c r="D23" s="18"/>
      <c r="E23" s="18">
        <f>adjustments!T25</f>
        <v>0</v>
      </c>
      <c r="F23" s="18"/>
      <c r="G23" s="18">
        <f t="shared" si="1"/>
        <v>0</v>
      </c>
      <c r="H23" s="18"/>
      <c r="I23" s="18"/>
      <c r="J23" s="18"/>
      <c r="K23" s="18">
        <f t="shared" si="2"/>
        <v>0</v>
      </c>
    </row>
    <row r="24" spans="1:11">
      <c r="A24" s="62">
        <f t="shared" si="0"/>
        <v>24</v>
      </c>
      <c r="B24" s="10" t="s">
        <v>46</v>
      </c>
      <c r="C24" s="19">
        <v>1511605</v>
      </c>
      <c r="D24" s="18"/>
      <c r="E24" s="19">
        <f>adjustments!T26</f>
        <v>-41017</v>
      </c>
      <c r="F24" s="18"/>
      <c r="G24" s="19">
        <f t="shared" si="1"/>
        <v>1470588</v>
      </c>
      <c r="H24" s="18"/>
      <c r="I24" s="19"/>
      <c r="J24" s="18"/>
      <c r="K24" s="19">
        <f t="shared" si="2"/>
        <v>1470588</v>
      </c>
    </row>
    <row r="25" spans="1:11">
      <c r="A25" s="62">
        <f t="shared" si="0"/>
        <v>25</v>
      </c>
      <c r="B25" s="10"/>
      <c r="C25" s="18"/>
      <c r="D25" s="18"/>
      <c r="E25" s="18"/>
      <c r="F25" s="18"/>
      <c r="G25" s="18"/>
      <c r="H25" s="18"/>
      <c r="I25" s="18"/>
      <c r="J25" s="18"/>
      <c r="K25" s="18"/>
    </row>
    <row r="26" spans="1:11">
      <c r="A26" s="62">
        <f t="shared" si="0"/>
        <v>26</v>
      </c>
      <c r="B26" s="10" t="s">
        <v>47</v>
      </c>
      <c r="C26" s="19">
        <f>SUM(C16:C24)</f>
        <v>42045801</v>
      </c>
      <c r="D26" s="18"/>
      <c r="E26" s="19">
        <f>SUM(E16:E24)</f>
        <v>-2832063</v>
      </c>
      <c r="F26" s="18"/>
      <c r="G26" s="19">
        <f>SUM(G16:G24)</f>
        <v>39213738</v>
      </c>
      <c r="H26" s="18"/>
      <c r="I26" s="19">
        <f>SUM(I16:I24)</f>
        <v>0</v>
      </c>
      <c r="J26" s="18"/>
      <c r="K26" s="19">
        <f>SUM(K16:K24)</f>
        <v>39213738</v>
      </c>
    </row>
    <row r="27" spans="1:11">
      <c r="A27" s="62">
        <f t="shared" si="0"/>
        <v>27</v>
      </c>
      <c r="B27" s="10"/>
      <c r="C27" s="18"/>
      <c r="D27" s="18"/>
      <c r="E27" s="18"/>
      <c r="F27" s="18"/>
      <c r="G27" s="18"/>
      <c r="H27" s="18"/>
      <c r="I27" s="18"/>
      <c r="J27" s="18"/>
      <c r="K27" s="18"/>
    </row>
    <row r="28" spans="1:11">
      <c r="A28" s="62">
        <f t="shared" si="0"/>
        <v>28</v>
      </c>
      <c r="B28" s="10" t="s">
        <v>48</v>
      </c>
      <c r="C28" s="18">
        <v>3485419</v>
      </c>
      <c r="D28" s="18"/>
      <c r="E28" s="18">
        <f>adjustments!T30</f>
        <v>219610</v>
      </c>
      <c r="F28" s="18"/>
      <c r="G28" s="18">
        <f>(C28+E28)</f>
        <v>3705029</v>
      </c>
      <c r="H28" s="18"/>
      <c r="I28" s="18"/>
      <c r="J28" s="18"/>
      <c r="K28" s="18">
        <f>(G28+I28)</f>
        <v>3705029</v>
      </c>
    </row>
    <row r="29" spans="1:11">
      <c r="A29" s="62">
        <f t="shared" si="0"/>
        <v>29</v>
      </c>
      <c r="B29" s="10" t="s">
        <v>49</v>
      </c>
      <c r="C29" s="18">
        <v>56395</v>
      </c>
      <c r="D29" s="18"/>
      <c r="E29" s="18">
        <f>adjustments!T31</f>
        <v>0</v>
      </c>
      <c r="F29" s="18"/>
      <c r="G29" s="18">
        <f>(C29+E29)</f>
        <v>56395</v>
      </c>
      <c r="H29" s="18"/>
      <c r="I29" s="18"/>
      <c r="J29" s="18"/>
      <c r="K29" s="18">
        <f>(G29+I29)</f>
        <v>56395</v>
      </c>
    </row>
    <row r="30" spans="1:11">
      <c r="A30" s="62">
        <f t="shared" si="0"/>
        <v>30</v>
      </c>
      <c r="B30" s="10" t="s">
        <v>50</v>
      </c>
      <c r="C30" s="18">
        <v>506126</v>
      </c>
      <c r="D30" s="18"/>
      <c r="E30" s="21">
        <f>(adjustments!G32)</f>
        <v>397503</v>
      </c>
      <c r="F30" s="18"/>
      <c r="G30" s="18">
        <f>(C30+E30)</f>
        <v>903629</v>
      </c>
      <c r="H30" s="18"/>
      <c r="I30" s="18"/>
      <c r="J30" s="18"/>
      <c r="K30" s="18">
        <f>(G30+I30)</f>
        <v>903629</v>
      </c>
    </row>
    <row r="31" spans="1:11">
      <c r="A31" s="62">
        <f t="shared" si="0"/>
        <v>31</v>
      </c>
      <c r="B31" s="10" t="s">
        <v>51</v>
      </c>
      <c r="C31" s="18">
        <v>3795</v>
      </c>
      <c r="D31" s="18"/>
      <c r="E31" s="18">
        <f>adjustments!T33</f>
        <v>0</v>
      </c>
      <c r="F31" s="18"/>
      <c r="G31" s="18">
        <f>(C31+E31)</f>
        <v>3795</v>
      </c>
      <c r="H31" s="18"/>
      <c r="I31" s="18"/>
      <c r="J31" s="18"/>
      <c r="K31" s="18">
        <f>(G31+I31)</f>
        <v>3795</v>
      </c>
    </row>
    <row r="32" spans="1:11">
      <c r="A32" s="62">
        <f t="shared" si="0"/>
        <v>32</v>
      </c>
      <c r="B32" s="10" t="s">
        <v>52</v>
      </c>
      <c r="C32" s="19">
        <v>12632</v>
      </c>
      <c r="D32" s="18"/>
      <c r="E32" s="19">
        <f>adjustments!T34</f>
        <v>-12632</v>
      </c>
      <c r="F32" s="18"/>
      <c r="G32" s="19">
        <f>(C32+E32)</f>
        <v>0</v>
      </c>
      <c r="H32" s="18"/>
      <c r="I32" s="19"/>
      <c r="J32" s="18"/>
      <c r="K32" s="19">
        <f>(G32+I32)</f>
        <v>0</v>
      </c>
    </row>
    <row r="33" spans="1:14">
      <c r="A33" s="62">
        <f t="shared" si="0"/>
        <v>33</v>
      </c>
      <c r="B33" s="10"/>
      <c r="C33" s="18"/>
      <c r="D33" s="18"/>
      <c r="E33" s="18"/>
      <c r="F33" s="18"/>
      <c r="G33" s="18"/>
      <c r="H33" s="18"/>
      <c r="I33" s="18"/>
      <c r="J33" s="18"/>
      <c r="K33" s="18"/>
    </row>
    <row r="34" spans="1:14">
      <c r="A34" s="62">
        <f t="shared" si="0"/>
        <v>34</v>
      </c>
      <c r="B34" s="10" t="s">
        <v>147</v>
      </c>
      <c r="C34" s="19">
        <f>(+C26+SUM(C28:C32))</f>
        <v>46110168</v>
      </c>
      <c r="D34" s="18"/>
      <c r="E34" s="19">
        <f>(+E26+SUM(E28:E32))</f>
        <v>-2227582</v>
      </c>
      <c r="F34" s="18"/>
      <c r="G34" s="19">
        <f>(+G26+SUM(G28:G32))</f>
        <v>43882586</v>
      </c>
      <c r="H34" s="18"/>
      <c r="I34" s="19">
        <f>(+I26+SUM(I28:I32))</f>
        <v>0</v>
      </c>
      <c r="J34" s="18"/>
      <c r="K34" s="19">
        <f>(+K26+SUM(K28:K32))</f>
        <v>43882586</v>
      </c>
    </row>
    <row r="35" spans="1:14">
      <c r="A35" s="62">
        <f t="shared" si="0"/>
        <v>35</v>
      </c>
      <c r="B35" s="10"/>
      <c r="C35" s="18"/>
      <c r="D35" s="18"/>
      <c r="E35" s="18"/>
      <c r="F35" s="18"/>
      <c r="G35" s="18"/>
      <c r="H35" s="18"/>
      <c r="I35" s="18"/>
      <c r="J35" s="18"/>
      <c r="K35" s="18"/>
    </row>
    <row r="36" spans="1:14">
      <c r="A36" s="62">
        <f t="shared" si="0"/>
        <v>36</v>
      </c>
      <c r="B36" s="10" t="s">
        <v>54</v>
      </c>
      <c r="C36" s="19">
        <f>(+C13-C34)</f>
        <v>-443126.1290108636</v>
      </c>
      <c r="D36" s="18"/>
      <c r="E36" s="19">
        <f>(+E13-E34)</f>
        <v>-628994.59650818631</v>
      </c>
      <c r="F36" s="18"/>
      <c r="G36" s="19">
        <f>(+G13-G34)</f>
        <v>-1072121.0255190432</v>
      </c>
      <c r="H36" s="18"/>
      <c r="I36" s="19">
        <f>(+I13-I34)</f>
        <v>1998261.9811256432</v>
      </c>
      <c r="J36" s="18"/>
      <c r="K36" s="19">
        <f>(+K13-K34)</f>
        <v>926140.95560660213</v>
      </c>
    </row>
    <row r="37" spans="1:14">
      <c r="A37" s="62">
        <f t="shared" si="0"/>
        <v>37</v>
      </c>
      <c r="B37" s="10"/>
      <c r="C37" s="18"/>
      <c r="D37" s="18"/>
      <c r="E37" s="18"/>
      <c r="F37" s="18"/>
      <c r="G37" s="18"/>
      <c r="H37" s="18"/>
      <c r="I37" s="18"/>
      <c r="J37" s="18"/>
      <c r="K37" s="18"/>
    </row>
    <row r="38" spans="1:14">
      <c r="A38" s="62">
        <f t="shared" si="0"/>
        <v>38</v>
      </c>
      <c r="B38" s="10" t="s">
        <v>55</v>
      </c>
      <c r="C38" s="18">
        <v>124232</v>
      </c>
      <c r="D38" s="18"/>
      <c r="E38" s="18">
        <f>adjustments!T40</f>
        <v>0</v>
      </c>
      <c r="F38" s="18"/>
      <c r="G38" s="18">
        <f>(+C38+E38)</f>
        <v>124232</v>
      </c>
      <c r="H38" s="18"/>
      <c r="I38" s="18"/>
      <c r="J38" s="18"/>
      <c r="K38" s="18">
        <f>(+G38+I38)</f>
        <v>124232</v>
      </c>
    </row>
    <row r="39" spans="1:14">
      <c r="A39" s="62">
        <f t="shared" si="0"/>
        <v>39</v>
      </c>
      <c r="B39" s="10" t="s">
        <v>56</v>
      </c>
      <c r="C39" s="18">
        <v>0</v>
      </c>
      <c r="D39" s="18"/>
      <c r="E39" s="18">
        <f>adjustments!T41</f>
        <v>0</v>
      </c>
      <c r="F39" s="18"/>
      <c r="G39" s="18">
        <f>(+C39+E39)</f>
        <v>0</v>
      </c>
      <c r="H39" s="18"/>
      <c r="I39" s="18"/>
      <c r="J39" s="18"/>
      <c r="K39" s="18">
        <f>(+G39+I39)</f>
        <v>0</v>
      </c>
    </row>
    <row r="40" spans="1:14">
      <c r="A40" s="62">
        <f t="shared" si="0"/>
        <v>40</v>
      </c>
      <c r="B40" s="10" t="s">
        <v>133</v>
      </c>
      <c r="C40" s="18">
        <v>2489156</v>
      </c>
      <c r="D40" s="18"/>
      <c r="E40" s="18">
        <f>adjustments!T42</f>
        <v>-2489156</v>
      </c>
      <c r="F40" s="18"/>
      <c r="G40" s="18">
        <f>(+C40+E40)</f>
        <v>0</v>
      </c>
      <c r="H40" s="18"/>
      <c r="I40" s="18"/>
      <c r="J40" s="18"/>
      <c r="K40" s="18">
        <f>(+G40+I40)</f>
        <v>0</v>
      </c>
    </row>
    <row r="41" spans="1:14">
      <c r="A41" s="62">
        <f t="shared" si="0"/>
        <v>41</v>
      </c>
      <c r="B41" s="10" t="s">
        <v>140</v>
      </c>
      <c r="C41" s="19">
        <v>96057</v>
      </c>
      <c r="D41" s="18"/>
      <c r="E41" s="19">
        <f>adjustments!T43</f>
        <v>0</v>
      </c>
      <c r="F41" s="18"/>
      <c r="G41" s="19">
        <f>(+C41+E41)</f>
        <v>96057</v>
      </c>
      <c r="H41" s="18"/>
      <c r="I41" s="19"/>
      <c r="J41" s="18"/>
      <c r="K41" s="19">
        <f>(+G41+I41)</f>
        <v>96057</v>
      </c>
    </row>
    <row r="42" spans="1:14">
      <c r="A42" s="62">
        <f t="shared" si="0"/>
        <v>42</v>
      </c>
      <c r="B42" s="10"/>
      <c r="C42" s="18"/>
      <c r="D42" s="18"/>
      <c r="E42" s="18"/>
      <c r="F42" s="18"/>
      <c r="G42" s="18"/>
      <c r="H42" s="18"/>
      <c r="I42" s="18"/>
      <c r="J42" s="18"/>
      <c r="K42" s="18"/>
      <c r="N42" s="8" t="s">
        <v>149</v>
      </c>
    </row>
    <row r="43" spans="1:14" ht="16.5" thickBot="1">
      <c r="A43" s="62">
        <f t="shared" si="0"/>
        <v>43</v>
      </c>
      <c r="B43" s="10" t="s">
        <v>57</v>
      </c>
      <c r="C43" s="20">
        <f>SUM(C36:C41)</f>
        <v>2266318.8709891364</v>
      </c>
      <c r="D43" s="18"/>
      <c r="E43" s="20">
        <f>SUM(E36:E41)</f>
        <v>-3118150.5965081863</v>
      </c>
      <c r="F43" s="18"/>
      <c r="G43" s="20">
        <f>SUM(G36:G41)</f>
        <v>-851832.02551904321</v>
      </c>
      <c r="H43" s="18"/>
      <c r="I43" s="20">
        <f>SUM(I36:I41)</f>
        <v>1998261.9811256432</v>
      </c>
      <c r="J43" s="18"/>
      <c r="K43" s="20">
        <f>SUM(K36:K41)</f>
        <v>1146429.9556066021</v>
      </c>
      <c r="N43" s="21" t="s">
        <v>149</v>
      </c>
    </row>
    <row r="44" spans="1:14" ht="16.5" thickTop="1">
      <c r="A44" s="62">
        <f t="shared" si="0"/>
        <v>44</v>
      </c>
    </row>
    <row r="45" spans="1:14">
      <c r="A45" s="62">
        <f t="shared" si="0"/>
        <v>45</v>
      </c>
      <c r="B45" s="10" t="s">
        <v>141</v>
      </c>
      <c r="C45" s="16">
        <f>((C43+C30)/C30)</f>
        <v>5.4777760300580018</v>
      </c>
      <c r="D45" s="10"/>
      <c r="E45" s="16"/>
      <c r="F45" s="10"/>
      <c r="G45" s="16">
        <f>((G43+G30)/G30)</f>
        <v>5.7321062605291323E-2</v>
      </c>
      <c r="H45" s="10"/>
      <c r="I45" s="10"/>
      <c r="J45" s="10"/>
      <c r="K45" s="16">
        <f>((K43+K30)/K30)</f>
        <v>2.2686954000000021</v>
      </c>
      <c r="N45" s="66" t="s">
        <v>149</v>
      </c>
    </row>
    <row r="46" spans="1:14">
      <c r="A46" s="62">
        <f t="shared" si="0"/>
        <v>46</v>
      </c>
      <c r="B46" s="8" t="s">
        <v>142</v>
      </c>
      <c r="C46" s="33">
        <f>((+C43-C40)/C30)+1</f>
        <v>0.55972005190236507</v>
      </c>
    </row>
    <row r="47" spans="1:14">
      <c r="A47" s="62">
        <f t="shared" si="0"/>
        <v>47</v>
      </c>
      <c r="B47" s="10"/>
      <c r="H47" s="10"/>
      <c r="I47" s="7"/>
      <c r="J47" s="7"/>
      <c r="K47" s="17"/>
    </row>
    <row r="48" spans="1:14">
      <c r="A48" s="62">
        <f t="shared" si="0"/>
        <v>48</v>
      </c>
      <c r="B48" s="10"/>
      <c r="C48" s="16"/>
      <c r="D48" s="10"/>
      <c r="E48" s="7"/>
      <c r="F48" s="10"/>
      <c r="G48" s="17"/>
      <c r="H48" s="10"/>
      <c r="I48" s="7"/>
      <c r="J48" s="7"/>
      <c r="K48" s="17"/>
    </row>
    <row r="49" spans="1:9">
      <c r="A49" s="62">
        <f t="shared" si="0"/>
        <v>49</v>
      </c>
      <c r="B49" s="10"/>
      <c r="C49" s="16">
        <v>2</v>
      </c>
      <c r="D49" s="10"/>
      <c r="F49" s="10"/>
      <c r="I49" s="7">
        <f>((G30*1)-G43)</f>
        <v>1755461.0255190432</v>
      </c>
    </row>
    <row r="50" spans="1:9">
      <c r="A50" s="62"/>
      <c r="I50" s="17">
        <f>(I49/G9)</f>
        <v>4.261849679669151E-2</v>
      </c>
    </row>
    <row r="53" spans="1:9">
      <c r="C53" s="21">
        <f>(C43-C40)</f>
        <v>-222837.1290108636</v>
      </c>
    </row>
    <row r="55" spans="1:9">
      <c r="C55" s="33">
        <f>(C36+C30)/(C30)</f>
        <v>0.12447467822071262</v>
      </c>
    </row>
  </sheetData>
  <phoneticPr fontId="1" type="noConversion"/>
  <pageMargins left="0.5" right="0.25" top="0.5" bottom="0.75" header="0.5" footer="0.5"/>
  <pageSetup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M105"/>
  <sheetViews>
    <sheetView defaultGridColor="0" colorId="22" zoomScaleNormal="87" workbookViewId="0">
      <selection activeCell="H1" sqref="H1"/>
    </sheetView>
  </sheetViews>
  <sheetFormatPr defaultColWidth="9.77734375" defaultRowHeight="15"/>
  <cols>
    <col min="1" max="1" width="4.77734375" customWidth="1"/>
    <col min="2" max="2" width="32.88671875" customWidth="1"/>
    <col min="3" max="3" width="12.21875" customWidth="1"/>
    <col min="4" max="4" width="1.77734375" customWidth="1"/>
    <col min="5" max="5" width="11.6640625" customWidth="1"/>
    <col min="6" max="6" width="1.77734375" customWidth="1"/>
    <col min="7" max="7" width="11.88671875" customWidth="1"/>
    <col min="8" max="8" width="1.77734375" customWidth="1"/>
    <col min="9" max="9" width="12.109375" customWidth="1"/>
    <col min="10" max="10" width="7.77734375" customWidth="1"/>
    <col min="11" max="11" width="11.44140625" customWidth="1"/>
    <col min="12" max="12" width="9.77734375" customWidth="1"/>
    <col min="13" max="13" width="9.88671875" customWidth="1"/>
    <col min="14" max="14" width="7.77734375" customWidth="1"/>
    <col min="15" max="20" width="8.77734375" customWidth="1"/>
  </cols>
  <sheetData>
    <row r="1" spans="1:10" ht="15" customHeight="1">
      <c r="A1" s="1">
        <v>1</v>
      </c>
      <c r="B1" s="9" t="str">
        <f>+'adjusted is'!B1</f>
        <v>Cumberland Valley Electric</v>
      </c>
      <c r="C1" s="9"/>
      <c r="D1" s="9"/>
      <c r="E1" s="9"/>
      <c r="F1" s="9"/>
      <c r="G1" s="10"/>
      <c r="H1" s="11" t="s">
        <v>150</v>
      </c>
      <c r="I1" s="8"/>
      <c r="J1" s="8"/>
    </row>
    <row r="2" spans="1:10" ht="15" customHeight="1">
      <c r="A2" s="1">
        <f t="shared" ref="A2:A31" si="0">(+A1+1)</f>
        <v>2</v>
      </c>
      <c r="B2" s="9" t="str">
        <f>+'adjusted is'!B2</f>
        <v>Case No. 2016-00169</v>
      </c>
      <c r="C2" s="9"/>
      <c r="D2" s="9"/>
      <c r="E2" s="9"/>
      <c r="F2" s="9"/>
      <c r="G2" s="10"/>
      <c r="H2" s="11" t="s">
        <v>0</v>
      </c>
      <c r="I2" s="8"/>
      <c r="J2" s="8"/>
    </row>
    <row r="3" spans="1:10" ht="15" customHeight="1">
      <c r="A3" s="1">
        <f t="shared" si="0"/>
        <v>3</v>
      </c>
      <c r="B3" s="9" t="s">
        <v>1</v>
      </c>
      <c r="C3" s="9"/>
      <c r="D3" s="9"/>
      <c r="E3" s="9"/>
      <c r="F3" s="9"/>
      <c r="G3" s="10"/>
      <c r="H3" s="11" t="s">
        <v>139</v>
      </c>
      <c r="I3" s="8"/>
      <c r="J3" s="8"/>
    </row>
    <row r="4" spans="1:10" ht="15" customHeight="1">
      <c r="A4" s="1">
        <f t="shared" si="0"/>
        <v>4</v>
      </c>
      <c r="B4" s="32">
        <v>42338</v>
      </c>
      <c r="C4" s="9"/>
      <c r="D4" s="9"/>
      <c r="E4" s="9"/>
      <c r="F4" s="9"/>
      <c r="G4" s="8"/>
      <c r="H4" s="8"/>
      <c r="I4" s="8"/>
      <c r="J4" s="8"/>
    </row>
    <row r="5" spans="1:10" ht="9.9499999999999993" customHeight="1">
      <c r="A5" s="1">
        <f t="shared" si="0"/>
        <v>5</v>
      </c>
      <c r="B5" s="9"/>
      <c r="C5" s="9"/>
      <c r="D5" s="9"/>
      <c r="E5" s="9"/>
      <c r="F5" s="8"/>
      <c r="G5" s="8"/>
      <c r="H5" s="8"/>
      <c r="I5" s="8"/>
      <c r="J5" s="8"/>
    </row>
    <row r="6" spans="1:10" ht="15" customHeight="1">
      <c r="A6" s="1">
        <f t="shared" si="0"/>
        <v>6</v>
      </c>
      <c r="B6" s="8"/>
      <c r="C6" s="12" t="s">
        <v>2</v>
      </c>
      <c r="D6" s="8"/>
      <c r="E6" s="12" t="s">
        <v>3</v>
      </c>
      <c r="F6" s="8"/>
      <c r="G6" s="12" t="s">
        <v>4</v>
      </c>
      <c r="H6" s="8"/>
      <c r="I6" s="8"/>
      <c r="J6" s="8"/>
    </row>
    <row r="7" spans="1:10" ht="15" customHeight="1">
      <c r="A7" s="1">
        <f t="shared" si="0"/>
        <v>7</v>
      </c>
      <c r="B7" s="10"/>
      <c r="C7" s="13" t="s">
        <v>5</v>
      </c>
      <c r="D7" s="10"/>
      <c r="E7" s="13" t="s">
        <v>6</v>
      </c>
      <c r="F7" s="10"/>
      <c r="G7" s="13" t="s">
        <v>5</v>
      </c>
      <c r="H7" s="8"/>
      <c r="I7" s="8"/>
      <c r="J7" s="8"/>
    </row>
    <row r="8" spans="1:10" ht="15" customHeight="1">
      <c r="A8" s="1">
        <f t="shared" si="0"/>
        <v>8</v>
      </c>
      <c r="B8" s="34" t="s">
        <v>143</v>
      </c>
      <c r="C8" s="7"/>
      <c r="D8" s="10"/>
      <c r="E8" s="7"/>
      <c r="F8" s="8"/>
      <c r="G8" s="8"/>
      <c r="H8" s="8"/>
      <c r="I8" s="8"/>
      <c r="J8" s="8"/>
    </row>
    <row r="9" spans="1:10" ht="15" customHeight="1">
      <c r="A9" s="1">
        <f t="shared" si="0"/>
        <v>9</v>
      </c>
      <c r="B9" s="10" t="s">
        <v>7</v>
      </c>
      <c r="C9" s="7"/>
      <c r="D9" s="10"/>
      <c r="E9" s="7"/>
      <c r="F9" s="8"/>
      <c r="G9" s="8"/>
      <c r="H9" s="8"/>
      <c r="I9" s="8"/>
      <c r="J9" s="8"/>
    </row>
    <row r="10" spans="1:10" ht="15" customHeight="1">
      <c r="A10" s="1">
        <f t="shared" si="0"/>
        <v>10</v>
      </c>
      <c r="B10" s="10" t="s">
        <v>8</v>
      </c>
      <c r="C10" s="18">
        <v>100581010</v>
      </c>
      <c r="D10" s="18"/>
      <c r="E10" s="18"/>
      <c r="F10" s="18"/>
      <c r="G10" s="18">
        <f>(+C10+E10)</f>
        <v>100581010</v>
      </c>
      <c r="H10" s="8"/>
      <c r="I10" s="8"/>
      <c r="J10" s="8"/>
    </row>
    <row r="11" spans="1:10" ht="15" customHeight="1">
      <c r="A11" s="1">
        <f t="shared" si="0"/>
        <v>11</v>
      </c>
      <c r="B11" s="10" t="s">
        <v>9</v>
      </c>
      <c r="C11" s="19">
        <v>229395</v>
      </c>
      <c r="D11" s="18"/>
      <c r="E11" s="19"/>
      <c r="F11" s="18"/>
      <c r="G11" s="19">
        <f>(+C11+E11)</f>
        <v>229395</v>
      </c>
      <c r="H11" s="8"/>
      <c r="I11" s="8"/>
      <c r="J11" s="8"/>
    </row>
    <row r="12" spans="1:10" ht="15" customHeight="1">
      <c r="A12" s="1">
        <f t="shared" si="0"/>
        <v>12</v>
      </c>
      <c r="B12" s="10"/>
      <c r="C12" s="18">
        <f>SUM(C10:C11)</f>
        <v>100810405</v>
      </c>
      <c r="D12" s="18"/>
      <c r="E12" s="18"/>
      <c r="F12" s="18"/>
      <c r="G12" s="18">
        <f>SUM(G10:G11)</f>
        <v>100810405</v>
      </c>
      <c r="H12" s="8"/>
      <c r="I12" s="8"/>
      <c r="J12" s="8"/>
    </row>
    <row r="13" spans="1:10" ht="15" customHeight="1">
      <c r="A13" s="1">
        <f t="shared" si="0"/>
        <v>13</v>
      </c>
      <c r="B13" s="10" t="s">
        <v>10</v>
      </c>
      <c r="C13" s="19">
        <v>36032638</v>
      </c>
      <c r="D13" s="18"/>
      <c r="E13" s="19">
        <f>+adjustments!T30</f>
        <v>219610</v>
      </c>
      <c r="F13" s="18"/>
      <c r="G13" s="19">
        <f>(+C13+E13)</f>
        <v>36252248</v>
      </c>
      <c r="H13" s="8"/>
      <c r="I13" s="8"/>
      <c r="J13" s="8"/>
    </row>
    <row r="14" spans="1:10" ht="15" customHeight="1">
      <c r="A14" s="1">
        <f t="shared" si="0"/>
        <v>14</v>
      </c>
      <c r="B14" s="10"/>
      <c r="C14" s="19">
        <f>(C12-C13)</f>
        <v>64777767</v>
      </c>
      <c r="D14" s="18"/>
      <c r="E14" s="19">
        <f>(+E12-E13)</f>
        <v>-219610</v>
      </c>
      <c r="F14" s="18"/>
      <c r="G14" s="19">
        <f>(+G12-G13)</f>
        <v>64558157</v>
      </c>
      <c r="H14" s="8"/>
      <c r="I14" s="8"/>
      <c r="J14" s="8"/>
    </row>
    <row r="15" spans="1:10" ht="7.9" customHeight="1">
      <c r="A15" s="1">
        <f t="shared" si="0"/>
        <v>15</v>
      </c>
      <c r="B15" s="10"/>
      <c r="C15" s="18"/>
      <c r="D15" s="18"/>
      <c r="E15" s="18"/>
      <c r="F15" s="18"/>
      <c r="G15" s="18"/>
      <c r="H15" s="8"/>
      <c r="I15" s="8"/>
      <c r="J15" s="8"/>
    </row>
    <row r="16" spans="1:10" ht="15" customHeight="1">
      <c r="A16" s="1">
        <f t="shared" si="0"/>
        <v>16</v>
      </c>
      <c r="B16" s="10" t="s">
        <v>11</v>
      </c>
      <c r="C16" s="19">
        <v>24798652</v>
      </c>
      <c r="D16" s="18"/>
      <c r="E16" s="19"/>
      <c r="F16" s="18"/>
      <c r="G16" s="19">
        <f>(+C16+E16)</f>
        <v>24798652</v>
      </c>
      <c r="H16" s="8"/>
      <c r="I16" s="8"/>
      <c r="J16" s="8"/>
    </row>
    <row r="17" spans="1:10" ht="7.9" customHeight="1">
      <c r="A17" s="1">
        <f t="shared" si="0"/>
        <v>17</v>
      </c>
      <c r="B17" s="10"/>
      <c r="C17" s="18"/>
      <c r="D17" s="18"/>
      <c r="E17" s="18"/>
      <c r="F17" s="18"/>
      <c r="G17" s="18"/>
      <c r="H17" s="8"/>
      <c r="I17" s="8"/>
      <c r="J17" s="8"/>
    </row>
    <row r="18" spans="1:10" ht="15" customHeight="1">
      <c r="A18" s="1">
        <f t="shared" si="0"/>
        <v>18</v>
      </c>
      <c r="B18" s="10" t="s">
        <v>12</v>
      </c>
      <c r="C18" s="18"/>
      <c r="D18" s="18"/>
      <c r="E18" s="18"/>
      <c r="F18" s="18"/>
      <c r="G18" s="18"/>
      <c r="H18" s="8"/>
      <c r="I18" s="8"/>
      <c r="J18" s="8"/>
    </row>
    <row r="19" spans="1:10" ht="15" customHeight="1">
      <c r="A19" s="1">
        <f t="shared" si="0"/>
        <v>19</v>
      </c>
      <c r="B19" s="10" t="s">
        <v>13</v>
      </c>
      <c r="C19" s="18">
        <f>5061610+4300+5000</f>
        <v>5070910</v>
      </c>
      <c r="D19" s="18"/>
      <c r="E19" s="18"/>
      <c r="F19" s="18"/>
      <c r="G19" s="18">
        <f>(+C19+E19)</f>
        <v>5070910</v>
      </c>
      <c r="H19" s="8"/>
      <c r="I19" s="8"/>
      <c r="J19" s="8"/>
    </row>
    <row r="20" spans="1:10" ht="15" customHeight="1">
      <c r="A20" s="1">
        <f t="shared" si="0"/>
        <v>20</v>
      </c>
      <c r="B20" s="10" t="s">
        <v>14</v>
      </c>
      <c r="C20" s="18">
        <f>3425271+67759</f>
        <v>3493030</v>
      </c>
      <c r="D20" s="18"/>
      <c r="E20" s="18"/>
      <c r="F20" s="18"/>
      <c r="G20" s="18">
        <f>(+C20+E20)</f>
        <v>3493030</v>
      </c>
      <c r="H20" s="8"/>
      <c r="I20" s="8"/>
      <c r="J20" s="8"/>
    </row>
    <row r="21" spans="1:10" ht="15" customHeight="1">
      <c r="A21" s="1">
        <f t="shared" si="0"/>
        <v>21</v>
      </c>
      <c r="B21" s="10" t="s">
        <v>15</v>
      </c>
      <c r="C21" s="18">
        <v>407597</v>
      </c>
      <c r="D21" s="18"/>
      <c r="E21" s="18"/>
      <c r="F21" s="18"/>
      <c r="G21" s="18">
        <f>(+C21+E21)</f>
        <v>407597</v>
      </c>
      <c r="H21" s="8"/>
      <c r="I21" s="8"/>
      <c r="J21" s="8"/>
    </row>
    <row r="22" spans="1:10" ht="15" customHeight="1">
      <c r="A22" s="1">
        <f t="shared" si="0"/>
        <v>22</v>
      </c>
      <c r="B22" s="10" t="s">
        <v>16</v>
      </c>
      <c r="C22" s="19">
        <v>86055</v>
      </c>
      <c r="D22" s="18"/>
      <c r="E22" s="19"/>
      <c r="F22" s="18"/>
      <c r="G22" s="19">
        <f>(+C22+E22)</f>
        <v>86055</v>
      </c>
      <c r="H22" s="8"/>
      <c r="I22" s="8"/>
      <c r="J22" s="8"/>
    </row>
    <row r="23" spans="1:10" ht="15" customHeight="1">
      <c r="A23" s="1">
        <f t="shared" si="0"/>
        <v>23</v>
      </c>
      <c r="B23" s="10"/>
      <c r="C23" s="19">
        <f>SUM(C19:C22)</f>
        <v>9057592</v>
      </c>
      <c r="D23" s="18"/>
      <c r="E23" s="19"/>
      <c r="F23" s="18"/>
      <c r="G23" s="19">
        <f>SUM(G19:G22)</f>
        <v>9057592</v>
      </c>
      <c r="H23" s="8"/>
      <c r="I23" s="8"/>
      <c r="J23" s="8"/>
    </row>
    <row r="24" spans="1:10" ht="7.9" customHeight="1">
      <c r="A24" s="1">
        <f t="shared" si="0"/>
        <v>24</v>
      </c>
      <c r="B24" s="10"/>
      <c r="C24" s="18"/>
      <c r="D24" s="18"/>
      <c r="E24" s="18"/>
      <c r="F24" s="18"/>
      <c r="G24" s="18"/>
      <c r="H24" s="8"/>
      <c r="I24" s="8"/>
      <c r="J24" s="8"/>
    </row>
    <row r="25" spans="1:10" ht="15" customHeight="1">
      <c r="A25" s="1">
        <f t="shared" si="0"/>
        <v>25</v>
      </c>
      <c r="B25" s="10" t="s">
        <v>105</v>
      </c>
      <c r="C25" s="19">
        <f>774743+831418</f>
        <v>1606161</v>
      </c>
      <c r="D25" s="18"/>
      <c r="E25" s="19">
        <f>-E14+E48</f>
        <v>-877828.61538254307</v>
      </c>
      <c r="F25" s="18"/>
      <c r="G25" s="19">
        <f>(+C25+E25)</f>
        <v>728332.38461745693</v>
      </c>
      <c r="H25" s="8"/>
      <c r="I25" s="8"/>
      <c r="J25" s="8"/>
    </row>
    <row r="26" spans="1:10" ht="7.9" customHeight="1">
      <c r="A26" s="1">
        <f t="shared" si="0"/>
        <v>26</v>
      </c>
      <c r="B26" s="10"/>
      <c r="C26" s="18"/>
      <c r="D26" s="18"/>
      <c r="E26" s="18"/>
      <c r="F26" s="18"/>
      <c r="G26" s="18"/>
      <c r="H26" s="8"/>
      <c r="I26" s="8"/>
      <c r="J26" s="8"/>
    </row>
    <row r="27" spans="1:10" ht="15" customHeight="1" thickBot="1">
      <c r="A27" s="1">
        <f t="shared" si="0"/>
        <v>27</v>
      </c>
      <c r="B27" s="10" t="s">
        <v>17</v>
      </c>
      <c r="C27" s="20">
        <f>C14+C16+C23+C25</f>
        <v>100240172</v>
      </c>
      <c r="D27" s="18"/>
      <c r="E27" s="20">
        <f>E14+E16+E23+E25</f>
        <v>-1097438.6153825431</v>
      </c>
      <c r="F27" s="18"/>
      <c r="G27" s="20">
        <f>G14+G16+G23+G25</f>
        <v>99142733.384617463</v>
      </c>
      <c r="H27" s="8"/>
      <c r="I27" s="8"/>
      <c r="J27" s="8"/>
    </row>
    <row r="28" spans="1:10" ht="15" customHeight="1" thickTop="1">
      <c r="A28" s="1">
        <f t="shared" si="0"/>
        <v>28</v>
      </c>
      <c r="B28" s="10"/>
      <c r="C28" s="18"/>
      <c r="D28" s="18"/>
      <c r="E28" s="18"/>
      <c r="F28" s="18"/>
      <c r="G28" s="18"/>
      <c r="H28" s="8"/>
      <c r="I28" s="8"/>
      <c r="J28" s="8"/>
    </row>
    <row r="29" spans="1:10" ht="15" customHeight="1">
      <c r="A29" s="1">
        <f t="shared" si="0"/>
        <v>29</v>
      </c>
      <c r="B29" s="34" t="s">
        <v>144</v>
      </c>
      <c r="C29" s="18"/>
      <c r="D29" s="18"/>
      <c r="E29" s="18"/>
      <c r="F29" s="18"/>
      <c r="G29" s="18"/>
      <c r="H29" s="8"/>
      <c r="I29" s="8"/>
      <c r="J29" s="8"/>
    </row>
    <row r="30" spans="1:10" ht="15" customHeight="1">
      <c r="A30" s="1">
        <f t="shared" si="0"/>
        <v>30</v>
      </c>
      <c r="B30" s="10" t="s">
        <v>145</v>
      </c>
      <c r="C30" s="18"/>
      <c r="D30" s="18"/>
      <c r="E30" s="18"/>
      <c r="F30" s="18"/>
      <c r="G30" s="18"/>
      <c r="H30" s="8"/>
      <c r="I30" s="8"/>
      <c r="J30" s="8"/>
    </row>
    <row r="31" spans="1:10" ht="15" customHeight="1">
      <c r="A31" s="1">
        <f t="shared" si="0"/>
        <v>31</v>
      </c>
      <c r="B31" s="10" t="s">
        <v>18</v>
      </c>
      <c r="C31" s="18">
        <v>434550</v>
      </c>
      <c r="D31" s="18"/>
      <c r="E31" s="18"/>
      <c r="F31" s="18"/>
      <c r="G31" s="18">
        <f>(+C31+E31)</f>
        <v>434550</v>
      </c>
      <c r="H31" s="8"/>
      <c r="I31" s="8"/>
      <c r="J31" s="8"/>
    </row>
    <row r="32" spans="1:10" ht="15" customHeight="1">
      <c r="A32" s="1">
        <f t="shared" ref="A32:A50" si="1">(+A31+1)</f>
        <v>32</v>
      </c>
      <c r="B32" s="10" t="s">
        <v>19</v>
      </c>
      <c r="C32" s="19">
        <f>42969503-C31</f>
        <v>42534953</v>
      </c>
      <c r="D32" s="18"/>
      <c r="E32" s="19">
        <f>'proposed rev'!G17+adjustments!T48</f>
        <v>-1097438.6153825431</v>
      </c>
      <c r="F32" s="18"/>
      <c r="G32" s="19">
        <f>(+C32+E32)</f>
        <v>41437514.384617455</v>
      </c>
      <c r="H32" s="8"/>
      <c r="I32" s="8"/>
      <c r="J32" s="8"/>
    </row>
    <row r="33" spans="1:10" ht="15" customHeight="1">
      <c r="A33" s="1">
        <f t="shared" si="1"/>
        <v>33</v>
      </c>
      <c r="B33" s="10"/>
      <c r="C33" s="19">
        <f>SUM(C31:C32)</f>
        <v>42969503</v>
      </c>
      <c r="D33" s="18"/>
      <c r="E33" s="19">
        <f>SUM(E31:E32)</f>
        <v>-1097438.6153825431</v>
      </c>
      <c r="F33" s="18"/>
      <c r="G33" s="19">
        <f>SUM(G31:G32)</f>
        <v>41872064.384617455</v>
      </c>
      <c r="H33" s="8"/>
      <c r="I33" s="8"/>
      <c r="J33" s="8"/>
    </row>
    <row r="34" spans="1:10" ht="7.9" customHeight="1">
      <c r="A34" s="1">
        <f t="shared" si="1"/>
        <v>34</v>
      </c>
      <c r="B34" s="10"/>
      <c r="C34" s="18"/>
      <c r="D34" s="18"/>
      <c r="E34" s="18"/>
      <c r="F34" s="18"/>
      <c r="G34" s="18"/>
      <c r="H34" s="8"/>
      <c r="I34" s="8"/>
      <c r="J34" s="8"/>
    </row>
    <row r="35" spans="1:10" ht="15" customHeight="1">
      <c r="A35" s="1">
        <f t="shared" si="1"/>
        <v>35</v>
      </c>
      <c r="B35" s="10" t="s">
        <v>20</v>
      </c>
      <c r="C35" s="19">
        <v>47923913</v>
      </c>
      <c r="D35" s="18"/>
      <c r="E35" s="19"/>
      <c r="F35" s="18"/>
      <c r="G35" s="19">
        <f>(+C35+E35)</f>
        <v>47923913</v>
      </c>
      <c r="H35" s="8"/>
      <c r="I35" s="8"/>
      <c r="J35" s="8"/>
    </row>
    <row r="36" spans="1:10" ht="7.9" customHeight="1">
      <c r="A36" s="1">
        <f t="shared" si="1"/>
        <v>36</v>
      </c>
      <c r="B36" s="10"/>
      <c r="C36" s="18"/>
      <c r="D36" s="18"/>
      <c r="E36" s="18"/>
      <c r="F36" s="18"/>
      <c r="G36" s="18"/>
      <c r="H36" s="8"/>
      <c r="I36" s="8"/>
      <c r="J36" s="8"/>
    </row>
    <row r="37" spans="1:10" ht="15" customHeight="1">
      <c r="A37" s="1">
        <f t="shared" si="1"/>
        <v>37</v>
      </c>
      <c r="B37" s="10" t="s">
        <v>21</v>
      </c>
      <c r="C37" s="19">
        <v>3538956</v>
      </c>
      <c r="D37" s="18"/>
      <c r="E37" s="19"/>
      <c r="F37" s="18"/>
      <c r="G37" s="19">
        <f>(+C37+E37)</f>
        <v>3538956</v>
      </c>
      <c r="H37" s="8"/>
      <c r="I37" s="8"/>
      <c r="J37" s="8"/>
    </row>
    <row r="38" spans="1:10" ht="7.9" customHeight="1">
      <c r="A38" s="1">
        <f t="shared" si="1"/>
        <v>38</v>
      </c>
      <c r="B38" s="10"/>
      <c r="C38" s="18"/>
      <c r="D38" s="18"/>
      <c r="E38" s="18"/>
      <c r="F38" s="18"/>
      <c r="G38" s="18"/>
      <c r="H38" s="8"/>
      <c r="I38" s="8"/>
      <c r="J38" s="8"/>
    </row>
    <row r="39" spans="1:10" ht="15" customHeight="1">
      <c r="A39" s="1">
        <f t="shared" si="1"/>
        <v>39</v>
      </c>
      <c r="B39" s="10" t="s">
        <v>22</v>
      </c>
      <c r="C39" s="18"/>
      <c r="D39" s="18"/>
      <c r="E39" s="18"/>
      <c r="F39" s="18"/>
      <c r="G39" s="18"/>
      <c r="H39" s="8"/>
      <c r="I39" s="8"/>
      <c r="J39" s="8"/>
    </row>
    <row r="40" spans="1:10" ht="15" customHeight="1">
      <c r="A40" s="1">
        <f t="shared" si="1"/>
        <v>40</v>
      </c>
      <c r="B40" s="10" t="s">
        <v>23</v>
      </c>
      <c r="C40" s="18">
        <v>0</v>
      </c>
      <c r="D40" s="18"/>
      <c r="E40" s="18"/>
      <c r="F40" s="18"/>
      <c r="G40" s="18">
        <f>(+C40+E40)</f>
        <v>0</v>
      </c>
      <c r="H40" s="8"/>
      <c r="I40" s="8"/>
      <c r="J40" s="8"/>
    </row>
    <row r="41" spans="1:10" ht="15" customHeight="1">
      <c r="A41" s="1">
        <f t="shared" si="1"/>
        <v>41</v>
      </c>
      <c r="B41" s="10" t="s">
        <v>24</v>
      </c>
      <c r="C41" s="18">
        <v>3152263</v>
      </c>
      <c r="D41" s="18"/>
      <c r="E41" s="18"/>
      <c r="F41" s="18"/>
      <c r="G41" s="18">
        <f>(+C41+E41)</f>
        <v>3152263</v>
      </c>
      <c r="H41" s="8"/>
      <c r="I41" s="8"/>
      <c r="J41" s="8"/>
    </row>
    <row r="42" spans="1:10" ht="15" customHeight="1">
      <c r="A42" s="1">
        <f t="shared" si="1"/>
        <v>42</v>
      </c>
      <c r="B42" s="10" t="s">
        <v>25</v>
      </c>
      <c r="C42" s="18">
        <v>1223581</v>
      </c>
      <c r="D42" s="18"/>
      <c r="E42" s="18"/>
      <c r="F42" s="18"/>
      <c r="G42" s="18">
        <f>(+C42+E42)</f>
        <v>1223581</v>
      </c>
      <c r="H42" s="8"/>
      <c r="I42" s="8"/>
      <c r="J42" s="8"/>
    </row>
    <row r="43" spans="1:10" ht="15" customHeight="1">
      <c r="A43" s="1">
        <f t="shared" si="1"/>
        <v>43</v>
      </c>
      <c r="B43" s="10" t="s">
        <v>26</v>
      </c>
      <c r="C43" s="19">
        <v>1348675</v>
      </c>
      <c r="D43" s="18"/>
      <c r="E43" s="19"/>
      <c r="F43" s="18"/>
      <c r="G43" s="19">
        <f>(+C43+E43)</f>
        <v>1348675</v>
      </c>
      <c r="H43" s="8"/>
      <c r="I43" s="8"/>
      <c r="J43" s="8"/>
    </row>
    <row r="44" spans="1:10" ht="15" customHeight="1">
      <c r="A44" s="1">
        <f t="shared" si="1"/>
        <v>44</v>
      </c>
      <c r="B44" s="10"/>
      <c r="C44" s="19">
        <f>SUM(C39:C43)</f>
        <v>5724519</v>
      </c>
      <c r="D44" s="18"/>
      <c r="E44" s="19"/>
      <c r="F44" s="18"/>
      <c r="G44" s="19">
        <f>SUM(G39:G43)</f>
        <v>5724519</v>
      </c>
      <c r="H44" s="8"/>
      <c r="I44" s="8"/>
      <c r="J44" s="8"/>
    </row>
    <row r="45" spans="1:10" ht="7.9" customHeight="1">
      <c r="A45" s="1">
        <f t="shared" si="1"/>
        <v>45</v>
      </c>
      <c r="B45" s="10"/>
      <c r="C45" s="18"/>
      <c r="D45" s="18"/>
      <c r="E45" s="18"/>
      <c r="F45" s="18"/>
      <c r="G45" s="18"/>
      <c r="H45" s="8"/>
      <c r="I45" s="8"/>
      <c r="J45" s="8"/>
    </row>
    <row r="46" spans="1:10" ht="15" customHeight="1">
      <c r="A46" s="1">
        <f t="shared" si="1"/>
        <v>46</v>
      </c>
      <c r="B46" s="10" t="s">
        <v>27</v>
      </c>
      <c r="C46" s="19">
        <v>83281</v>
      </c>
      <c r="D46" s="18"/>
      <c r="E46" s="19"/>
      <c r="F46" s="18"/>
      <c r="G46" s="19">
        <f>(+C46+E46)</f>
        <v>83281</v>
      </c>
      <c r="H46" s="8"/>
      <c r="I46" s="8"/>
      <c r="J46" s="8"/>
    </row>
    <row r="47" spans="1:10" ht="7.9" customHeight="1">
      <c r="A47" s="1">
        <f t="shared" si="1"/>
        <v>47</v>
      </c>
      <c r="B47" s="10"/>
      <c r="C47" s="18"/>
      <c r="D47" s="18"/>
      <c r="E47" s="18"/>
      <c r="F47" s="18"/>
      <c r="G47" s="18"/>
      <c r="H47" s="8"/>
      <c r="I47" s="8"/>
      <c r="J47" s="8"/>
    </row>
    <row r="48" spans="1:10" ht="15" customHeight="1" thickBot="1">
      <c r="A48" s="1">
        <f t="shared" si="1"/>
        <v>48</v>
      </c>
      <c r="B48" s="10" t="s">
        <v>17</v>
      </c>
      <c r="C48" s="20">
        <f>C33+C35+C37+C44+C46</f>
        <v>100240172</v>
      </c>
      <c r="D48" s="18"/>
      <c r="E48" s="20">
        <f>E33+E35+E37+E44+E46</f>
        <v>-1097438.6153825431</v>
      </c>
      <c r="F48" s="18"/>
      <c r="G48" s="20">
        <f>G33+G35+G37+G44+G46</f>
        <v>99142733.384617448</v>
      </c>
      <c r="H48" s="8"/>
      <c r="I48" s="8"/>
      <c r="J48" s="8"/>
    </row>
    <row r="49" spans="1:12" ht="15" customHeight="1" thickTop="1">
      <c r="A49" s="1">
        <f t="shared" si="1"/>
        <v>49</v>
      </c>
      <c r="B49" s="10"/>
      <c r="C49" s="7"/>
      <c r="D49" s="10"/>
      <c r="E49" s="7"/>
      <c r="F49" s="8"/>
      <c r="G49" s="8"/>
      <c r="H49" s="8"/>
      <c r="I49" s="8"/>
      <c r="J49" s="8"/>
    </row>
    <row r="50" spans="1:12" ht="15" customHeight="1">
      <c r="A50" s="1">
        <f t="shared" si="1"/>
        <v>50</v>
      </c>
      <c r="B50" s="10"/>
      <c r="C50" s="7"/>
      <c r="D50" s="10"/>
      <c r="E50" s="7"/>
      <c r="F50" s="8"/>
      <c r="G50" s="8"/>
      <c r="H50" s="8"/>
      <c r="I50" s="8"/>
      <c r="J50" s="8"/>
    </row>
    <row r="51" spans="1:12" ht="15" customHeight="1">
      <c r="A51" s="1"/>
      <c r="B51" s="8"/>
      <c r="C51" s="8"/>
      <c r="D51" s="8"/>
      <c r="E51" s="8"/>
      <c r="F51" s="8"/>
      <c r="G51" s="8"/>
      <c r="H51" s="8"/>
      <c r="I51" s="8"/>
      <c r="J51" s="8"/>
    </row>
    <row r="52" spans="1:12" ht="15" customHeight="1"/>
    <row r="53" spans="1:12" ht="15" customHeight="1"/>
    <row r="54" spans="1:12" ht="15" customHeight="1"/>
    <row r="55" spans="1:12" ht="15" customHeight="1"/>
    <row r="56" spans="1:12" ht="15" customHeight="1"/>
    <row r="57" spans="1:12" ht="15" customHeight="1"/>
    <row r="58" spans="1:12" ht="15" customHeight="1"/>
    <row r="59" spans="1:12" ht="17.100000000000001" customHeight="1"/>
    <row r="60" spans="1:12" ht="17.100000000000001" customHeight="1">
      <c r="K60" s="6"/>
      <c r="L60" s="6"/>
    </row>
    <row r="61" spans="1:12" ht="17.100000000000001" customHeight="1">
      <c r="K61" s="6"/>
      <c r="L61" s="6"/>
    </row>
    <row r="62" spans="1:12" ht="17.100000000000001" customHeight="1">
      <c r="K62" s="6"/>
      <c r="L62" s="6"/>
    </row>
    <row r="63" spans="1:12" ht="17.100000000000001" customHeight="1">
      <c r="K63" s="6"/>
      <c r="L63" s="6"/>
    </row>
    <row r="64" spans="1:12" ht="17.100000000000001" customHeight="1">
      <c r="K64" s="6"/>
      <c r="L64" s="6"/>
    </row>
    <row r="65" spans="11:13" ht="17.100000000000001" customHeight="1">
      <c r="K65" s="6"/>
      <c r="L65" s="6"/>
    </row>
    <row r="66" spans="11:13" ht="17.100000000000001" customHeight="1">
      <c r="K66" s="6"/>
      <c r="L66" s="6"/>
    </row>
    <row r="67" spans="11:13" ht="17.100000000000001" customHeight="1">
      <c r="K67" s="6"/>
      <c r="L67" s="6"/>
    </row>
    <row r="68" spans="11:13" ht="17.100000000000001" customHeight="1">
      <c r="K68" s="6"/>
      <c r="L68" s="6"/>
    </row>
    <row r="69" spans="11:13" ht="17.100000000000001" customHeight="1">
      <c r="K69" s="6"/>
      <c r="L69" s="6"/>
    </row>
    <row r="70" spans="11:13" ht="17.100000000000001" customHeight="1">
      <c r="L70" s="6"/>
      <c r="M70" s="6"/>
    </row>
    <row r="71" spans="11:13" ht="17.100000000000001" customHeight="1">
      <c r="L71" s="6"/>
      <c r="M71" s="6"/>
    </row>
    <row r="72" spans="11:13" ht="17.100000000000001" customHeight="1">
      <c r="L72" s="6"/>
      <c r="M72" s="6"/>
    </row>
    <row r="73" spans="11:13" ht="17.100000000000001" customHeight="1">
      <c r="L73" s="6"/>
      <c r="M73" s="6"/>
    </row>
    <row r="74" spans="11:13" ht="17.100000000000001" customHeight="1">
      <c r="L74" s="6"/>
      <c r="M74" s="6"/>
    </row>
    <row r="75" spans="11:13" ht="17.100000000000001" customHeight="1">
      <c r="L75" s="6"/>
      <c r="M75" s="6"/>
    </row>
    <row r="76" spans="11:13" ht="17.100000000000001" customHeight="1"/>
    <row r="77" spans="11:13" ht="17.100000000000001" customHeight="1"/>
    <row r="78" spans="11:13" ht="17.100000000000001" customHeight="1"/>
    <row r="79" spans="11:13" ht="17.100000000000001" customHeight="1"/>
    <row r="80" spans="11:13" ht="17.100000000000001" customHeight="1"/>
    <row r="81" ht="17.100000000000001" customHeight="1"/>
    <row r="82" ht="17.100000000000001" customHeight="1"/>
    <row r="83" ht="17.100000000000001" customHeight="1"/>
    <row r="84" ht="17.100000000000001" customHeight="1"/>
    <row r="85" ht="17.100000000000001" customHeight="1"/>
    <row r="86" ht="17.100000000000001" customHeight="1"/>
    <row r="87" ht="17.100000000000001" customHeight="1"/>
    <row r="88" ht="17.100000000000001" customHeight="1"/>
    <row r="89" ht="17.100000000000001" customHeight="1"/>
    <row r="90" ht="17.100000000000001" customHeight="1"/>
    <row r="91" ht="17.100000000000001" customHeight="1"/>
    <row r="92" ht="17.100000000000001" customHeight="1"/>
    <row r="93" ht="17.100000000000001" customHeight="1"/>
    <row r="94" ht="17.100000000000001" customHeight="1"/>
    <row r="95" ht="15" customHeight="1"/>
    <row r="96" ht="15" customHeight="1"/>
    <row r="97" spans="2:10" ht="15" customHeight="1"/>
    <row r="98" spans="2:10" ht="12.95" customHeight="1"/>
    <row r="99" spans="2:10" ht="12.95" customHeight="1"/>
    <row r="100" spans="2:10" ht="12.95" customHeight="1"/>
    <row r="101" spans="2:10" ht="12.95" customHeight="1"/>
    <row r="104" spans="2:10" ht="15.75">
      <c r="B104" s="8"/>
      <c r="C104" s="8"/>
      <c r="D104" s="8"/>
      <c r="E104" s="8"/>
      <c r="F104" s="8"/>
      <c r="G104" s="8"/>
      <c r="H104" s="8"/>
      <c r="I104" s="8"/>
      <c r="J104" s="8"/>
    </row>
    <row r="105" spans="2:10" ht="15.75">
      <c r="B105" s="8"/>
      <c r="C105" s="8"/>
      <c r="D105" s="8"/>
      <c r="E105" s="8"/>
      <c r="F105" s="8"/>
      <c r="G105" s="8"/>
      <c r="H105" s="8"/>
      <c r="I105" s="8"/>
      <c r="J105" s="8"/>
    </row>
  </sheetData>
  <phoneticPr fontId="1" type="noConversion"/>
  <pageMargins left="0.75" right="0.25" top="0.5" bottom="0.5" header="0.5" footer="0.5"/>
  <pageSetup orientation="portrait" r:id="rId1"/>
  <headerFooter alignWithMargins="0"/>
  <rowBreaks count="1" manualBreakCount="1">
    <brk id="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AH86"/>
  <sheetViews>
    <sheetView defaultGridColor="0" colorId="22" zoomScale="87" workbookViewId="0">
      <selection activeCell="G33" sqref="G33"/>
    </sheetView>
  </sheetViews>
  <sheetFormatPr defaultColWidth="9.77734375" defaultRowHeight="15"/>
  <cols>
    <col min="1" max="1" width="4.77734375" customWidth="1"/>
    <col min="4" max="4" width="7.5546875" customWidth="1"/>
    <col min="5" max="5" width="7" customWidth="1"/>
    <col min="6" max="6" width="8.21875" customWidth="1"/>
    <col min="7" max="7" width="8" customWidth="1"/>
    <col min="8" max="8" width="8.6640625" customWidth="1"/>
    <col min="9" max="11" width="8.77734375" customWidth="1"/>
    <col min="12" max="12" width="7.77734375" customWidth="1"/>
    <col min="13" max="13" width="8" customWidth="1"/>
    <col min="14" max="14" width="7.21875" customWidth="1"/>
    <col min="15" max="16" width="9.21875" customWidth="1"/>
    <col min="17" max="17" width="7.77734375" customWidth="1"/>
    <col min="18" max="20" width="8.77734375" customWidth="1"/>
    <col min="21" max="21" width="1.77734375" customWidth="1"/>
    <col min="22" max="22" width="10.5546875" customWidth="1"/>
    <col min="23" max="23" width="9.77734375" customWidth="1"/>
  </cols>
  <sheetData>
    <row r="1" spans="1:34" ht="18.75">
      <c r="A1" s="3">
        <f>(A8190+1)</f>
        <v>1</v>
      </c>
      <c r="B1" s="69" t="str">
        <f>'adjusted bs '!B1</f>
        <v>Cumberland Valley Electric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22"/>
      <c r="U1" s="11" t="s">
        <v>150</v>
      </c>
      <c r="V1" s="22"/>
      <c r="X1" s="8"/>
      <c r="Z1" s="4"/>
      <c r="AA1" s="4"/>
      <c r="AB1" s="4"/>
      <c r="AC1" s="5"/>
      <c r="AD1" s="5"/>
      <c r="AE1" s="5"/>
      <c r="AF1" s="5"/>
    </row>
    <row r="2" spans="1:34" ht="18.75">
      <c r="A2" s="3">
        <f>(A1+1)</f>
        <v>2</v>
      </c>
      <c r="B2" s="69" t="str">
        <f>'adjusted bs '!B2</f>
        <v>Case No. 2016-00169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22"/>
      <c r="U2" s="23" t="s">
        <v>58</v>
      </c>
      <c r="V2" s="22"/>
      <c r="X2" s="8"/>
      <c r="Z2" s="4"/>
      <c r="AA2" s="4"/>
      <c r="AB2" s="4"/>
      <c r="AC2" s="5"/>
      <c r="AD2" s="5"/>
      <c r="AE2" s="5"/>
      <c r="AF2" s="5"/>
    </row>
    <row r="3" spans="1:34" ht="15.75">
      <c r="A3" s="3">
        <f>(A2+1)</f>
        <v>3</v>
      </c>
      <c r="B3" s="68" t="s">
        <v>59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22"/>
      <c r="U3" s="23" t="s">
        <v>139</v>
      </c>
      <c r="V3" s="22"/>
      <c r="X3" s="8"/>
      <c r="Z3" s="4"/>
      <c r="AA3" s="5"/>
      <c r="AB3" s="5"/>
      <c r="AC3" s="5"/>
    </row>
    <row r="4" spans="1:34" ht="15.75">
      <c r="A4" s="3">
        <f t="shared" ref="A4:A10" si="0">(A3+1)</f>
        <v>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Z4" s="4"/>
      <c r="AA4" s="5"/>
    </row>
    <row r="5" spans="1:34" ht="15.75">
      <c r="A5" s="3">
        <f t="shared" si="0"/>
        <v>5</v>
      </c>
      <c r="B5" s="8"/>
      <c r="C5" s="8"/>
      <c r="D5" s="12" t="s">
        <v>60</v>
      </c>
      <c r="E5" s="12" t="s">
        <v>61</v>
      </c>
      <c r="F5" s="12" t="s">
        <v>62</v>
      </c>
      <c r="G5" s="12" t="s">
        <v>63</v>
      </c>
      <c r="H5" s="12" t="s">
        <v>64</v>
      </c>
      <c r="I5" s="12" t="s">
        <v>65</v>
      </c>
      <c r="J5" s="12" t="s">
        <v>66</v>
      </c>
      <c r="K5" s="12" t="s">
        <v>67</v>
      </c>
      <c r="L5" s="12" t="s">
        <v>68</v>
      </c>
      <c r="M5" s="12" t="s">
        <v>69</v>
      </c>
      <c r="N5" s="12" t="s">
        <v>70</v>
      </c>
      <c r="O5" s="12" t="s">
        <v>71</v>
      </c>
      <c r="P5" s="12" t="s">
        <v>72</v>
      </c>
      <c r="Q5" s="63" t="s">
        <v>73</v>
      </c>
      <c r="R5" s="63" t="s">
        <v>74</v>
      </c>
      <c r="S5" s="63" t="s">
        <v>158</v>
      </c>
      <c r="T5" s="12"/>
      <c r="U5" s="12"/>
      <c r="V5" s="8"/>
      <c r="W5" s="8"/>
      <c r="X5" s="8"/>
      <c r="Z5" s="4"/>
    </row>
    <row r="6" spans="1:34" ht="15.75">
      <c r="A6" s="3">
        <f t="shared" si="0"/>
        <v>6</v>
      </c>
      <c r="B6" s="8"/>
      <c r="C6" s="8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58" t="s">
        <v>151</v>
      </c>
      <c r="R6" s="24" t="s">
        <v>75</v>
      </c>
      <c r="S6" s="22"/>
      <c r="T6" s="12"/>
      <c r="U6" s="12"/>
      <c r="V6" s="8"/>
      <c r="W6" s="8"/>
      <c r="Z6" s="4"/>
    </row>
    <row r="7" spans="1:34" ht="15.75">
      <c r="A7" s="3">
        <f t="shared" si="0"/>
        <v>7</v>
      </c>
      <c r="B7" s="8"/>
      <c r="C7" s="8"/>
      <c r="D7" s="12"/>
      <c r="E7" s="12" t="s">
        <v>76</v>
      </c>
      <c r="F7" s="12"/>
      <c r="G7" s="12"/>
      <c r="H7" s="12" t="s">
        <v>136</v>
      </c>
      <c r="I7" s="12"/>
      <c r="J7" s="12"/>
      <c r="K7" s="12" t="s">
        <v>78</v>
      </c>
      <c r="L7" s="12"/>
      <c r="M7" s="12" t="s">
        <v>79</v>
      </c>
      <c r="N7" s="12" t="s">
        <v>80</v>
      </c>
      <c r="O7" s="12" t="s">
        <v>134</v>
      </c>
      <c r="P7" s="12" t="s">
        <v>81</v>
      </c>
      <c r="Q7" s="58" t="s">
        <v>152</v>
      </c>
      <c r="R7" s="12"/>
      <c r="S7" s="12" t="s">
        <v>82</v>
      </c>
      <c r="T7" s="12"/>
      <c r="U7" s="8"/>
      <c r="V7" s="8"/>
    </row>
    <row r="8" spans="1:34" ht="15.75">
      <c r="A8" s="3">
        <f t="shared" si="0"/>
        <v>8</v>
      </c>
      <c r="B8" s="8"/>
      <c r="C8" s="8"/>
      <c r="D8" s="25" t="s">
        <v>83</v>
      </c>
      <c r="E8" s="25" t="s">
        <v>84</v>
      </c>
      <c r="F8" s="25" t="s">
        <v>85</v>
      </c>
      <c r="G8" s="25" t="s">
        <v>86</v>
      </c>
      <c r="H8" s="25" t="s">
        <v>87</v>
      </c>
      <c r="I8" s="25" t="s">
        <v>148</v>
      </c>
      <c r="J8" s="25" t="s">
        <v>88</v>
      </c>
      <c r="K8" s="25" t="s">
        <v>89</v>
      </c>
      <c r="L8" s="25" t="s">
        <v>90</v>
      </c>
      <c r="M8" s="25" t="s">
        <v>91</v>
      </c>
      <c r="N8" s="25" t="s">
        <v>92</v>
      </c>
      <c r="O8" s="25" t="s">
        <v>135</v>
      </c>
      <c r="P8" s="25" t="s">
        <v>93</v>
      </c>
      <c r="Q8" s="25" t="s">
        <v>153</v>
      </c>
      <c r="R8" s="25" t="s">
        <v>94</v>
      </c>
      <c r="S8" s="25" t="s">
        <v>94</v>
      </c>
      <c r="T8" s="25" t="s">
        <v>95</v>
      </c>
      <c r="U8" s="8"/>
      <c r="V8" s="8"/>
    </row>
    <row r="9" spans="1:34" ht="15.75">
      <c r="A9" s="3">
        <f t="shared" si="0"/>
        <v>9</v>
      </c>
      <c r="B9" s="8"/>
      <c r="C9" s="8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8"/>
      <c r="V9" s="8"/>
      <c r="X9" s="2"/>
      <c r="AA9" s="2"/>
      <c r="AB9" s="2"/>
      <c r="AC9" s="2"/>
      <c r="AD9" s="2"/>
      <c r="AE9" s="2"/>
      <c r="AF9" s="2"/>
      <c r="AG9" s="2"/>
      <c r="AH9" s="2"/>
    </row>
    <row r="10" spans="1:34" ht="15.75">
      <c r="A10" s="3">
        <f t="shared" si="0"/>
        <v>10</v>
      </c>
      <c r="B10" s="8" t="s">
        <v>33</v>
      </c>
      <c r="C10" s="8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8"/>
      <c r="V10" s="8"/>
      <c r="X10" s="2"/>
      <c r="AA10" s="2"/>
      <c r="AB10" s="2"/>
      <c r="AC10" s="2"/>
      <c r="AD10" s="2"/>
      <c r="AE10" s="2"/>
      <c r="AF10" s="2"/>
      <c r="AG10" s="2"/>
      <c r="AH10" s="2"/>
    </row>
    <row r="11" spans="1:34" ht="15.75">
      <c r="A11" s="3">
        <f t="shared" ref="A11:A50" si="1">(A10+1)</f>
        <v>11</v>
      </c>
      <c r="B11" s="8" t="s">
        <v>96</v>
      </c>
      <c r="C11" s="8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35">
        <f>(151522.258209996)</f>
        <v>151522.25820999601</v>
      </c>
      <c r="T11" s="26">
        <f>SUM(D11:R11)</f>
        <v>151522.25820999601</v>
      </c>
      <c r="U11" s="8"/>
      <c r="V11" s="8"/>
      <c r="X11" s="2"/>
      <c r="AA11" s="2"/>
      <c r="AB11" s="2"/>
      <c r="AC11" s="2"/>
      <c r="AD11" s="2"/>
      <c r="AE11" s="2"/>
      <c r="AF11" s="2"/>
      <c r="AG11" s="2"/>
      <c r="AH11" s="2"/>
    </row>
    <row r="12" spans="1:34" ht="15.75">
      <c r="A12" s="3">
        <f t="shared" si="1"/>
        <v>12</v>
      </c>
      <c r="B12" s="8" t="s">
        <v>97</v>
      </c>
      <c r="C12" s="8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 t="s">
        <v>149</v>
      </c>
      <c r="Q12" s="26"/>
      <c r="R12" s="26">
        <v>-2982174</v>
      </c>
      <c r="S12" s="26"/>
      <c r="T12" s="26">
        <f>SUM(D12:S12)</f>
        <v>-2982174</v>
      </c>
      <c r="U12" s="8"/>
      <c r="V12" s="8"/>
      <c r="X12" s="2"/>
      <c r="AA12" s="2"/>
      <c r="AB12" s="2"/>
      <c r="AC12" s="2"/>
      <c r="AD12" s="2"/>
      <c r="AE12" s="2"/>
      <c r="AF12" s="2"/>
      <c r="AG12" s="2"/>
      <c r="AH12" s="2"/>
    </row>
    <row r="13" spans="1:34" ht="15.75">
      <c r="A13" s="3">
        <f t="shared" si="1"/>
        <v>13</v>
      </c>
      <c r="B13" s="8" t="s">
        <v>36</v>
      </c>
      <c r="C13" s="8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>
        <v>22450</v>
      </c>
      <c r="R13" s="26"/>
      <c r="S13" s="26">
        <f>('[2]Yr End Cust Adj'!$D$48)</f>
        <v>-25924.854718182072</v>
      </c>
      <c r="T13" s="26">
        <f>SUM(D13:S13)</f>
        <v>-3474.8547181820722</v>
      </c>
      <c r="U13" s="8"/>
      <c r="V13" s="8"/>
      <c r="X13" s="2"/>
      <c r="AA13" s="2"/>
      <c r="AB13" s="2"/>
      <c r="AC13" s="2"/>
      <c r="AD13" s="2"/>
      <c r="AE13" s="2"/>
      <c r="AF13" s="2"/>
      <c r="AG13" s="2"/>
      <c r="AH13" s="2"/>
    </row>
    <row r="14" spans="1:34" ht="15.75">
      <c r="A14" s="3">
        <f t="shared" si="1"/>
        <v>14</v>
      </c>
      <c r="B14" s="8"/>
      <c r="C14" s="8"/>
      <c r="D14" s="27" t="s">
        <v>98</v>
      </c>
      <c r="E14" s="27" t="s">
        <v>98</v>
      </c>
      <c r="F14" s="27" t="s">
        <v>98</v>
      </c>
      <c r="G14" s="27" t="s">
        <v>98</v>
      </c>
      <c r="H14" s="27" t="s">
        <v>98</v>
      </c>
      <c r="I14" s="27" t="s">
        <v>98</v>
      </c>
      <c r="J14" s="27" t="s">
        <v>98</v>
      </c>
      <c r="K14" s="27" t="s">
        <v>98</v>
      </c>
      <c r="L14" s="27" t="s">
        <v>98</v>
      </c>
      <c r="M14" s="27" t="s">
        <v>98</v>
      </c>
      <c r="N14" s="27" t="s">
        <v>98</v>
      </c>
      <c r="O14" s="27" t="s">
        <v>98</v>
      </c>
      <c r="P14" s="27" t="s">
        <v>98</v>
      </c>
      <c r="Q14" s="59" t="s">
        <v>154</v>
      </c>
      <c r="R14" s="27" t="s">
        <v>98</v>
      </c>
      <c r="S14" s="27" t="s">
        <v>98</v>
      </c>
      <c r="T14" s="27" t="s">
        <v>98</v>
      </c>
      <c r="U14" s="8"/>
      <c r="V14" s="8"/>
      <c r="X14" s="2"/>
      <c r="AA14" s="2"/>
      <c r="AB14" s="2"/>
      <c r="AC14" s="2"/>
      <c r="AD14" s="2"/>
      <c r="AE14" s="2"/>
      <c r="AF14" s="2"/>
      <c r="AG14" s="2"/>
      <c r="AH14" s="2"/>
    </row>
    <row r="15" spans="1:34" ht="15.75">
      <c r="A15" s="3">
        <f t="shared" si="1"/>
        <v>15</v>
      </c>
      <c r="B15" s="8"/>
      <c r="C15" s="8"/>
      <c r="D15" s="26">
        <f t="shared" ref="D15:T15" si="2">SUM(D9:D13)</f>
        <v>0</v>
      </c>
      <c r="E15" s="26">
        <f t="shared" si="2"/>
        <v>0</v>
      </c>
      <c r="F15" s="26">
        <f t="shared" si="2"/>
        <v>0</v>
      </c>
      <c r="G15" s="26">
        <f t="shared" si="2"/>
        <v>0</v>
      </c>
      <c r="H15" s="26">
        <f t="shared" si="2"/>
        <v>0</v>
      </c>
      <c r="I15" s="26">
        <f t="shared" si="2"/>
        <v>0</v>
      </c>
      <c r="J15" s="26">
        <f t="shared" si="2"/>
        <v>0</v>
      </c>
      <c r="K15" s="26">
        <f t="shared" si="2"/>
        <v>0</v>
      </c>
      <c r="L15" s="26">
        <f t="shared" si="2"/>
        <v>0</v>
      </c>
      <c r="M15" s="26">
        <f t="shared" si="2"/>
        <v>0</v>
      </c>
      <c r="N15" s="26">
        <f t="shared" si="2"/>
        <v>0</v>
      </c>
      <c r="O15" s="26">
        <f t="shared" si="2"/>
        <v>0</v>
      </c>
      <c r="P15" s="26">
        <f t="shared" si="2"/>
        <v>0</v>
      </c>
      <c r="Q15" s="26">
        <f t="shared" si="2"/>
        <v>22450</v>
      </c>
      <c r="R15" s="26">
        <f t="shared" si="2"/>
        <v>-2830651.7417900041</v>
      </c>
      <c r="S15" s="26">
        <f t="shared" si="2"/>
        <v>-25924.854718182072</v>
      </c>
      <c r="T15" s="26">
        <f t="shared" si="2"/>
        <v>-2834126.5965081863</v>
      </c>
      <c r="U15" s="8"/>
      <c r="V15" s="8"/>
      <c r="X15" s="2"/>
      <c r="AA15" s="2"/>
      <c r="AB15" s="2"/>
      <c r="AC15" s="2"/>
      <c r="AD15" s="2"/>
      <c r="AE15" s="2"/>
      <c r="AF15" s="2"/>
      <c r="AG15" s="2"/>
      <c r="AH15" s="2"/>
    </row>
    <row r="16" spans="1:34" ht="15.75">
      <c r="A16" s="3">
        <f t="shared" si="1"/>
        <v>16</v>
      </c>
      <c r="B16" s="8"/>
      <c r="C16" s="8"/>
      <c r="D16" s="27" t="s">
        <v>98</v>
      </c>
      <c r="E16" s="27" t="s">
        <v>98</v>
      </c>
      <c r="F16" s="27" t="s">
        <v>98</v>
      </c>
      <c r="G16" s="27" t="s">
        <v>98</v>
      </c>
      <c r="H16" s="27" t="s">
        <v>98</v>
      </c>
      <c r="I16" s="27" t="s">
        <v>98</v>
      </c>
      <c r="J16" s="27" t="s">
        <v>98</v>
      </c>
      <c r="K16" s="27" t="s">
        <v>98</v>
      </c>
      <c r="L16" s="27" t="s">
        <v>98</v>
      </c>
      <c r="M16" s="27" t="s">
        <v>98</v>
      </c>
      <c r="N16" s="27" t="s">
        <v>98</v>
      </c>
      <c r="O16" s="27" t="s">
        <v>98</v>
      </c>
      <c r="P16" s="27" t="s">
        <v>98</v>
      </c>
      <c r="Q16" s="59" t="s">
        <v>98</v>
      </c>
      <c r="R16" s="27" t="s">
        <v>98</v>
      </c>
      <c r="S16" s="27" t="s">
        <v>98</v>
      </c>
      <c r="T16" s="27" t="s">
        <v>98</v>
      </c>
      <c r="U16" s="8"/>
      <c r="V16" s="8"/>
      <c r="X16" s="2"/>
      <c r="AA16" s="2"/>
      <c r="AB16" s="2"/>
      <c r="AC16" s="2"/>
      <c r="AD16" s="2"/>
      <c r="AE16" s="2"/>
      <c r="AF16" s="2"/>
      <c r="AG16" s="2"/>
      <c r="AH16" s="2"/>
    </row>
    <row r="17" spans="1:34" ht="15.75">
      <c r="A17" s="3">
        <f t="shared" si="1"/>
        <v>17</v>
      </c>
      <c r="B17" s="8" t="s">
        <v>37</v>
      </c>
      <c r="C17" s="8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8"/>
      <c r="V17" s="8"/>
      <c r="X17" s="2"/>
      <c r="AA17" s="2"/>
      <c r="AB17" s="2"/>
      <c r="AC17" s="2"/>
      <c r="AD17" s="2"/>
      <c r="AE17" s="2"/>
      <c r="AF17" s="2"/>
      <c r="AG17" s="2"/>
      <c r="AH17" s="2"/>
    </row>
    <row r="18" spans="1:34" ht="15.75">
      <c r="A18" s="3">
        <f t="shared" si="1"/>
        <v>18</v>
      </c>
      <c r="B18" s="8" t="s">
        <v>38</v>
      </c>
      <c r="C18" s="8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8"/>
      <c r="V18" s="8"/>
      <c r="X18" s="2"/>
      <c r="AA18" s="2"/>
      <c r="AB18" s="2"/>
      <c r="AC18" s="2"/>
      <c r="AD18" s="2"/>
      <c r="AE18" s="2"/>
      <c r="AF18" s="2"/>
      <c r="AG18" s="2"/>
      <c r="AH18" s="2"/>
    </row>
    <row r="19" spans="1:34" ht="15.75">
      <c r="A19" s="3">
        <f t="shared" si="1"/>
        <v>19</v>
      </c>
      <c r="B19" s="8" t="s">
        <v>39</v>
      </c>
      <c r="C19" s="8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>
        <v>-17184</v>
      </c>
      <c r="Q19" s="26"/>
      <c r="R19" s="26"/>
      <c r="S19" s="26"/>
      <c r="T19" s="26">
        <f t="shared" ref="T19:T25" si="3">SUM(D19:S19)</f>
        <v>-17184</v>
      </c>
      <c r="U19" s="8"/>
      <c r="V19" s="8"/>
      <c r="X19" s="2"/>
      <c r="AA19" s="2"/>
      <c r="AB19" s="2"/>
      <c r="AC19" s="2"/>
      <c r="AD19" s="2"/>
      <c r="AE19" s="2"/>
      <c r="AF19" s="2"/>
      <c r="AG19" s="2"/>
      <c r="AH19" s="2"/>
    </row>
    <row r="20" spans="1:34" ht="15.75">
      <c r="A20" s="3">
        <f t="shared" si="1"/>
        <v>20</v>
      </c>
      <c r="B20" s="8" t="s">
        <v>40</v>
      </c>
      <c r="C20" s="8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>
        <v>-2818449</v>
      </c>
      <c r="Q20" s="26"/>
      <c r="R20" s="26"/>
      <c r="S20" s="26"/>
      <c r="T20" s="26">
        <f t="shared" si="3"/>
        <v>-2818449</v>
      </c>
      <c r="U20" s="8"/>
      <c r="V20" s="8"/>
      <c r="X20" s="2"/>
      <c r="AA20" s="2"/>
      <c r="AB20" s="2"/>
      <c r="AC20" s="2"/>
      <c r="AD20" s="2"/>
      <c r="AE20" s="2"/>
      <c r="AF20" s="2"/>
      <c r="AG20" s="2"/>
      <c r="AH20" s="2"/>
    </row>
    <row r="21" spans="1:34" ht="15.75">
      <c r="A21" s="3">
        <f t="shared" si="1"/>
        <v>21</v>
      </c>
      <c r="B21" s="8" t="s">
        <v>41</v>
      </c>
      <c r="C21" s="8"/>
      <c r="D21" s="26">
        <v>4320</v>
      </c>
      <c r="E21" s="26">
        <v>462</v>
      </c>
      <c r="F21" s="26">
        <v>-1138</v>
      </c>
      <c r="G21" s="26"/>
      <c r="H21" s="26">
        <v>1927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>
        <f t="shared" si="3"/>
        <v>5571</v>
      </c>
      <c r="U21" s="8"/>
      <c r="V21" s="8"/>
      <c r="X21" s="2"/>
      <c r="AA21" s="2"/>
      <c r="AB21" s="2"/>
      <c r="AC21" s="2"/>
      <c r="AD21" s="2"/>
      <c r="AE21" s="2"/>
      <c r="AF21" s="2"/>
      <c r="AG21" s="2"/>
      <c r="AH21" s="2"/>
    </row>
    <row r="22" spans="1:34" ht="15.75">
      <c r="A22" s="3">
        <f t="shared" si="1"/>
        <v>22</v>
      </c>
      <c r="B22" s="8" t="s">
        <v>42</v>
      </c>
      <c r="C22" s="8"/>
      <c r="D22" s="26">
        <v>13860</v>
      </c>
      <c r="E22" s="26">
        <v>1482</v>
      </c>
      <c r="F22" s="26">
        <v>-2034</v>
      </c>
      <c r="G22" s="26"/>
      <c r="H22" s="26">
        <v>6183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>
        <f t="shared" si="3"/>
        <v>19491</v>
      </c>
      <c r="U22" s="8"/>
      <c r="V22" s="8"/>
      <c r="X22" s="2"/>
      <c r="AA22" s="2"/>
      <c r="AB22" s="2"/>
      <c r="AC22" s="2"/>
      <c r="AD22" s="2"/>
      <c r="AE22" s="2"/>
      <c r="AF22" s="2"/>
      <c r="AG22" s="2"/>
      <c r="AH22" s="2"/>
    </row>
    <row r="23" spans="1:34" ht="15.75">
      <c r="A23" s="3">
        <f t="shared" si="1"/>
        <v>23</v>
      </c>
      <c r="B23" s="8" t="s">
        <v>43</v>
      </c>
      <c r="C23" s="8"/>
      <c r="D23" s="26">
        <v>12128</v>
      </c>
      <c r="E23" s="26">
        <v>1297</v>
      </c>
      <c r="F23" s="26">
        <v>-523</v>
      </c>
      <c r="G23" s="26"/>
      <c r="H23" s="26">
        <v>5410</v>
      </c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>
        <f t="shared" si="3"/>
        <v>18312</v>
      </c>
      <c r="U23" s="8"/>
      <c r="V23" s="8"/>
      <c r="X23" s="2"/>
      <c r="AA23" s="2"/>
      <c r="AB23" s="2"/>
      <c r="AC23" s="2"/>
      <c r="AD23" s="2"/>
      <c r="AE23" s="2"/>
      <c r="AF23" s="2"/>
      <c r="AG23" s="2"/>
      <c r="AH23" s="2"/>
    </row>
    <row r="24" spans="1:34" ht="15.75">
      <c r="A24" s="3">
        <f t="shared" si="1"/>
        <v>24</v>
      </c>
      <c r="B24" s="8" t="s">
        <v>44</v>
      </c>
      <c r="C24" s="8"/>
      <c r="D24" s="29">
        <v>1059</v>
      </c>
      <c r="E24" s="26">
        <v>113</v>
      </c>
      <c r="F24" s="26">
        <v>-432</v>
      </c>
      <c r="G24" s="26"/>
      <c r="H24" s="26">
        <v>473</v>
      </c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>
        <f t="shared" si="3"/>
        <v>1213</v>
      </c>
      <c r="U24" s="8"/>
      <c r="V24" s="8"/>
      <c r="X24" s="2"/>
      <c r="AA24" s="2"/>
      <c r="AB24" s="2"/>
      <c r="AC24" s="2"/>
      <c r="AD24" s="2"/>
      <c r="AE24" s="2"/>
      <c r="AF24" s="2"/>
      <c r="AG24" s="2"/>
      <c r="AH24" s="2"/>
    </row>
    <row r="25" spans="1:34" ht="15.75">
      <c r="A25" s="3">
        <f t="shared" si="1"/>
        <v>25</v>
      </c>
      <c r="B25" s="8" t="s">
        <v>45</v>
      </c>
      <c r="C25" s="8"/>
      <c r="D25" s="29">
        <v>0</v>
      </c>
      <c r="E25" s="26">
        <v>0</v>
      </c>
      <c r="F25" s="26">
        <v>0</v>
      </c>
      <c r="G25" s="26"/>
      <c r="H25" s="26">
        <v>0</v>
      </c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>
        <f t="shared" si="3"/>
        <v>0</v>
      </c>
      <c r="U25" s="8"/>
      <c r="V25" s="8"/>
      <c r="X25" s="2"/>
      <c r="AA25" s="2"/>
      <c r="AB25" s="2"/>
      <c r="AC25" s="2"/>
      <c r="AD25" s="2"/>
      <c r="AE25" s="2"/>
      <c r="AF25" s="2"/>
      <c r="AG25" s="2"/>
      <c r="AH25" s="2"/>
    </row>
    <row r="26" spans="1:34" ht="15.75">
      <c r="A26" s="3">
        <f t="shared" si="1"/>
        <v>26</v>
      </c>
      <c r="B26" s="8" t="s">
        <v>46</v>
      </c>
      <c r="C26" s="8"/>
      <c r="D26" s="26">
        <v>8643</v>
      </c>
      <c r="E26" s="26">
        <v>924</v>
      </c>
      <c r="F26" s="26">
        <v>-742</v>
      </c>
      <c r="G26" s="26"/>
      <c r="H26" s="26">
        <v>3856</v>
      </c>
      <c r="I26" s="26">
        <v>-1144</v>
      </c>
      <c r="J26" s="26"/>
      <c r="K26" s="26">
        <v>-17212</v>
      </c>
      <c r="L26" s="26">
        <v>-68173</v>
      </c>
      <c r="M26" s="26">
        <v>-2169</v>
      </c>
      <c r="N26" s="26">
        <v>35000</v>
      </c>
      <c r="O26" s="26"/>
      <c r="P26" s="26"/>
      <c r="Q26" s="26"/>
      <c r="R26" s="26"/>
      <c r="S26" s="26"/>
      <c r="T26" s="26">
        <f>SUM(D26:S26)</f>
        <v>-41017</v>
      </c>
      <c r="U26" s="8"/>
      <c r="V26" s="8"/>
      <c r="X26" s="2"/>
      <c r="AA26" s="2"/>
      <c r="AB26" s="2"/>
      <c r="AC26" s="2"/>
      <c r="AD26" s="2"/>
      <c r="AE26" s="2"/>
      <c r="AF26" s="2"/>
      <c r="AG26" s="2"/>
      <c r="AH26" s="2"/>
    </row>
    <row r="27" spans="1:34" ht="15.75">
      <c r="A27" s="3">
        <f t="shared" si="1"/>
        <v>27</v>
      </c>
      <c r="B27" s="8"/>
      <c r="C27" s="8"/>
      <c r="D27" s="27" t="s">
        <v>98</v>
      </c>
      <c r="E27" s="27" t="s">
        <v>98</v>
      </c>
      <c r="F27" s="27" t="s">
        <v>98</v>
      </c>
      <c r="G27" s="27" t="s">
        <v>98</v>
      </c>
      <c r="H27" s="27" t="s">
        <v>98</v>
      </c>
      <c r="I27" s="27" t="s">
        <v>98</v>
      </c>
      <c r="J27" s="27" t="s">
        <v>98</v>
      </c>
      <c r="K27" s="27" t="s">
        <v>98</v>
      </c>
      <c r="L27" s="27" t="s">
        <v>98</v>
      </c>
      <c r="M27" s="27" t="s">
        <v>98</v>
      </c>
      <c r="N27" s="27" t="s">
        <v>98</v>
      </c>
      <c r="O27" s="27" t="s">
        <v>98</v>
      </c>
      <c r="P27" s="27" t="s">
        <v>98</v>
      </c>
      <c r="Q27" s="59" t="s">
        <v>154</v>
      </c>
      <c r="R27" s="27" t="s">
        <v>98</v>
      </c>
      <c r="S27" s="27" t="s">
        <v>98</v>
      </c>
      <c r="T27" s="27" t="s">
        <v>98</v>
      </c>
      <c r="U27" s="8"/>
      <c r="V27" s="8"/>
      <c r="X27" s="2"/>
      <c r="AA27" s="2"/>
      <c r="AB27" s="2"/>
      <c r="AC27" s="2"/>
      <c r="AD27" s="2"/>
      <c r="AE27" s="2"/>
      <c r="AF27" s="2"/>
      <c r="AG27" s="2"/>
      <c r="AH27" s="2"/>
    </row>
    <row r="28" spans="1:34" ht="15.75">
      <c r="A28" s="3">
        <f t="shared" si="1"/>
        <v>28</v>
      </c>
      <c r="B28" s="8" t="s">
        <v>47</v>
      </c>
      <c r="C28" s="8"/>
      <c r="D28" s="26">
        <f t="shared" ref="D28:T28" si="4">SUM(D18:D26)</f>
        <v>40010</v>
      </c>
      <c r="E28" s="26">
        <f t="shared" si="4"/>
        <v>4278</v>
      </c>
      <c r="F28" s="26">
        <f t="shared" si="4"/>
        <v>-4869</v>
      </c>
      <c r="G28" s="26">
        <f t="shared" si="4"/>
        <v>0</v>
      </c>
      <c r="H28" s="26">
        <f t="shared" si="4"/>
        <v>17849</v>
      </c>
      <c r="I28" s="26">
        <f t="shared" si="4"/>
        <v>-1144</v>
      </c>
      <c r="J28" s="26">
        <f t="shared" si="4"/>
        <v>0</v>
      </c>
      <c r="K28" s="26">
        <f t="shared" si="4"/>
        <v>-17212</v>
      </c>
      <c r="L28" s="26">
        <f t="shared" si="4"/>
        <v>-68173</v>
      </c>
      <c r="M28" s="26">
        <f t="shared" si="4"/>
        <v>-2169</v>
      </c>
      <c r="N28" s="26">
        <f t="shared" si="4"/>
        <v>35000</v>
      </c>
      <c r="O28" s="26">
        <f t="shared" si="4"/>
        <v>0</v>
      </c>
      <c r="P28" s="26">
        <f t="shared" si="4"/>
        <v>-2835633</v>
      </c>
      <c r="Q28" s="26">
        <f t="shared" si="4"/>
        <v>0</v>
      </c>
      <c r="R28" s="26">
        <f t="shared" si="4"/>
        <v>0</v>
      </c>
      <c r="S28" s="26">
        <f t="shared" si="4"/>
        <v>0</v>
      </c>
      <c r="T28" s="26">
        <f t="shared" si="4"/>
        <v>-2832063</v>
      </c>
      <c r="U28" s="8"/>
      <c r="V28" s="8"/>
      <c r="X28" s="2"/>
      <c r="AA28" s="2"/>
      <c r="AB28" s="2"/>
      <c r="AC28" s="2"/>
      <c r="AD28" s="2"/>
      <c r="AE28" s="2"/>
      <c r="AF28" s="2"/>
      <c r="AG28" s="2"/>
      <c r="AH28" s="2"/>
    </row>
    <row r="29" spans="1:34" ht="15.75">
      <c r="A29" s="3">
        <f t="shared" si="1"/>
        <v>29</v>
      </c>
      <c r="B29" s="8"/>
      <c r="C29" s="8"/>
      <c r="D29" s="27" t="s">
        <v>98</v>
      </c>
      <c r="E29" s="27" t="s">
        <v>98</v>
      </c>
      <c r="F29" s="27" t="s">
        <v>98</v>
      </c>
      <c r="G29" s="27" t="s">
        <v>98</v>
      </c>
      <c r="H29" s="27" t="s">
        <v>98</v>
      </c>
      <c r="I29" s="27" t="s">
        <v>98</v>
      </c>
      <c r="J29" s="27" t="s">
        <v>98</v>
      </c>
      <c r="K29" s="27" t="s">
        <v>98</v>
      </c>
      <c r="L29" s="27" t="s">
        <v>98</v>
      </c>
      <c r="M29" s="27" t="s">
        <v>98</v>
      </c>
      <c r="N29" s="27" t="s">
        <v>98</v>
      </c>
      <c r="O29" s="27" t="s">
        <v>98</v>
      </c>
      <c r="P29" s="27" t="s">
        <v>98</v>
      </c>
      <c r="Q29" s="59" t="s">
        <v>154</v>
      </c>
      <c r="R29" s="27" t="s">
        <v>98</v>
      </c>
      <c r="S29" s="27" t="s">
        <v>98</v>
      </c>
      <c r="T29" s="27" t="s">
        <v>98</v>
      </c>
      <c r="U29" s="8"/>
      <c r="V29" s="8"/>
      <c r="X29" s="2"/>
      <c r="AA29" s="2"/>
      <c r="AB29" s="2"/>
      <c r="AC29" s="2"/>
      <c r="AD29" s="2"/>
      <c r="AE29" s="2"/>
      <c r="AF29" s="2"/>
      <c r="AG29" s="2"/>
      <c r="AH29" s="2"/>
    </row>
    <row r="30" spans="1:34" ht="15.75">
      <c r="A30" s="3">
        <f t="shared" si="1"/>
        <v>30</v>
      </c>
      <c r="B30" s="8" t="s">
        <v>48</v>
      </c>
      <c r="C30" s="8"/>
      <c r="D30" s="26"/>
      <c r="E30" s="26"/>
      <c r="F30" s="26">
        <v>219610</v>
      </c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>
        <f>SUM(D30:S30)</f>
        <v>219610</v>
      </c>
      <c r="U30" s="8"/>
      <c r="V30" s="8"/>
      <c r="X30" s="2"/>
      <c r="AA30" s="2"/>
      <c r="AB30" s="2"/>
      <c r="AC30" s="2"/>
      <c r="AD30" s="2"/>
      <c r="AE30" s="2"/>
      <c r="AF30" s="2"/>
      <c r="AG30" s="2"/>
      <c r="AH30" s="2"/>
    </row>
    <row r="31" spans="1:34" ht="15.75">
      <c r="A31" s="3">
        <f t="shared" si="1"/>
        <v>31</v>
      </c>
      <c r="B31" s="8" t="s">
        <v>49</v>
      </c>
      <c r="C31" s="8"/>
      <c r="D31" s="26"/>
      <c r="E31" s="26"/>
      <c r="F31" s="26"/>
      <c r="G31" s="26" t="s">
        <v>149</v>
      </c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>
        <f>SUM(D31:S31)</f>
        <v>0</v>
      </c>
      <c r="U31" s="8"/>
      <c r="V31" s="8"/>
      <c r="X31" s="2"/>
      <c r="AA31" s="2"/>
      <c r="AB31" s="2"/>
      <c r="AC31" s="2"/>
      <c r="AD31" s="2"/>
      <c r="AE31" s="2"/>
      <c r="AF31" s="2"/>
      <c r="AG31" s="2"/>
      <c r="AH31" s="2"/>
    </row>
    <row r="32" spans="1:34" ht="15.75">
      <c r="A32" s="3">
        <f t="shared" si="1"/>
        <v>32</v>
      </c>
      <c r="B32" s="8" t="s">
        <v>50</v>
      </c>
      <c r="C32" s="8"/>
      <c r="D32" s="26"/>
      <c r="E32" s="26"/>
      <c r="F32" s="26"/>
      <c r="G32" s="26">
        <v>397503</v>
      </c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>
        <f>SUM(D32:S32)</f>
        <v>397503</v>
      </c>
      <c r="U32" s="8"/>
      <c r="V32" s="8"/>
      <c r="X32" s="2"/>
      <c r="AA32" s="2"/>
      <c r="AB32" s="2"/>
      <c r="AC32" s="2"/>
      <c r="AD32" s="2"/>
      <c r="AE32" s="2"/>
      <c r="AF32" s="2"/>
      <c r="AG32" s="2"/>
      <c r="AH32" s="2"/>
    </row>
    <row r="33" spans="1:34" ht="15.75">
      <c r="A33" s="3">
        <f t="shared" si="1"/>
        <v>33</v>
      </c>
      <c r="B33" s="8" t="s">
        <v>51</v>
      </c>
      <c r="C33" s="8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>
        <f>SUM(D33:S33)</f>
        <v>0</v>
      </c>
      <c r="U33" s="8"/>
      <c r="V33" s="8"/>
      <c r="X33" s="2"/>
      <c r="AA33" s="2"/>
      <c r="AB33" s="2"/>
      <c r="AC33" s="2"/>
      <c r="AD33" s="2"/>
      <c r="AE33" s="2"/>
      <c r="AF33" s="2"/>
      <c r="AG33" s="2"/>
      <c r="AH33" s="2"/>
    </row>
    <row r="34" spans="1:34" ht="15.75">
      <c r="A34" s="3">
        <f t="shared" si="1"/>
        <v>34</v>
      </c>
      <c r="B34" s="8" t="s">
        <v>52</v>
      </c>
      <c r="C34" s="8"/>
      <c r="D34" s="26"/>
      <c r="E34" s="26"/>
      <c r="F34" s="26"/>
      <c r="G34" s="26"/>
      <c r="H34" s="26"/>
      <c r="I34" s="26"/>
      <c r="J34" s="26">
        <v>-12632</v>
      </c>
      <c r="K34" s="26"/>
      <c r="L34" s="26"/>
      <c r="M34" s="26"/>
      <c r="N34" s="26"/>
      <c r="O34" s="26"/>
      <c r="P34" s="26"/>
      <c r="Q34" s="26"/>
      <c r="R34" s="26"/>
      <c r="S34" s="26"/>
      <c r="T34" s="26">
        <f>SUM(D34:S34)</f>
        <v>-12632</v>
      </c>
      <c r="U34" s="8"/>
      <c r="V34" s="8"/>
      <c r="X34" s="2"/>
      <c r="AA34" s="2"/>
      <c r="AB34" s="2"/>
      <c r="AC34" s="2"/>
      <c r="AD34" s="2"/>
      <c r="AE34" s="2"/>
      <c r="AF34" s="2"/>
      <c r="AG34" s="2"/>
      <c r="AH34" s="2"/>
    </row>
    <row r="35" spans="1:34" ht="15.75">
      <c r="A35" s="3">
        <f t="shared" si="1"/>
        <v>35</v>
      </c>
      <c r="B35" s="8"/>
      <c r="C35" s="8"/>
      <c r="D35" s="27" t="s">
        <v>98</v>
      </c>
      <c r="E35" s="27" t="s">
        <v>98</v>
      </c>
      <c r="F35" s="27" t="s">
        <v>98</v>
      </c>
      <c r="G35" s="27" t="s">
        <v>98</v>
      </c>
      <c r="H35" s="27" t="s">
        <v>98</v>
      </c>
      <c r="I35" s="27" t="s">
        <v>98</v>
      </c>
      <c r="J35" s="27" t="s">
        <v>98</v>
      </c>
      <c r="K35" s="27" t="s">
        <v>98</v>
      </c>
      <c r="L35" s="27" t="s">
        <v>98</v>
      </c>
      <c r="M35" s="27" t="s">
        <v>98</v>
      </c>
      <c r="N35" s="27" t="s">
        <v>98</v>
      </c>
      <c r="O35" s="27" t="s">
        <v>98</v>
      </c>
      <c r="P35" s="27" t="s">
        <v>98</v>
      </c>
      <c r="Q35" s="59" t="s">
        <v>154</v>
      </c>
      <c r="R35" s="27" t="s">
        <v>98</v>
      </c>
      <c r="S35" s="27" t="s">
        <v>98</v>
      </c>
      <c r="T35" s="27" t="s">
        <v>98</v>
      </c>
      <c r="U35" s="8"/>
      <c r="V35" s="8"/>
      <c r="X35" s="2"/>
      <c r="AA35" s="2"/>
      <c r="AB35" s="2"/>
      <c r="AC35" s="2"/>
      <c r="AD35" s="2"/>
      <c r="AE35" s="2"/>
      <c r="AF35" s="2"/>
      <c r="AG35" s="2"/>
      <c r="AH35" s="2"/>
    </row>
    <row r="36" spans="1:34" ht="15.75">
      <c r="A36" s="3">
        <f t="shared" si="1"/>
        <v>36</v>
      </c>
      <c r="B36" s="8" t="s">
        <v>53</v>
      </c>
      <c r="C36" s="8"/>
      <c r="D36" s="26">
        <f t="shared" ref="D36:T36" si="5">SUM(D28:D34)</f>
        <v>40010</v>
      </c>
      <c r="E36" s="26">
        <f t="shared" si="5"/>
        <v>4278</v>
      </c>
      <c r="F36" s="26">
        <f>SUM(F28:F34)</f>
        <v>214741</v>
      </c>
      <c r="G36" s="26">
        <f t="shared" si="5"/>
        <v>397503</v>
      </c>
      <c r="H36" s="26">
        <f t="shared" si="5"/>
        <v>17849</v>
      </c>
      <c r="I36" s="26">
        <f t="shared" si="5"/>
        <v>-1144</v>
      </c>
      <c r="J36" s="26">
        <f t="shared" si="5"/>
        <v>-12632</v>
      </c>
      <c r="K36" s="26">
        <f t="shared" si="5"/>
        <v>-17212</v>
      </c>
      <c r="L36" s="26">
        <f t="shared" si="5"/>
        <v>-68173</v>
      </c>
      <c r="M36" s="26">
        <f t="shared" si="5"/>
        <v>-2169</v>
      </c>
      <c r="N36" s="26">
        <f t="shared" si="5"/>
        <v>35000</v>
      </c>
      <c r="O36" s="26">
        <f t="shared" si="5"/>
        <v>0</v>
      </c>
      <c r="P36" s="26">
        <f t="shared" si="5"/>
        <v>-2835633</v>
      </c>
      <c r="Q36" s="26">
        <f t="shared" si="5"/>
        <v>0</v>
      </c>
      <c r="R36" s="26">
        <f t="shared" si="5"/>
        <v>0</v>
      </c>
      <c r="S36" s="26">
        <f t="shared" si="5"/>
        <v>0</v>
      </c>
      <c r="T36" s="26">
        <f t="shared" si="5"/>
        <v>-2227582</v>
      </c>
      <c r="U36" s="8"/>
      <c r="V36" s="8"/>
      <c r="X36" s="2"/>
      <c r="AA36" s="2"/>
      <c r="AB36" s="2"/>
      <c r="AC36" s="2"/>
      <c r="AD36" s="2"/>
      <c r="AE36" s="2"/>
      <c r="AF36" s="2"/>
      <c r="AG36" s="2"/>
      <c r="AH36" s="2"/>
    </row>
    <row r="37" spans="1:34" ht="15.75">
      <c r="A37" s="3">
        <f t="shared" si="1"/>
        <v>37</v>
      </c>
      <c r="B37" s="8"/>
      <c r="C37" s="8"/>
      <c r="D37" s="27" t="s">
        <v>98</v>
      </c>
      <c r="E37" s="27" t="s">
        <v>98</v>
      </c>
      <c r="F37" s="27" t="s">
        <v>98</v>
      </c>
      <c r="G37" s="27" t="s">
        <v>98</v>
      </c>
      <c r="H37" s="27" t="s">
        <v>98</v>
      </c>
      <c r="I37" s="27" t="s">
        <v>98</v>
      </c>
      <c r="J37" s="27" t="s">
        <v>98</v>
      </c>
      <c r="K37" s="27" t="s">
        <v>98</v>
      </c>
      <c r="L37" s="27" t="s">
        <v>98</v>
      </c>
      <c r="M37" s="27" t="s">
        <v>98</v>
      </c>
      <c r="N37" s="27" t="s">
        <v>98</v>
      </c>
      <c r="O37" s="27" t="s">
        <v>98</v>
      </c>
      <c r="P37" s="27" t="s">
        <v>98</v>
      </c>
      <c r="Q37" s="59" t="s">
        <v>154</v>
      </c>
      <c r="R37" s="27" t="s">
        <v>98</v>
      </c>
      <c r="S37" s="27" t="s">
        <v>98</v>
      </c>
      <c r="T37" s="27" t="s">
        <v>98</v>
      </c>
      <c r="U37" s="8"/>
      <c r="V37" s="8"/>
      <c r="X37" s="2"/>
      <c r="AA37" s="2"/>
      <c r="AB37" s="2"/>
      <c r="AC37" s="2"/>
      <c r="AD37" s="2"/>
      <c r="AE37" s="2"/>
      <c r="AF37" s="2"/>
      <c r="AG37" s="2"/>
      <c r="AH37" s="2"/>
    </row>
    <row r="38" spans="1:34" ht="15.75">
      <c r="A38" s="3">
        <f t="shared" si="1"/>
        <v>38</v>
      </c>
      <c r="B38" s="8" t="s">
        <v>54</v>
      </c>
      <c r="C38" s="8"/>
      <c r="D38" s="26">
        <f t="shared" ref="D38:T38" si="6">(+D15-D36)</f>
        <v>-40010</v>
      </c>
      <c r="E38" s="26">
        <f t="shared" si="6"/>
        <v>-4278</v>
      </c>
      <c r="F38" s="26">
        <f t="shared" si="6"/>
        <v>-214741</v>
      </c>
      <c r="G38" s="26">
        <f t="shared" si="6"/>
        <v>-397503</v>
      </c>
      <c r="H38" s="26">
        <f t="shared" si="6"/>
        <v>-17849</v>
      </c>
      <c r="I38" s="26">
        <f t="shared" si="6"/>
        <v>1144</v>
      </c>
      <c r="J38" s="26">
        <f t="shared" si="6"/>
        <v>12632</v>
      </c>
      <c r="K38" s="26">
        <f t="shared" si="6"/>
        <v>17212</v>
      </c>
      <c r="L38" s="26">
        <f t="shared" si="6"/>
        <v>68173</v>
      </c>
      <c r="M38" s="26">
        <f t="shared" si="6"/>
        <v>2169</v>
      </c>
      <c r="N38" s="26">
        <f t="shared" si="6"/>
        <v>-35000</v>
      </c>
      <c r="O38" s="26">
        <f t="shared" si="6"/>
        <v>0</v>
      </c>
      <c r="P38" s="26">
        <f t="shared" si="6"/>
        <v>2835633</v>
      </c>
      <c r="Q38" s="26">
        <f t="shared" si="6"/>
        <v>22450</v>
      </c>
      <c r="R38" s="26">
        <f t="shared" si="6"/>
        <v>-2830651.7417900041</v>
      </c>
      <c r="S38" s="26">
        <f t="shared" si="6"/>
        <v>-25924.854718182072</v>
      </c>
      <c r="T38" s="26">
        <f t="shared" si="6"/>
        <v>-606544.59650818631</v>
      </c>
      <c r="U38" s="8"/>
      <c r="V38" s="8"/>
      <c r="X38" s="2"/>
      <c r="AA38" s="2"/>
      <c r="AB38" s="2"/>
      <c r="AC38" s="2"/>
      <c r="AD38" s="2"/>
      <c r="AE38" s="2"/>
      <c r="AF38" s="2"/>
      <c r="AG38" s="2"/>
      <c r="AH38" s="2"/>
    </row>
    <row r="39" spans="1:34" ht="15.75">
      <c r="A39" s="3">
        <f t="shared" si="1"/>
        <v>39</v>
      </c>
      <c r="B39" s="8"/>
      <c r="C39" s="8"/>
      <c r="D39" s="27" t="s">
        <v>98</v>
      </c>
      <c r="E39" s="27" t="s">
        <v>98</v>
      </c>
      <c r="F39" s="27" t="s">
        <v>98</v>
      </c>
      <c r="G39" s="27" t="s">
        <v>98</v>
      </c>
      <c r="H39" s="27" t="s">
        <v>98</v>
      </c>
      <c r="I39" s="27" t="s">
        <v>98</v>
      </c>
      <c r="J39" s="27" t="s">
        <v>98</v>
      </c>
      <c r="K39" s="27" t="s">
        <v>98</v>
      </c>
      <c r="L39" s="27" t="s">
        <v>98</v>
      </c>
      <c r="M39" s="27" t="s">
        <v>98</v>
      </c>
      <c r="N39" s="27" t="s">
        <v>98</v>
      </c>
      <c r="O39" s="27" t="s">
        <v>98</v>
      </c>
      <c r="P39" s="27" t="s">
        <v>98</v>
      </c>
      <c r="Q39" s="59" t="s">
        <v>154</v>
      </c>
      <c r="R39" s="27" t="s">
        <v>98</v>
      </c>
      <c r="S39" s="27" t="s">
        <v>98</v>
      </c>
      <c r="T39" s="27" t="s">
        <v>98</v>
      </c>
      <c r="U39" s="8"/>
      <c r="V39" s="8"/>
      <c r="X39" s="2"/>
      <c r="AA39" s="2"/>
      <c r="AB39" s="2"/>
      <c r="AC39" s="2"/>
      <c r="AD39" s="2"/>
      <c r="AE39" s="2"/>
      <c r="AF39" s="2"/>
      <c r="AG39" s="2"/>
      <c r="AH39" s="2"/>
    </row>
    <row r="40" spans="1:34" ht="15.75">
      <c r="A40" s="3">
        <f t="shared" si="1"/>
        <v>40</v>
      </c>
      <c r="B40" s="8" t="s">
        <v>55</v>
      </c>
      <c r="C40" s="8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>
        <f>SUM(D40:S40)</f>
        <v>0</v>
      </c>
      <c r="U40" s="8"/>
      <c r="V40" s="8"/>
      <c r="X40" s="2"/>
      <c r="AA40" s="2"/>
      <c r="AB40" s="2"/>
      <c r="AC40" s="2"/>
      <c r="AD40" s="2"/>
      <c r="AE40" s="2"/>
      <c r="AF40" s="2"/>
      <c r="AG40" s="2"/>
      <c r="AH40" s="2"/>
    </row>
    <row r="41" spans="1:34" ht="15.75">
      <c r="A41" s="3">
        <f t="shared" si="1"/>
        <v>41</v>
      </c>
      <c r="B41" s="8" t="s">
        <v>56</v>
      </c>
      <c r="C41" s="8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>
        <f>SUM(D41:S41)</f>
        <v>0</v>
      </c>
      <c r="U41" s="8"/>
      <c r="V41" s="8"/>
      <c r="X41" s="2"/>
      <c r="AA41" s="2"/>
      <c r="AB41" s="2"/>
      <c r="AC41" s="2"/>
      <c r="AD41" s="2"/>
      <c r="AE41" s="2"/>
      <c r="AF41" s="2"/>
      <c r="AG41" s="2"/>
      <c r="AH41" s="2"/>
    </row>
    <row r="42" spans="1:34" ht="15.75">
      <c r="A42" s="3">
        <f t="shared" si="1"/>
        <v>42</v>
      </c>
      <c r="B42" s="8" t="s">
        <v>133</v>
      </c>
      <c r="C42" s="8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>
        <f>-'adjusted is'!C40</f>
        <v>-2489156</v>
      </c>
      <c r="P42" s="26"/>
      <c r="Q42" s="26"/>
      <c r="R42" s="26"/>
      <c r="S42" s="26"/>
      <c r="T42" s="26">
        <f>SUM(D42:S42)</f>
        <v>-2489156</v>
      </c>
      <c r="U42" s="8"/>
      <c r="V42" s="8"/>
      <c r="X42" s="2"/>
      <c r="AA42" s="2"/>
      <c r="AB42" s="2"/>
      <c r="AC42" s="2"/>
      <c r="AD42" s="2"/>
      <c r="AE42" s="2"/>
      <c r="AF42" s="2"/>
      <c r="AG42" s="2"/>
      <c r="AH42" s="2"/>
    </row>
    <row r="43" spans="1:34" ht="15.75">
      <c r="A43" s="3">
        <f t="shared" si="1"/>
        <v>43</v>
      </c>
      <c r="B43" s="8" t="s">
        <v>99</v>
      </c>
      <c r="C43" s="8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>
        <f>SUM(D43:S43)</f>
        <v>0</v>
      </c>
      <c r="U43" s="8"/>
      <c r="V43" s="8"/>
      <c r="X43" s="2"/>
      <c r="AA43" s="2"/>
      <c r="AB43" s="2"/>
      <c r="AC43" s="2"/>
      <c r="AD43" s="2"/>
      <c r="AE43" s="2"/>
      <c r="AF43" s="2"/>
      <c r="AG43" s="2"/>
      <c r="AH43" s="2"/>
    </row>
    <row r="44" spans="1:34" ht="15.75">
      <c r="A44" s="3">
        <f t="shared" si="1"/>
        <v>44</v>
      </c>
      <c r="B44" s="8"/>
      <c r="C44" s="8"/>
      <c r="D44" s="27" t="s">
        <v>98</v>
      </c>
      <c r="E44" s="27" t="s">
        <v>98</v>
      </c>
      <c r="F44" s="27" t="s">
        <v>98</v>
      </c>
      <c r="G44" s="27" t="s">
        <v>98</v>
      </c>
      <c r="H44" s="27" t="s">
        <v>98</v>
      </c>
      <c r="I44" s="27" t="s">
        <v>98</v>
      </c>
      <c r="J44" s="27" t="s">
        <v>98</v>
      </c>
      <c r="K44" s="27" t="s">
        <v>98</v>
      </c>
      <c r="L44" s="27" t="s">
        <v>98</v>
      </c>
      <c r="M44" s="27" t="s">
        <v>98</v>
      </c>
      <c r="N44" s="27" t="s">
        <v>98</v>
      </c>
      <c r="O44" s="27" t="s">
        <v>98</v>
      </c>
      <c r="P44" s="27" t="s">
        <v>98</v>
      </c>
      <c r="Q44" s="59" t="s">
        <v>155</v>
      </c>
      <c r="R44" s="27" t="s">
        <v>98</v>
      </c>
      <c r="S44" s="59" t="s">
        <v>154</v>
      </c>
      <c r="T44" s="27" t="s">
        <v>98</v>
      </c>
      <c r="U44" s="8"/>
      <c r="V44" s="8"/>
      <c r="X44" s="2"/>
      <c r="AA44" s="2"/>
      <c r="AB44" s="2"/>
      <c r="AC44" s="2"/>
      <c r="AD44" s="2"/>
      <c r="AE44" s="2"/>
      <c r="AF44" s="2"/>
      <c r="AG44" s="2"/>
      <c r="AH44" s="2"/>
    </row>
    <row r="45" spans="1:34" ht="15.75">
      <c r="A45" s="3">
        <f t="shared" si="1"/>
        <v>45</v>
      </c>
      <c r="B45" s="8"/>
      <c r="C45" s="8"/>
      <c r="D45" s="26">
        <f t="shared" ref="D45:T45" si="7">SUM(D40:D44)</f>
        <v>0</v>
      </c>
      <c r="E45" s="26">
        <f t="shared" si="7"/>
        <v>0</v>
      </c>
      <c r="F45" s="26">
        <f t="shared" si="7"/>
        <v>0</v>
      </c>
      <c r="G45" s="26">
        <f t="shared" si="7"/>
        <v>0</v>
      </c>
      <c r="H45" s="26">
        <f t="shared" si="7"/>
        <v>0</v>
      </c>
      <c r="I45" s="26">
        <f t="shared" si="7"/>
        <v>0</v>
      </c>
      <c r="J45" s="26">
        <f t="shared" si="7"/>
        <v>0</v>
      </c>
      <c r="K45" s="26">
        <f t="shared" si="7"/>
        <v>0</v>
      </c>
      <c r="L45" s="26">
        <f t="shared" si="7"/>
        <v>0</v>
      </c>
      <c r="M45" s="26">
        <f t="shared" si="7"/>
        <v>0</v>
      </c>
      <c r="N45" s="26">
        <f t="shared" si="7"/>
        <v>0</v>
      </c>
      <c r="O45" s="26">
        <f t="shared" si="7"/>
        <v>-2489156</v>
      </c>
      <c r="P45" s="26">
        <f t="shared" si="7"/>
        <v>0</v>
      </c>
      <c r="Q45" s="26">
        <f t="shared" si="7"/>
        <v>0</v>
      </c>
      <c r="R45" s="26">
        <f t="shared" si="7"/>
        <v>0</v>
      </c>
      <c r="S45" s="26">
        <f t="shared" si="7"/>
        <v>0</v>
      </c>
      <c r="T45" s="26">
        <f t="shared" si="7"/>
        <v>-2489156</v>
      </c>
      <c r="U45" s="8"/>
      <c r="V45" s="8"/>
      <c r="X45" s="2"/>
      <c r="AA45" s="2"/>
      <c r="AB45" s="2"/>
      <c r="AC45" s="2"/>
      <c r="AD45" s="2"/>
      <c r="AE45" s="2"/>
      <c r="AF45" s="2"/>
      <c r="AG45" s="2"/>
      <c r="AH45" s="2"/>
    </row>
    <row r="46" spans="1:34" ht="15.75">
      <c r="A46" s="3">
        <f t="shared" si="1"/>
        <v>46</v>
      </c>
      <c r="B46" s="8"/>
      <c r="C46" s="8"/>
      <c r="D46" s="27" t="s">
        <v>98</v>
      </c>
      <c r="E46" s="27" t="s">
        <v>98</v>
      </c>
      <c r="F46" s="27" t="s">
        <v>98</v>
      </c>
      <c r="G46" s="27" t="s">
        <v>98</v>
      </c>
      <c r="H46" s="27" t="s">
        <v>98</v>
      </c>
      <c r="I46" s="27" t="s">
        <v>98</v>
      </c>
      <c r="J46" s="27" t="s">
        <v>98</v>
      </c>
      <c r="K46" s="27" t="s">
        <v>98</v>
      </c>
      <c r="L46" s="27" t="s">
        <v>98</v>
      </c>
      <c r="M46" s="27" t="s">
        <v>98</v>
      </c>
      <c r="N46" s="27" t="s">
        <v>98</v>
      </c>
      <c r="O46" s="27" t="s">
        <v>98</v>
      </c>
      <c r="P46" s="27" t="s">
        <v>98</v>
      </c>
      <c r="Q46" s="59" t="s">
        <v>154</v>
      </c>
      <c r="R46" s="27" t="s">
        <v>98</v>
      </c>
      <c r="S46" s="27" t="s">
        <v>98</v>
      </c>
      <c r="T46" s="27" t="s">
        <v>98</v>
      </c>
      <c r="U46" s="8"/>
      <c r="V46" s="8"/>
      <c r="X46" s="2"/>
      <c r="AA46" s="2"/>
      <c r="AB46" s="2"/>
      <c r="AC46" s="2"/>
      <c r="AD46" s="2"/>
      <c r="AE46" s="2"/>
      <c r="AF46" s="2"/>
      <c r="AG46" s="2"/>
      <c r="AH46" s="2"/>
    </row>
    <row r="47" spans="1:34" ht="15.75">
      <c r="A47" s="3">
        <f t="shared" si="1"/>
        <v>47</v>
      </c>
      <c r="B47" s="8"/>
      <c r="C47" s="8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8"/>
      <c r="V47" s="8"/>
      <c r="X47" s="2"/>
      <c r="AA47" s="2"/>
      <c r="AB47" s="2"/>
      <c r="AC47" s="2"/>
      <c r="AD47" s="2"/>
      <c r="AE47" s="2"/>
      <c r="AF47" s="2"/>
      <c r="AG47" s="2"/>
      <c r="AH47" s="2"/>
    </row>
    <row r="48" spans="1:34" ht="15.75">
      <c r="A48" s="3">
        <f t="shared" si="1"/>
        <v>48</v>
      </c>
      <c r="B48" s="8" t="s">
        <v>57</v>
      </c>
      <c r="C48" s="8"/>
      <c r="D48" s="26">
        <f t="shared" ref="D48:T48" si="8">(+D38+D40+D41+D45)</f>
        <v>-40010</v>
      </c>
      <c r="E48" s="26">
        <f t="shared" si="8"/>
        <v>-4278</v>
      </c>
      <c r="F48" s="26">
        <f t="shared" si="8"/>
        <v>-214741</v>
      </c>
      <c r="G48" s="26">
        <f t="shared" si="8"/>
        <v>-397503</v>
      </c>
      <c r="H48" s="26">
        <f t="shared" si="8"/>
        <v>-17849</v>
      </c>
      <c r="I48" s="26">
        <f t="shared" si="8"/>
        <v>1144</v>
      </c>
      <c r="J48" s="26">
        <f t="shared" si="8"/>
        <v>12632</v>
      </c>
      <c r="K48" s="26">
        <f t="shared" si="8"/>
        <v>17212</v>
      </c>
      <c r="L48" s="26">
        <f t="shared" si="8"/>
        <v>68173</v>
      </c>
      <c r="M48" s="26">
        <f t="shared" si="8"/>
        <v>2169</v>
      </c>
      <c r="N48" s="26">
        <f t="shared" si="8"/>
        <v>-35000</v>
      </c>
      <c r="O48" s="26">
        <f t="shared" si="8"/>
        <v>-2489156</v>
      </c>
      <c r="P48" s="26">
        <f t="shared" si="8"/>
        <v>2835633</v>
      </c>
      <c r="Q48" s="26">
        <f t="shared" si="8"/>
        <v>22450</v>
      </c>
      <c r="R48" s="26">
        <f t="shared" si="8"/>
        <v>-2830651.7417900041</v>
      </c>
      <c r="S48" s="26">
        <f t="shared" si="8"/>
        <v>-25924.854718182072</v>
      </c>
      <c r="T48" s="26">
        <f t="shared" si="8"/>
        <v>-3095700.5965081863</v>
      </c>
      <c r="U48" s="8"/>
      <c r="V48" s="8"/>
      <c r="X48" s="2"/>
      <c r="AA48" s="2"/>
      <c r="AB48" s="2"/>
      <c r="AC48" s="2"/>
      <c r="AD48" s="2"/>
      <c r="AE48" s="2"/>
      <c r="AF48" s="2"/>
      <c r="AG48" s="2"/>
      <c r="AH48" s="2"/>
    </row>
    <row r="49" spans="1:34" ht="15.75">
      <c r="A49" s="3">
        <f t="shared" si="1"/>
        <v>49</v>
      </c>
      <c r="B49" s="8"/>
      <c r="C49" s="8"/>
      <c r="D49" s="28" t="s">
        <v>100</v>
      </c>
      <c r="E49" s="28" t="s">
        <v>100</v>
      </c>
      <c r="F49" s="28" t="s">
        <v>100</v>
      </c>
      <c r="G49" s="28" t="s">
        <v>100</v>
      </c>
      <c r="H49" s="28" t="s">
        <v>100</v>
      </c>
      <c r="I49" s="28" t="s">
        <v>100</v>
      </c>
      <c r="J49" s="28" t="s">
        <v>100</v>
      </c>
      <c r="K49" s="28" t="s">
        <v>100</v>
      </c>
      <c r="L49" s="28" t="s">
        <v>100</v>
      </c>
      <c r="M49" s="28" t="s">
        <v>100</v>
      </c>
      <c r="N49" s="28" t="s">
        <v>100</v>
      </c>
      <c r="O49" s="28" t="s">
        <v>100</v>
      </c>
      <c r="P49" s="28" t="s">
        <v>100</v>
      </c>
      <c r="Q49" s="60" t="s">
        <v>156</v>
      </c>
      <c r="R49" s="28" t="s">
        <v>100</v>
      </c>
      <c r="S49" s="28" t="s">
        <v>100</v>
      </c>
      <c r="T49" s="28" t="s">
        <v>100</v>
      </c>
      <c r="U49" s="8"/>
      <c r="V49" s="8"/>
      <c r="X49" s="2"/>
      <c r="AA49" s="2"/>
      <c r="AB49" s="2"/>
      <c r="AC49" s="2"/>
      <c r="AD49" s="2"/>
      <c r="AE49" s="2"/>
      <c r="AF49" s="2"/>
      <c r="AG49" s="2"/>
      <c r="AH49" s="2"/>
    </row>
    <row r="50" spans="1:34" ht="15.75">
      <c r="A50" s="3">
        <f t="shared" si="1"/>
        <v>50</v>
      </c>
      <c r="B50" s="8"/>
      <c r="C50" s="8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8"/>
      <c r="V50" s="8"/>
      <c r="X50" s="2"/>
      <c r="AA50" s="2"/>
      <c r="AB50" s="2"/>
      <c r="AC50" s="2"/>
      <c r="AD50" s="2"/>
      <c r="AE50" s="2"/>
      <c r="AF50" s="2"/>
      <c r="AG50" s="2"/>
      <c r="AH50" s="2"/>
    </row>
    <row r="51" spans="1:34" ht="15.7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</row>
    <row r="52" spans="1:34" ht="15.75">
      <c r="B52" s="68" t="str">
        <f>+B1</f>
        <v>Cumberland Valley Electric</v>
      </c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</row>
    <row r="53" spans="1:34" ht="15.75">
      <c r="B53" s="68" t="str">
        <f>+B2</f>
        <v>Case No. 2016-00169</v>
      </c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</row>
    <row r="54" spans="1:34" ht="15.75">
      <c r="B54" s="68" t="s">
        <v>129</v>
      </c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</row>
    <row r="55" spans="1:34" ht="15.7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</row>
    <row r="56" spans="1:34" ht="15.7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</row>
    <row r="57" spans="1:34" ht="18" customHeight="1">
      <c r="B57" s="8" t="s">
        <v>106</v>
      </c>
      <c r="C57" s="8"/>
      <c r="D57" s="8"/>
      <c r="E57" s="8" t="s">
        <v>128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</row>
    <row r="58" spans="1:34" ht="18" customHeight="1">
      <c r="B58" s="8" t="s">
        <v>107</v>
      </c>
      <c r="C58" s="8"/>
      <c r="D58" s="8"/>
      <c r="E58" s="8" t="s">
        <v>117</v>
      </c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</row>
    <row r="59" spans="1:34" ht="18" customHeight="1">
      <c r="B59" s="8" t="s">
        <v>108</v>
      </c>
      <c r="C59" s="8"/>
      <c r="D59" s="8"/>
      <c r="E59" s="8" t="s">
        <v>146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</row>
    <row r="60" spans="1:34" ht="18" customHeight="1">
      <c r="B60" s="8" t="s">
        <v>109</v>
      </c>
      <c r="C60" s="8"/>
      <c r="D60" s="8"/>
      <c r="E60" s="8" t="s">
        <v>118</v>
      </c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</row>
    <row r="61" spans="1:34" ht="18" customHeight="1">
      <c r="B61" s="8" t="s">
        <v>110</v>
      </c>
      <c r="C61" s="8"/>
      <c r="D61" s="8"/>
      <c r="E61" s="8" t="s">
        <v>119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</row>
    <row r="62" spans="1:34" ht="18" customHeight="1">
      <c r="B62" s="8" t="s">
        <v>111</v>
      </c>
      <c r="C62" s="8"/>
      <c r="D62" s="8"/>
      <c r="E62" s="8" t="s">
        <v>120</v>
      </c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</row>
    <row r="63" spans="1:34" ht="18" customHeight="1">
      <c r="B63" s="8" t="s">
        <v>77</v>
      </c>
      <c r="C63" s="8"/>
      <c r="D63" s="8"/>
      <c r="E63" s="8" t="s">
        <v>121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</row>
    <row r="64" spans="1:34" ht="18" customHeight="1">
      <c r="B64" s="8" t="s">
        <v>112</v>
      </c>
      <c r="C64" s="8"/>
      <c r="D64" s="8"/>
      <c r="E64" s="8" t="s">
        <v>122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</row>
    <row r="65" spans="2:24" ht="18" customHeight="1">
      <c r="B65" s="8" t="s">
        <v>88</v>
      </c>
      <c r="C65" s="8"/>
      <c r="D65" s="8"/>
      <c r="E65" s="8" t="s">
        <v>123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</row>
    <row r="66" spans="2:24" ht="18" customHeight="1">
      <c r="B66" s="8" t="s">
        <v>113</v>
      </c>
      <c r="C66" s="8"/>
      <c r="D66" s="8"/>
      <c r="E66" s="8" t="s">
        <v>130</v>
      </c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</row>
    <row r="67" spans="2:24" ht="18" customHeight="1">
      <c r="B67" s="8" t="s">
        <v>114</v>
      </c>
      <c r="C67" s="8"/>
      <c r="D67" s="8"/>
      <c r="E67" s="8" t="s">
        <v>124</v>
      </c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</row>
    <row r="68" spans="2:24" ht="18" customHeight="1">
      <c r="B68" s="8" t="s">
        <v>115</v>
      </c>
      <c r="C68" s="8"/>
      <c r="D68" s="8"/>
      <c r="E68" s="8" t="s">
        <v>125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</row>
    <row r="69" spans="2:24" ht="18" customHeight="1">
      <c r="B69" s="8"/>
      <c r="C69" s="8"/>
      <c r="D69" s="8"/>
      <c r="E69" s="8" t="s">
        <v>127</v>
      </c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</row>
    <row r="70" spans="2:24" ht="18" customHeight="1">
      <c r="B70" s="8" t="s">
        <v>126</v>
      </c>
      <c r="C70" s="8"/>
      <c r="D70" s="8"/>
      <c r="E70" s="8" t="s">
        <v>131</v>
      </c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</row>
    <row r="71" spans="2:24" ht="18" customHeight="1">
      <c r="B71" s="8" t="s">
        <v>116</v>
      </c>
      <c r="C71" s="8"/>
      <c r="D71" s="8"/>
      <c r="E71" s="8" t="s">
        <v>132</v>
      </c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</row>
    <row r="72" spans="2:24" ht="15.7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</row>
    <row r="73" spans="2:24" ht="15.7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</row>
    <row r="74" spans="2:24" ht="15.7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</row>
    <row r="75" spans="2:24" ht="15.7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</row>
    <row r="76" spans="2:24" ht="15.7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</row>
    <row r="77" spans="2:24" ht="15.7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</row>
    <row r="78" spans="2:24" ht="15.7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</row>
    <row r="79" spans="2:24" ht="15.7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</row>
    <row r="80" spans="2:24" ht="15.7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</row>
    <row r="81" spans="2:24" ht="15.7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</row>
    <row r="82" spans="2:24" ht="15.7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</row>
    <row r="83" spans="2:24" ht="15.7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</row>
    <row r="84" spans="2:24" ht="15.7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</row>
    <row r="85" spans="2:24" ht="15.7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</row>
    <row r="86" spans="2:24" ht="15.7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</row>
  </sheetData>
  <mergeCells count="6">
    <mergeCell ref="B52:L52"/>
    <mergeCell ref="B53:L53"/>
    <mergeCell ref="B54:L54"/>
    <mergeCell ref="B1:R1"/>
    <mergeCell ref="B2:R2"/>
    <mergeCell ref="B3:R3"/>
  </mergeCells>
  <phoneticPr fontId="1" type="noConversion"/>
  <printOptions horizontalCentered="1" verticalCentered="1"/>
  <pageMargins left="0.25" right="0.25" top="0.75" bottom="0.5" header="0.5" footer="0.5"/>
  <pageSetup scale="6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M30"/>
  <sheetViews>
    <sheetView tabSelected="1" defaultGridColor="0" colorId="22" zoomScale="110" zoomScaleNormal="110" workbookViewId="0">
      <selection activeCell="B18" sqref="B18"/>
    </sheetView>
  </sheetViews>
  <sheetFormatPr defaultColWidth="9.77734375" defaultRowHeight="15"/>
  <cols>
    <col min="1" max="1" width="4.77734375" style="37" customWidth="1"/>
    <col min="7" max="7" width="10.77734375" customWidth="1"/>
    <col min="8" max="8" width="4.77734375" customWidth="1"/>
    <col min="10" max="10" width="10.6640625" bestFit="1" customWidth="1"/>
    <col min="13" max="13" width="11.21875" bestFit="1" customWidth="1"/>
  </cols>
  <sheetData>
    <row r="1" spans="1:13" ht="15.75">
      <c r="A1" s="38">
        <f>(A8192+1)</f>
        <v>1</v>
      </c>
      <c r="B1" s="39"/>
      <c r="C1" s="39"/>
      <c r="D1" s="39"/>
      <c r="E1" s="39"/>
      <c r="F1" s="39"/>
      <c r="G1" s="40"/>
      <c r="H1" s="11" t="s">
        <v>150</v>
      </c>
      <c r="I1" s="8"/>
    </row>
    <row r="2" spans="1:13" ht="15.75">
      <c r="A2" s="41">
        <f t="shared" ref="A2:A23" si="0">(A1+1)</f>
        <v>2</v>
      </c>
      <c r="B2" s="42"/>
      <c r="C2" s="42"/>
      <c r="D2" s="42"/>
      <c r="E2" s="42"/>
      <c r="F2" s="42"/>
      <c r="G2" s="42"/>
      <c r="H2" s="43" t="s">
        <v>101</v>
      </c>
      <c r="I2" s="8"/>
    </row>
    <row r="3" spans="1:13" ht="15.75">
      <c r="A3" s="41">
        <f t="shared" si="0"/>
        <v>3</v>
      </c>
      <c r="B3" s="42"/>
      <c r="C3" s="42"/>
      <c r="D3" s="42"/>
      <c r="E3" s="42"/>
      <c r="F3" s="42"/>
      <c r="G3" s="42"/>
      <c r="H3" s="43" t="s">
        <v>138</v>
      </c>
      <c r="I3" s="8"/>
    </row>
    <row r="4" spans="1:13" ht="15.75">
      <c r="A4" s="41">
        <f t="shared" si="0"/>
        <v>4</v>
      </c>
      <c r="B4" s="42"/>
      <c r="C4" s="42"/>
      <c r="D4" s="42"/>
      <c r="E4" s="42"/>
      <c r="F4" s="42"/>
      <c r="G4" s="42"/>
      <c r="H4" s="44"/>
      <c r="I4" s="8"/>
    </row>
    <row r="5" spans="1:13" ht="18.75">
      <c r="A5" s="41">
        <f t="shared" si="0"/>
        <v>5</v>
      </c>
      <c r="B5" s="45" t="str">
        <f>'adjusted bs '!B1</f>
        <v>Cumberland Valley Electric</v>
      </c>
      <c r="C5" s="46"/>
      <c r="D5" s="46"/>
      <c r="E5" s="46"/>
      <c r="F5" s="46"/>
      <c r="G5" s="46"/>
      <c r="H5" s="47"/>
      <c r="I5" s="8"/>
    </row>
    <row r="6" spans="1:13" ht="18.75">
      <c r="A6" s="41">
        <f t="shared" si="0"/>
        <v>6</v>
      </c>
      <c r="B6" s="45" t="str">
        <f>'adjusted bs '!B2</f>
        <v>Case No. 2016-00169</v>
      </c>
      <c r="C6" s="46"/>
      <c r="D6" s="46"/>
      <c r="E6" s="46"/>
      <c r="F6" s="46"/>
      <c r="G6" s="46"/>
      <c r="H6" s="47"/>
      <c r="I6" s="8"/>
    </row>
    <row r="7" spans="1:13" ht="15.75">
      <c r="A7" s="41">
        <f t="shared" si="0"/>
        <v>7</v>
      </c>
      <c r="B7" s="48" t="s">
        <v>102</v>
      </c>
      <c r="C7" s="46"/>
      <c r="D7" s="46"/>
      <c r="E7" s="46"/>
      <c r="F7" s="46"/>
      <c r="G7" s="46"/>
      <c r="H7" s="47"/>
      <c r="I7" s="8"/>
    </row>
    <row r="8" spans="1:13" ht="18.75">
      <c r="A8" s="41">
        <f t="shared" si="0"/>
        <v>8</v>
      </c>
      <c r="B8" s="45" t="s">
        <v>149</v>
      </c>
      <c r="C8" s="46" t="s">
        <v>149</v>
      </c>
      <c r="D8" s="46"/>
      <c r="E8" s="46" t="s">
        <v>149</v>
      </c>
      <c r="F8" s="46"/>
      <c r="G8" s="46"/>
      <c r="H8" s="47"/>
      <c r="I8" s="8"/>
    </row>
    <row r="9" spans="1:13" ht="15.75">
      <c r="A9" s="41">
        <f t="shared" si="0"/>
        <v>9</v>
      </c>
      <c r="B9" s="42"/>
      <c r="C9" s="42"/>
      <c r="D9" s="42"/>
      <c r="E9" s="42"/>
      <c r="F9" s="42"/>
      <c r="G9" s="42"/>
      <c r="H9" s="44"/>
      <c r="I9" s="8"/>
    </row>
    <row r="10" spans="1:13" ht="15.75">
      <c r="A10" s="41">
        <f t="shared" si="0"/>
        <v>10</v>
      </c>
      <c r="B10" s="42"/>
      <c r="C10" s="42"/>
      <c r="D10" s="42"/>
      <c r="E10" s="42"/>
      <c r="F10" s="42"/>
      <c r="G10" s="42"/>
      <c r="H10" s="44"/>
      <c r="I10" s="8"/>
    </row>
    <row r="11" spans="1:13" ht="15.75">
      <c r="A11" s="41">
        <f t="shared" si="0"/>
        <v>11</v>
      </c>
      <c r="B11" s="42"/>
      <c r="C11" s="42"/>
      <c r="D11" s="42"/>
      <c r="E11" s="42"/>
      <c r="F11" s="42"/>
      <c r="G11" s="42"/>
      <c r="H11" s="44"/>
      <c r="I11" s="8"/>
    </row>
    <row r="12" spans="1:13" ht="19.899999999999999" customHeight="1">
      <c r="A12" s="41">
        <f t="shared" si="0"/>
        <v>12</v>
      </c>
      <c r="B12" s="42" t="s">
        <v>159</v>
      </c>
      <c r="C12" s="42"/>
      <c r="D12" s="42"/>
      <c r="E12" s="42"/>
      <c r="F12" s="42"/>
      <c r="G12" s="49">
        <f>('adjusted is'!K30)*(1.2686954)</f>
        <v>1146429.9556066</v>
      </c>
      <c r="H12" s="44"/>
      <c r="I12" s="8"/>
      <c r="J12" s="57" t="s">
        <v>149</v>
      </c>
      <c r="K12">
        <f>(J12/'adjusted is'!K30)</f>
        <v>0</v>
      </c>
    </row>
    <row r="13" spans="1:13" ht="19.899999999999999" customHeight="1">
      <c r="A13" s="41">
        <f t="shared" si="0"/>
        <v>13</v>
      </c>
      <c r="B13" s="42"/>
      <c r="C13" s="42"/>
      <c r="D13" s="42"/>
      <c r="E13" s="42"/>
      <c r="F13" s="42"/>
      <c r="G13" s="42" t="s">
        <v>149</v>
      </c>
      <c r="H13" s="44"/>
      <c r="I13" s="8"/>
      <c r="J13" t="s">
        <v>149</v>
      </c>
    </row>
    <row r="14" spans="1:13" ht="19.899999999999999" customHeight="1">
      <c r="A14" s="41">
        <f t="shared" si="0"/>
        <v>14</v>
      </c>
      <c r="B14" s="42" t="s">
        <v>103</v>
      </c>
      <c r="C14" s="42"/>
      <c r="D14" s="42"/>
      <c r="E14" s="42"/>
      <c r="F14" s="42"/>
      <c r="G14" s="30">
        <f>'adjusted is'!G43</f>
        <v>-851832.02551904321</v>
      </c>
      <c r="H14" s="44"/>
      <c r="I14" s="8"/>
      <c r="J14" s="67" t="s">
        <v>149</v>
      </c>
    </row>
    <row r="15" spans="1:13" ht="19.899999999999999" customHeight="1">
      <c r="A15" s="41">
        <f t="shared" si="0"/>
        <v>15</v>
      </c>
      <c r="B15" s="42"/>
      <c r="C15" s="42"/>
      <c r="D15" s="42"/>
      <c r="E15" s="42"/>
      <c r="F15" s="42"/>
      <c r="G15" s="42"/>
      <c r="H15" s="44"/>
      <c r="I15" s="8"/>
    </row>
    <row r="16" spans="1:13" ht="19.899999999999999" customHeight="1">
      <c r="A16" s="41">
        <f t="shared" si="0"/>
        <v>16</v>
      </c>
      <c r="B16" s="42" t="s">
        <v>104</v>
      </c>
      <c r="C16" s="42"/>
      <c r="D16" s="42"/>
      <c r="E16" s="42"/>
      <c r="F16" s="42"/>
      <c r="G16" s="42"/>
      <c r="H16" s="44"/>
      <c r="I16" s="8"/>
      <c r="M16" s="57" t="s">
        <v>149</v>
      </c>
    </row>
    <row r="17" spans="1:13" ht="19.899999999999999" customHeight="1" thickBot="1">
      <c r="A17" s="41">
        <f t="shared" si="0"/>
        <v>17</v>
      </c>
      <c r="B17" s="42" t="s">
        <v>160</v>
      </c>
      <c r="C17" s="42"/>
      <c r="D17" s="42"/>
      <c r="E17" s="42"/>
      <c r="F17" s="42"/>
      <c r="G17" s="31">
        <f>+G12-G14</f>
        <v>1998261.9811256432</v>
      </c>
      <c r="H17" s="44"/>
      <c r="I17" s="8"/>
      <c r="J17" s="57" t="s">
        <v>149</v>
      </c>
      <c r="M17" s="65" t="s">
        <v>149</v>
      </c>
    </row>
    <row r="18" spans="1:13" ht="19.899999999999999" customHeight="1" thickTop="1">
      <c r="A18" s="41">
        <f t="shared" si="0"/>
        <v>18</v>
      </c>
      <c r="B18" s="42"/>
      <c r="C18" s="42"/>
      <c r="D18" s="42"/>
      <c r="E18" s="42"/>
      <c r="F18" s="42"/>
      <c r="G18" s="42"/>
      <c r="H18" s="44"/>
      <c r="I18" s="8"/>
    </row>
    <row r="19" spans="1:13" ht="15.75">
      <c r="A19" s="41">
        <f t="shared" si="0"/>
        <v>19</v>
      </c>
      <c r="B19" s="42"/>
      <c r="C19" s="42"/>
      <c r="D19" s="42"/>
      <c r="E19" s="42"/>
      <c r="F19" s="42"/>
      <c r="G19" s="42"/>
      <c r="H19" s="44"/>
      <c r="I19" s="8"/>
    </row>
    <row r="20" spans="1:13" ht="15.75">
      <c r="A20" s="41">
        <f t="shared" si="0"/>
        <v>20</v>
      </c>
      <c r="B20" s="42"/>
      <c r="C20" s="42"/>
      <c r="D20" s="42"/>
      <c r="E20" s="42"/>
      <c r="F20" s="42"/>
      <c r="G20" s="42"/>
      <c r="H20" s="44"/>
      <c r="I20" s="8"/>
    </row>
    <row r="21" spans="1:13" ht="15.75">
      <c r="A21" s="41">
        <f t="shared" si="0"/>
        <v>21</v>
      </c>
      <c r="B21" s="42"/>
      <c r="C21" s="42"/>
      <c r="D21" s="42"/>
      <c r="E21" s="42"/>
      <c r="F21" s="42"/>
      <c r="G21" s="50" t="s">
        <v>149</v>
      </c>
      <c r="H21" s="44"/>
      <c r="I21" s="8"/>
    </row>
    <row r="22" spans="1:13">
      <c r="A22" s="41">
        <f t="shared" si="0"/>
        <v>22</v>
      </c>
      <c r="B22" s="51"/>
      <c r="C22" s="51"/>
      <c r="D22" s="51"/>
      <c r="E22" s="51"/>
      <c r="F22" s="51"/>
      <c r="G22" s="51"/>
      <c r="H22" s="52"/>
    </row>
    <row r="23" spans="1:13">
      <c r="A23" s="41">
        <f t="shared" si="0"/>
        <v>23</v>
      </c>
      <c r="B23" s="51"/>
      <c r="C23" s="51"/>
      <c r="D23" s="51"/>
      <c r="E23" s="51"/>
      <c r="F23" s="51"/>
      <c r="G23" s="51"/>
      <c r="H23" s="52"/>
    </row>
    <row r="24" spans="1:13">
      <c r="A24" s="53"/>
      <c r="B24" s="51"/>
      <c r="C24" s="51"/>
      <c r="D24" s="51"/>
      <c r="E24" s="51"/>
      <c r="F24" s="51"/>
      <c r="G24" s="51"/>
      <c r="H24" s="52"/>
    </row>
    <row r="25" spans="1:13">
      <c r="A25" s="53"/>
      <c r="B25" s="51"/>
      <c r="C25" s="51"/>
      <c r="D25" s="51"/>
      <c r="E25" s="51"/>
      <c r="F25" s="51"/>
      <c r="G25" s="51"/>
      <c r="H25" s="52"/>
    </row>
    <row r="26" spans="1:13">
      <c r="A26" s="53"/>
      <c r="B26" s="51"/>
      <c r="C26" s="51"/>
      <c r="D26" s="51"/>
      <c r="E26" s="51"/>
      <c r="F26" s="51"/>
      <c r="G26" s="51"/>
      <c r="H26" s="52"/>
    </row>
    <row r="27" spans="1:13">
      <c r="A27" s="53"/>
      <c r="B27" s="51"/>
      <c r="C27" s="51"/>
      <c r="D27" s="51"/>
      <c r="E27" s="51"/>
      <c r="F27" s="51"/>
      <c r="G27" s="51"/>
      <c r="H27" s="52"/>
    </row>
    <row r="28" spans="1:13">
      <c r="A28" s="53"/>
      <c r="B28" s="51"/>
      <c r="C28" s="51"/>
      <c r="D28" s="51"/>
      <c r="E28" s="51"/>
      <c r="F28" s="51"/>
      <c r="G28" s="51"/>
      <c r="H28" s="52"/>
    </row>
    <row r="29" spans="1:13">
      <c r="A29" s="53"/>
      <c r="B29" s="51"/>
      <c r="C29" s="51"/>
      <c r="D29" s="51"/>
      <c r="E29" s="51"/>
      <c r="F29" s="51"/>
      <c r="G29" s="51"/>
      <c r="H29" s="52"/>
    </row>
    <row r="30" spans="1:13">
      <c r="A30" s="54"/>
      <c r="B30" s="55"/>
      <c r="C30" s="55"/>
      <c r="D30" s="55"/>
      <c r="E30" s="55"/>
      <c r="F30" s="55"/>
      <c r="G30" s="55"/>
      <c r="H30" s="56"/>
    </row>
  </sheetData>
  <phoneticPr fontId="1" type="noConversion"/>
  <printOptions horizontalCentered="1"/>
  <pageMargins left="0.7" right="0.25" top="0.5" bottom="0.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adjusted is</vt:lpstr>
      <vt:lpstr>adjusted bs </vt:lpstr>
      <vt:lpstr>adjustments</vt:lpstr>
      <vt:lpstr>proposed rev</vt:lpstr>
      <vt:lpstr>'adjusted bs '!Print_Area</vt:lpstr>
      <vt:lpstr>'adjusted is'!Print_Area</vt:lpstr>
      <vt:lpstr>adjustments!Print_Area</vt:lpstr>
      <vt:lpstr>'proposed rev'!Print_Area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Brian Chaney</cp:lastModifiedBy>
  <cp:lastPrinted>2016-08-10T16:00:55Z</cp:lastPrinted>
  <dcterms:created xsi:type="dcterms:W3CDTF">2008-03-09T22:40:29Z</dcterms:created>
  <dcterms:modified xsi:type="dcterms:W3CDTF">2016-08-10T16:02:35Z</dcterms:modified>
</cp:coreProperties>
</file>